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Feed Grains\"/>
    </mc:Choice>
  </mc:AlternateContent>
  <xr:revisionPtr revIDLastSave="0" documentId="13_ncr:1_{9E2D512D-EFE9-45AA-8B2E-A099D607313B}" xr6:coauthVersionLast="47" xr6:coauthVersionMax="47" xr10:uidLastSave="{00000000-0000-0000-0000-000000000000}"/>
  <bookViews>
    <workbookView xWindow="570" yWindow="480" windowWidth="25755" windowHeight="14445" firstSheet="1" activeTab="2" xr2:uid="{C6710995-4252-4E48-BED2-34617C93EFC7}"/>
  </bookViews>
  <sheets>
    <sheet name="Corn Grind Forecast for Co-Prod" sheetId="1" r:id="rId1"/>
    <sheet name="Co-Products Production" sheetId="2" r:id="rId2"/>
    <sheet name="Ethanol Balance Sheet" sheetId="3" r:id="rId3"/>
    <sheet name="Chart1" sheetId="4" r:id="rId4"/>
    <sheet name="Monthly Ethanol Data" sheetId="5" r:id="rId5"/>
    <sheet name="Weekly Ethanol Production" sheetId="6" r:id="rId6"/>
    <sheet name="NASS Data" sheetId="7" r:id="rId7"/>
    <sheet name="Corn Oil" sheetId="8" r:id="rId8"/>
    <sheet name="Corn Grind" sheetId="9" r:id="rId9"/>
    <sheet name="Weekly Ethanol Data" sheetId="10" r:id="rId10"/>
    <sheet name="Corn Gluten Meal Balance Sheet" sheetId="11" r:id="rId11"/>
    <sheet name="DDG Balance Sheet" sheetId="12" r:id="rId12"/>
    <sheet name="Corn Gluten Feed Balance Sheet" sheetId="13" r:id="rId13"/>
    <sheet name="Template" sheetId="14" r:id="rId14"/>
  </sheets>
  <externalReferences>
    <externalReference r:id="rId15"/>
    <externalReference r:id="rId16"/>
    <externalReference r:id="rId17"/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9" i="6" l="1"/>
  <c r="U60" i="6"/>
  <c r="U61" i="6"/>
  <c r="U62" i="6"/>
  <c r="U63" i="6"/>
  <c r="U64" i="6"/>
  <c r="U65" i="6"/>
  <c r="U66" i="6"/>
  <c r="U67" i="6"/>
  <c r="U68" i="6"/>
  <c r="U69" i="6"/>
  <c r="U70" i="6"/>
  <c r="T59" i="6"/>
  <c r="T60" i="6"/>
  <c r="T61" i="6"/>
  <c r="T62" i="6"/>
  <c r="T63" i="6"/>
  <c r="T64" i="6"/>
  <c r="T65" i="6"/>
  <c r="T66" i="6"/>
  <c r="T67" i="6"/>
  <c r="T68" i="6"/>
  <c r="T69" i="6"/>
  <c r="T71" i="6"/>
  <c r="T72" i="6"/>
  <c r="T73" i="6"/>
  <c r="T74" i="6"/>
  <c r="T75" i="6"/>
  <c r="T76" i="6"/>
  <c r="T77" i="6"/>
  <c r="T78" i="6"/>
  <c r="T79" i="6"/>
  <c r="T80" i="6"/>
  <c r="T81" i="6"/>
  <c r="T70" i="6"/>
  <c r="S59" i="6"/>
  <c r="S60" i="6"/>
  <c r="S61" i="6"/>
  <c r="S62" i="6"/>
  <c r="S63" i="6"/>
  <c r="S64" i="6"/>
  <c r="S65" i="6"/>
  <c r="S66" i="6"/>
  <c r="S67" i="6"/>
  <c r="S68" i="6"/>
  <c r="S69" i="6"/>
  <c r="S70" i="6"/>
  <c r="Y533" i="5"/>
  <c r="Y534" i="5"/>
  <c r="Y535" i="5"/>
  <c r="Y536" i="5"/>
  <c r="Y537" i="5"/>
  <c r="Y538" i="5"/>
  <c r="Y539" i="5"/>
  <c r="W533" i="5"/>
  <c r="W534" i="5"/>
  <c r="W535" i="5"/>
  <c r="W536" i="5"/>
  <c r="W537" i="5"/>
  <c r="W538" i="5"/>
  <c r="W539" i="5"/>
  <c r="O534" i="5"/>
  <c r="O535" i="5"/>
  <c r="O536" i="5"/>
  <c r="O537" i="5"/>
  <c r="O538" i="5"/>
  <c r="O539" i="5"/>
  <c r="N534" i="5"/>
  <c r="N535" i="5"/>
  <c r="N536" i="5"/>
  <c r="N537" i="5"/>
  <c r="N538" i="5"/>
  <c r="N539" i="5"/>
  <c r="M534" i="5"/>
  <c r="M535" i="5"/>
  <c r="M536" i="5"/>
  <c r="M537" i="5"/>
  <c r="M538" i="5"/>
  <c r="M539" i="5"/>
  <c r="L534" i="5"/>
  <c r="L535" i="5"/>
  <c r="L536" i="5"/>
  <c r="L537" i="5"/>
  <c r="L538" i="5"/>
  <c r="L539" i="5"/>
  <c r="J534" i="5"/>
  <c r="J535" i="5"/>
  <c r="J536" i="5"/>
  <c r="J537" i="5"/>
  <c r="J538" i="5"/>
  <c r="J539" i="5"/>
  <c r="V28" i="13"/>
  <c r="U28" i="13"/>
  <c r="T28" i="13"/>
  <c r="V27" i="13"/>
  <c r="U27" i="13"/>
  <c r="T27" i="13"/>
  <c r="V26" i="13"/>
  <c r="U26" i="13"/>
  <c r="T26" i="13"/>
  <c r="V25" i="13"/>
  <c r="U25" i="13"/>
  <c r="T25" i="13"/>
  <c r="V24" i="13"/>
  <c r="U24" i="13"/>
  <c r="T24" i="13"/>
  <c r="V23" i="13"/>
  <c r="U23" i="13"/>
  <c r="T23" i="13"/>
  <c r="V22" i="13"/>
  <c r="U22" i="13"/>
  <c r="T22" i="13"/>
  <c r="V21" i="13"/>
  <c r="U21" i="13"/>
  <c r="T21" i="13"/>
  <c r="W20" i="13"/>
  <c r="V20" i="13"/>
  <c r="U20" i="13"/>
  <c r="T20" i="13"/>
  <c r="W19" i="13"/>
  <c r="V19" i="13"/>
  <c r="U19" i="13"/>
  <c r="T19" i="13"/>
  <c r="W18" i="13"/>
  <c r="V18" i="13"/>
  <c r="U18" i="13"/>
  <c r="T18" i="13"/>
  <c r="W17" i="13"/>
  <c r="V17" i="13"/>
  <c r="U17" i="13"/>
  <c r="T17" i="13"/>
  <c r="V28" i="11"/>
  <c r="U28" i="11"/>
  <c r="T28" i="11"/>
  <c r="V27" i="11"/>
  <c r="U27" i="11"/>
  <c r="T27" i="11"/>
  <c r="V26" i="11"/>
  <c r="U26" i="11"/>
  <c r="T26" i="11"/>
  <c r="V25" i="11"/>
  <c r="U25" i="11"/>
  <c r="T25" i="11"/>
  <c r="V24" i="11"/>
  <c r="U24" i="11"/>
  <c r="T24" i="11"/>
  <c r="V23" i="11"/>
  <c r="U23" i="11"/>
  <c r="T23" i="11"/>
  <c r="V22" i="11"/>
  <c r="U22" i="11"/>
  <c r="T22" i="11"/>
  <c r="V21" i="11"/>
  <c r="U21" i="11"/>
  <c r="T21" i="11"/>
  <c r="W20" i="11"/>
  <c r="V20" i="11"/>
  <c r="U20" i="11"/>
  <c r="T20" i="11"/>
  <c r="W19" i="11"/>
  <c r="V19" i="11"/>
  <c r="U19" i="11"/>
  <c r="T19" i="11"/>
  <c r="W18" i="11"/>
  <c r="V18" i="11"/>
  <c r="U18" i="11"/>
  <c r="T18" i="11"/>
  <c r="W17" i="11"/>
  <c r="V17" i="11"/>
  <c r="U17" i="11"/>
  <c r="T17" i="11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P4" i="2" a="1"/>
  <c r="S4" i="2" s="1"/>
  <c r="P4" i="2"/>
  <c r="Q4" i="2"/>
  <c r="R4" i="2"/>
  <c r="X4" i="2"/>
  <c r="P10" i="2" a="1"/>
  <c r="Q10" i="2" s="1"/>
  <c r="P10" i="2"/>
  <c r="W10" i="2"/>
  <c r="X10" i="2"/>
  <c r="P8" i="2" a="1"/>
  <c r="P8" i="2" s="1"/>
  <c r="S8" i="2"/>
  <c r="T8" i="2"/>
  <c r="U8" i="2"/>
  <c r="V8" i="2"/>
  <c r="W8" i="2"/>
  <c r="P9" i="2" a="1"/>
  <c r="V9" i="2" s="1"/>
  <c r="Q9" i="2"/>
  <c r="R9" i="2"/>
  <c r="S9" i="2"/>
  <c r="T9" i="2"/>
  <c r="U9" i="2"/>
  <c r="Y10" i="2" a="1"/>
  <c r="Y10" i="2"/>
  <c r="Z10" i="2"/>
  <c r="AA10" i="2"/>
  <c r="Y6" i="2" a="1"/>
  <c r="Y6" i="2" s="1"/>
  <c r="Y9" i="2" a="1"/>
  <c r="Y9" i="2"/>
  <c r="Z9" i="2"/>
  <c r="AA9" i="2"/>
  <c r="Y8" i="2" a="1"/>
  <c r="Y8" i="2" s="1"/>
  <c r="Y7" i="2" a="1"/>
  <c r="Y7" i="2"/>
  <c r="Z7" i="2"/>
  <c r="AA7" i="2"/>
  <c r="Y4" i="2" a="1"/>
  <c r="Y4" i="2" s="1"/>
  <c r="Y5" i="2" a="1"/>
  <c r="Y5" i="2"/>
  <c r="Z5" i="2"/>
  <c r="AA5" i="2"/>
  <c r="P7" i="2" a="1"/>
  <c r="P7" i="2" s="1"/>
  <c r="S7" i="2"/>
  <c r="T7" i="2"/>
  <c r="U7" i="2"/>
  <c r="V7" i="2"/>
  <c r="W7" i="2"/>
  <c r="P5" i="2" a="1"/>
  <c r="V5" i="2" s="1"/>
  <c r="Q5" i="2"/>
  <c r="R5" i="2"/>
  <c r="S5" i="2"/>
  <c r="T5" i="2"/>
  <c r="U5" i="2"/>
  <c r="P6" i="2" a="1"/>
  <c r="S6" i="2" s="1"/>
  <c r="P6" i="2"/>
  <c r="Q6" i="2"/>
  <c r="R6" i="2"/>
  <c r="X6" i="2"/>
  <c r="V10" i="2" l="1"/>
  <c r="W4" i="2"/>
  <c r="V6" i="2"/>
  <c r="X5" i="2"/>
  <c r="P5" i="2"/>
  <c r="R7" i="2"/>
  <c r="AA4" i="2"/>
  <c r="AA8" i="2"/>
  <c r="AA6" i="2"/>
  <c r="X9" i="2"/>
  <c r="P9" i="2"/>
  <c r="R8" i="2"/>
  <c r="T10" i="2"/>
  <c r="V4" i="2"/>
  <c r="U6" i="2"/>
  <c r="W5" i="2"/>
  <c r="Q8" i="2"/>
  <c r="S10" i="2"/>
  <c r="U4" i="2"/>
  <c r="W6" i="2"/>
  <c r="U10" i="2"/>
  <c r="Q7" i="2"/>
  <c r="Z4" i="2"/>
  <c r="Z8" i="2"/>
  <c r="Z6" i="2"/>
  <c r="W9" i="2"/>
  <c r="T6" i="2"/>
  <c r="X7" i="2"/>
  <c r="X8" i="2"/>
  <c r="R10" i="2"/>
  <c r="T4" i="2"/>
  <c r="Y282" i="14" l="1"/>
  <c r="X282" i="14"/>
  <c r="W282" i="14"/>
  <c r="V282" i="14"/>
  <c r="U282" i="14"/>
  <c r="T282" i="14"/>
  <c r="S282" i="14"/>
  <c r="R282" i="14"/>
  <c r="Q282" i="14"/>
  <c r="P282" i="14"/>
  <c r="O282" i="14"/>
  <c r="N282" i="14"/>
  <c r="M282" i="14"/>
  <c r="L282" i="14"/>
  <c r="K282" i="14"/>
  <c r="J282" i="14"/>
  <c r="I282" i="14"/>
  <c r="H282" i="14"/>
  <c r="G282" i="14"/>
  <c r="F282" i="14"/>
  <c r="E282" i="14"/>
  <c r="D282" i="14"/>
  <c r="C282" i="14"/>
  <c r="B282" i="14"/>
  <c r="Y281" i="14"/>
  <c r="X281" i="14"/>
  <c r="W281" i="14"/>
  <c r="V281" i="14"/>
  <c r="U281" i="14"/>
  <c r="T281" i="14"/>
  <c r="S281" i="14"/>
  <c r="R281" i="14"/>
  <c r="Q281" i="14"/>
  <c r="P281" i="14"/>
  <c r="O281" i="14"/>
  <c r="N281" i="14"/>
  <c r="M281" i="14"/>
  <c r="L281" i="14"/>
  <c r="K281" i="14"/>
  <c r="J281" i="14"/>
  <c r="I281" i="14"/>
  <c r="H281" i="14"/>
  <c r="G281" i="14"/>
  <c r="F281" i="14"/>
  <c r="E281" i="14"/>
  <c r="D281" i="14"/>
  <c r="C281" i="14"/>
  <c r="B281" i="14"/>
  <c r="Y280" i="14"/>
  <c r="X280" i="14"/>
  <c r="W280" i="14"/>
  <c r="V280" i="14"/>
  <c r="U280" i="14"/>
  <c r="T280" i="14"/>
  <c r="S280" i="14"/>
  <c r="R280" i="14"/>
  <c r="Q280" i="14"/>
  <c r="P280" i="14"/>
  <c r="O280" i="14"/>
  <c r="N280" i="14"/>
  <c r="M280" i="14"/>
  <c r="L280" i="14"/>
  <c r="K280" i="14"/>
  <c r="J280" i="14"/>
  <c r="I280" i="14"/>
  <c r="H280" i="14"/>
  <c r="G280" i="14"/>
  <c r="F280" i="14"/>
  <c r="E280" i="14"/>
  <c r="D280" i="14"/>
  <c r="C280" i="14"/>
  <c r="B280" i="14"/>
  <c r="Y279" i="14"/>
  <c r="X279" i="14"/>
  <c r="W279" i="14"/>
  <c r="V279" i="14"/>
  <c r="U279" i="14"/>
  <c r="T279" i="14"/>
  <c r="S279" i="14"/>
  <c r="R279" i="14"/>
  <c r="Q279" i="14"/>
  <c r="P279" i="14"/>
  <c r="O279" i="14"/>
  <c r="N279" i="14"/>
  <c r="M279" i="14"/>
  <c r="L279" i="14"/>
  <c r="K279" i="14"/>
  <c r="J279" i="14"/>
  <c r="I279" i="14"/>
  <c r="H279" i="14"/>
  <c r="G279" i="14"/>
  <c r="F279" i="14"/>
  <c r="E279" i="14"/>
  <c r="D279" i="14"/>
  <c r="C279" i="14"/>
  <c r="B279" i="14"/>
  <c r="Y278" i="14"/>
  <c r="X278" i="14"/>
  <c r="W278" i="14"/>
  <c r="V278" i="14"/>
  <c r="U278" i="14"/>
  <c r="T278" i="14"/>
  <c r="S278" i="14"/>
  <c r="R278" i="14"/>
  <c r="Q278" i="14"/>
  <c r="P278" i="14"/>
  <c r="O278" i="14"/>
  <c r="N278" i="14"/>
  <c r="M278" i="14"/>
  <c r="L278" i="14"/>
  <c r="K278" i="14"/>
  <c r="J278" i="14"/>
  <c r="I278" i="14"/>
  <c r="H278" i="14"/>
  <c r="G278" i="14"/>
  <c r="F278" i="14"/>
  <c r="E278" i="14"/>
  <c r="D278" i="14"/>
  <c r="C278" i="14"/>
  <c r="B278" i="14"/>
  <c r="Y277" i="14"/>
  <c r="X277" i="14"/>
  <c r="W277" i="14"/>
  <c r="V277" i="14"/>
  <c r="U277" i="14"/>
  <c r="T277" i="14"/>
  <c r="S277" i="14"/>
  <c r="R277" i="14"/>
  <c r="Q277" i="14"/>
  <c r="P277" i="14"/>
  <c r="O277" i="14"/>
  <c r="N277" i="14"/>
  <c r="M277" i="14"/>
  <c r="L277" i="14"/>
  <c r="K277" i="14"/>
  <c r="J277" i="14"/>
  <c r="I277" i="14"/>
  <c r="H277" i="14"/>
  <c r="G277" i="14"/>
  <c r="F277" i="14"/>
  <c r="E277" i="14"/>
  <c r="D277" i="14"/>
  <c r="C277" i="14"/>
  <c r="B277" i="14"/>
  <c r="Y276" i="14"/>
  <c r="X276" i="14"/>
  <c r="W276" i="14"/>
  <c r="V276" i="14"/>
  <c r="U276" i="14"/>
  <c r="T276" i="14"/>
  <c r="S276" i="14"/>
  <c r="R276" i="14"/>
  <c r="Q276" i="14"/>
  <c r="P276" i="14"/>
  <c r="O276" i="14"/>
  <c r="N276" i="14"/>
  <c r="M276" i="14"/>
  <c r="L276" i="14"/>
  <c r="K276" i="14"/>
  <c r="J276" i="14"/>
  <c r="I276" i="14"/>
  <c r="H276" i="14"/>
  <c r="G276" i="14"/>
  <c r="F276" i="14"/>
  <c r="E276" i="14"/>
  <c r="D276" i="14"/>
  <c r="C276" i="14"/>
  <c r="B276" i="14"/>
  <c r="Z275" i="14"/>
  <c r="Y275" i="14"/>
  <c r="X275" i="14"/>
  <c r="W275" i="14"/>
  <c r="V275" i="14"/>
  <c r="U275" i="14"/>
  <c r="T275" i="14"/>
  <c r="S275" i="14"/>
  <c r="R275" i="14"/>
  <c r="Q275" i="14"/>
  <c r="P275" i="14"/>
  <c r="O275" i="14"/>
  <c r="N275" i="14"/>
  <c r="M275" i="14"/>
  <c r="L275" i="14"/>
  <c r="K275" i="14"/>
  <c r="J275" i="14"/>
  <c r="I275" i="14"/>
  <c r="H275" i="14"/>
  <c r="G275" i="14"/>
  <c r="F275" i="14"/>
  <c r="E275" i="14"/>
  <c r="D275" i="14"/>
  <c r="C275" i="14"/>
  <c r="B275" i="14"/>
  <c r="Z274" i="14"/>
  <c r="Y274" i="14"/>
  <c r="X274" i="14"/>
  <c r="W274" i="14"/>
  <c r="V274" i="14"/>
  <c r="U274" i="14"/>
  <c r="T274" i="14"/>
  <c r="S274" i="14"/>
  <c r="R274" i="14"/>
  <c r="Q274" i="14"/>
  <c r="P274" i="14"/>
  <c r="O274" i="14"/>
  <c r="N274" i="14"/>
  <c r="M274" i="14"/>
  <c r="L274" i="14"/>
  <c r="K274" i="14"/>
  <c r="J274" i="14"/>
  <c r="I274" i="14"/>
  <c r="H274" i="14"/>
  <c r="G274" i="14"/>
  <c r="F274" i="14"/>
  <c r="E274" i="14"/>
  <c r="D274" i="14"/>
  <c r="C274" i="14"/>
  <c r="B274" i="14"/>
  <c r="Z273" i="14"/>
  <c r="Y273" i="14"/>
  <c r="X273" i="14"/>
  <c r="W273" i="14"/>
  <c r="V273" i="14"/>
  <c r="U273" i="14"/>
  <c r="T273" i="14"/>
  <c r="S273" i="14"/>
  <c r="R273" i="14"/>
  <c r="Q273" i="14"/>
  <c r="P273" i="14"/>
  <c r="O273" i="14"/>
  <c r="N273" i="14"/>
  <c r="M273" i="14"/>
  <c r="L273" i="14"/>
  <c r="K273" i="14"/>
  <c r="J273" i="14"/>
  <c r="I273" i="14"/>
  <c r="H273" i="14"/>
  <c r="G273" i="14"/>
  <c r="F273" i="14"/>
  <c r="E273" i="14"/>
  <c r="D273" i="14"/>
  <c r="C273" i="14"/>
  <c r="B273" i="14"/>
  <c r="Z272" i="14"/>
  <c r="Y272" i="14"/>
  <c r="X272" i="14"/>
  <c r="W272" i="14"/>
  <c r="V272" i="14"/>
  <c r="U272" i="14"/>
  <c r="T272" i="14"/>
  <c r="S272" i="14"/>
  <c r="R272" i="14"/>
  <c r="Q272" i="14"/>
  <c r="P272" i="14"/>
  <c r="O272" i="14"/>
  <c r="N272" i="14"/>
  <c r="M272" i="14"/>
  <c r="L272" i="14"/>
  <c r="K272" i="14"/>
  <c r="J272" i="14"/>
  <c r="I272" i="14"/>
  <c r="H272" i="14"/>
  <c r="G272" i="14"/>
  <c r="F272" i="14"/>
  <c r="E272" i="14"/>
  <c r="D272" i="14"/>
  <c r="C272" i="14"/>
  <c r="B272" i="14"/>
  <c r="Z271" i="14"/>
  <c r="Y271" i="14"/>
  <c r="X271" i="14"/>
  <c r="W271" i="14"/>
  <c r="V271" i="14"/>
  <c r="U271" i="14"/>
  <c r="T271" i="14"/>
  <c r="S271" i="14"/>
  <c r="R271" i="14"/>
  <c r="Q271" i="14"/>
  <c r="P271" i="14"/>
  <c r="O271" i="14"/>
  <c r="N271" i="14"/>
  <c r="M271" i="14"/>
  <c r="L271" i="14"/>
  <c r="K271" i="14"/>
  <c r="J271" i="14"/>
  <c r="I271" i="14"/>
  <c r="H271" i="14"/>
  <c r="G271" i="14"/>
  <c r="F271" i="14"/>
  <c r="E271" i="14"/>
  <c r="D271" i="14"/>
  <c r="C271" i="14"/>
  <c r="B271" i="14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Z148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Z147" i="14"/>
  <c r="Y147" i="14"/>
  <c r="X147" i="14"/>
  <c r="W147" i="14"/>
  <c r="V147" i="14"/>
  <c r="U147" i="14"/>
  <c r="T147" i="14"/>
  <c r="S147" i="14"/>
  <c r="R147" i="14"/>
  <c r="Q147" i="14"/>
  <c r="P147" i="14"/>
  <c r="O147" i="14"/>
  <c r="N147" i="14"/>
  <c r="M147" i="14"/>
  <c r="L147" i="14"/>
  <c r="K147" i="14"/>
  <c r="J147" i="14"/>
  <c r="I147" i="14"/>
  <c r="H147" i="14"/>
  <c r="Z146" i="14"/>
  <c r="Y146" i="14"/>
  <c r="X146" i="14"/>
  <c r="W146" i="14"/>
  <c r="V146" i="14"/>
  <c r="U146" i="14"/>
  <c r="T146" i="14"/>
  <c r="S146" i="14"/>
  <c r="R146" i="14"/>
  <c r="Q146" i="14"/>
  <c r="P146" i="14"/>
  <c r="O146" i="14"/>
  <c r="N146" i="14"/>
  <c r="M146" i="14"/>
  <c r="L146" i="14"/>
  <c r="K146" i="14"/>
  <c r="J146" i="14"/>
  <c r="I146" i="14"/>
  <c r="H146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K74" i="14"/>
  <c r="J74" i="14"/>
  <c r="I74" i="14"/>
  <c r="H74" i="14"/>
  <c r="G74" i="14"/>
  <c r="F74" i="14"/>
  <c r="E74" i="14"/>
  <c r="K73" i="14"/>
  <c r="J73" i="14"/>
  <c r="I73" i="14"/>
  <c r="H73" i="14"/>
  <c r="G73" i="14"/>
  <c r="F73" i="14"/>
  <c r="E73" i="14"/>
  <c r="K72" i="14"/>
  <c r="J72" i="14"/>
  <c r="I72" i="14"/>
  <c r="H72" i="14"/>
  <c r="G72" i="14"/>
  <c r="F72" i="14"/>
  <c r="E72" i="14"/>
  <c r="K71" i="14"/>
  <c r="J71" i="14"/>
  <c r="I71" i="14"/>
  <c r="H71" i="14"/>
  <c r="G71" i="14"/>
  <c r="F71" i="14"/>
  <c r="E71" i="14"/>
  <c r="K70" i="14"/>
  <c r="J70" i="14"/>
  <c r="I70" i="14"/>
  <c r="H70" i="14"/>
  <c r="G70" i="14"/>
  <c r="F70" i="14"/>
  <c r="E70" i="14"/>
  <c r="K69" i="14"/>
  <c r="J69" i="14"/>
  <c r="I69" i="14"/>
  <c r="H69" i="14"/>
  <c r="G69" i="14"/>
  <c r="F69" i="14"/>
  <c r="E69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D74" i="14"/>
  <c r="C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D73" i="14"/>
  <c r="C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D72" i="14"/>
  <c r="C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D71" i="14"/>
  <c r="C71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D70" i="14"/>
  <c r="C70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D69" i="14"/>
  <c r="C69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AC317" i="14" l="1"/>
  <c r="AB317" i="14"/>
  <c r="AA317" i="14"/>
  <c r="Z317" i="14"/>
  <c r="Y317" i="14"/>
  <c r="X317" i="14"/>
  <c r="W317" i="14"/>
  <c r="V317" i="14"/>
  <c r="U317" i="14"/>
  <c r="T317" i="14"/>
  <c r="S317" i="14"/>
  <c r="R317" i="14"/>
  <c r="Q317" i="14"/>
  <c r="P317" i="14"/>
  <c r="O317" i="14"/>
  <c r="N317" i="14"/>
  <c r="M317" i="14"/>
  <c r="L317" i="14"/>
  <c r="K317" i="14"/>
  <c r="J317" i="14"/>
  <c r="I317" i="14"/>
  <c r="H317" i="14"/>
  <c r="G317" i="14"/>
  <c r="F317" i="14"/>
  <c r="E317" i="14"/>
  <c r="D317" i="14"/>
  <c r="C317" i="14"/>
  <c r="B317" i="14"/>
  <c r="AC314" i="14"/>
  <c r="AB314" i="14"/>
  <c r="AA314" i="14"/>
  <c r="Z314" i="14"/>
  <c r="Y314" i="14"/>
  <c r="X314" i="14"/>
  <c r="W314" i="14"/>
  <c r="V314" i="14"/>
  <c r="U314" i="14"/>
  <c r="T314" i="14"/>
  <c r="S314" i="14"/>
  <c r="R314" i="14"/>
  <c r="Q314" i="14"/>
  <c r="P314" i="14"/>
  <c r="O314" i="14"/>
  <c r="N314" i="14"/>
  <c r="M314" i="14"/>
  <c r="L314" i="14"/>
  <c r="K314" i="14"/>
  <c r="J314" i="14"/>
  <c r="I314" i="14"/>
  <c r="H314" i="14"/>
  <c r="G314" i="14"/>
  <c r="F314" i="14"/>
  <c r="E314" i="14"/>
  <c r="D314" i="14"/>
  <c r="C314" i="14"/>
  <c r="B314" i="14"/>
  <c r="J305" i="14"/>
  <c r="J306" i="14" s="1"/>
  <c r="M304" i="14"/>
  <c r="M305" i="14" s="1"/>
  <c r="M306" i="14" s="1"/>
  <c r="M307" i="14" s="1"/>
  <c r="M308" i="14" s="1"/>
  <c r="M309" i="14" s="1"/>
  <c r="M310" i="14" s="1"/>
  <c r="M311" i="14" s="1"/>
  <c r="M312" i="14" s="1"/>
  <c r="M313" i="14" s="1"/>
  <c r="L304" i="14"/>
  <c r="L305" i="14" s="1"/>
  <c r="L306" i="14" s="1"/>
  <c r="L307" i="14" s="1"/>
  <c r="L308" i="14" s="1"/>
  <c r="L309" i="14" s="1"/>
  <c r="L310" i="14" s="1"/>
  <c r="L311" i="14" s="1"/>
  <c r="L312" i="14" s="1"/>
  <c r="L313" i="14" s="1"/>
  <c r="J304" i="14"/>
  <c r="M303" i="14"/>
  <c r="L303" i="14"/>
  <c r="J303" i="14"/>
  <c r="AC302" i="14"/>
  <c r="AB302" i="14"/>
  <c r="AA302" i="14"/>
  <c r="Z302" i="14"/>
  <c r="Y302" i="14"/>
  <c r="X302" i="14"/>
  <c r="W302" i="14"/>
  <c r="V302" i="14"/>
  <c r="U302" i="14"/>
  <c r="T302" i="14"/>
  <c r="S302" i="14"/>
  <c r="R302" i="14"/>
  <c r="Q302" i="14"/>
  <c r="P302" i="14"/>
  <c r="O302" i="14"/>
  <c r="N302" i="14"/>
  <c r="M302" i="14"/>
  <c r="L302" i="14"/>
  <c r="K302" i="14"/>
  <c r="J302" i="14"/>
  <c r="I302" i="14"/>
  <c r="H302" i="14"/>
  <c r="G302" i="14"/>
  <c r="F302" i="14"/>
  <c r="E302" i="14"/>
  <c r="D302" i="14"/>
  <c r="C302" i="14"/>
  <c r="B302" i="14"/>
  <c r="AC299" i="14"/>
  <c r="AB299" i="14"/>
  <c r="AA299" i="14"/>
  <c r="Z299" i="14"/>
  <c r="Z292" i="14"/>
  <c r="AC286" i="14"/>
  <c r="AB286" i="14"/>
  <c r="AA286" i="14"/>
  <c r="Z286" i="14"/>
  <c r="Y286" i="14"/>
  <c r="X286" i="14"/>
  <c r="W286" i="14"/>
  <c r="V286" i="14"/>
  <c r="U286" i="14"/>
  <c r="T286" i="14"/>
  <c r="S286" i="14"/>
  <c r="R286" i="14"/>
  <c r="Q286" i="14"/>
  <c r="P286" i="14"/>
  <c r="O286" i="14"/>
  <c r="N286" i="14"/>
  <c r="M286" i="14"/>
  <c r="L286" i="14"/>
  <c r="K286" i="14"/>
  <c r="J286" i="14"/>
  <c r="I286" i="14"/>
  <c r="H286" i="14"/>
  <c r="G286" i="14"/>
  <c r="F286" i="14"/>
  <c r="E286" i="14"/>
  <c r="D286" i="14"/>
  <c r="C286" i="14"/>
  <c r="B286" i="14"/>
  <c r="O283" i="14"/>
  <c r="O40" i="14" s="1"/>
  <c r="M283" i="14"/>
  <c r="M40" i="14" s="1"/>
  <c r="K283" i="14"/>
  <c r="K40" i="14" s="1"/>
  <c r="I283" i="14"/>
  <c r="H283" i="14"/>
  <c r="H40" i="14" s="1"/>
  <c r="V283" i="14"/>
  <c r="V40" i="14" s="1"/>
  <c r="G283" i="14"/>
  <c r="G40" i="14" s="1"/>
  <c r="R283" i="14"/>
  <c r="R40" i="14" s="1"/>
  <c r="C283" i="14"/>
  <c r="AC270" i="14"/>
  <c r="AB270" i="14"/>
  <c r="AA270" i="14"/>
  <c r="Z270" i="14"/>
  <c r="Y270" i="14"/>
  <c r="X270" i="14"/>
  <c r="W270" i="14"/>
  <c r="V270" i="14"/>
  <c r="U270" i="14"/>
  <c r="T270" i="14"/>
  <c r="S270" i="14"/>
  <c r="R270" i="14"/>
  <c r="Q270" i="14"/>
  <c r="P270" i="14"/>
  <c r="O270" i="14"/>
  <c r="N270" i="14"/>
  <c r="M270" i="14"/>
  <c r="L270" i="14"/>
  <c r="K270" i="14"/>
  <c r="J270" i="14"/>
  <c r="I270" i="14"/>
  <c r="H270" i="14"/>
  <c r="G270" i="14"/>
  <c r="F270" i="14"/>
  <c r="E270" i="14"/>
  <c r="D270" i="14"/>
  <c r="C270" i="14"/>
  <c r="B270" i="14"/>
  <c r="AC267" i="14"/>
  <c r="AB267" i="14"/>
  <c r="AA267" i="14"/>
  <c r="Z267" i="14"/>
  <c r="Y267" i="14"/>
  <c r="X267" i="14"/>
  <c r="W267" i="14"/>
  <c r="V267" i="14"/>
  <c r="U267" i="14"/>
  <c r="T267" i="14"/>
  <c r="S267" i="14"/>
  <c r="R267" i="14"/>
  <c r="Q267" i="14"/>
  <c r="P267" i="14"/>
  <c r="O267" i="14"/>
  <c r="N267" i="14"/>
  <c r="D265" i="14" s="1"/>
  <c r="M267" i="14"/>
  <c r="L267" i="14"/>
  <c r="K267" i="14"/>
  <c r="I267" i="14"/>
  <c r="H267" i="14"/>
  <c r="H264" i="14" s="1"/>
  <c r="G267" i="14"/>
  <c r="F267" i="14"/>
  <c r="E267" i="14"/>
  <c r="D267" i="14"/>
  <c r="C267" i="14"/>
  <c r="B267" i="14"/>
  <c r="H265" i="14"/>
  <c r="E265" i="14"/>
  <c r="AA263" i="14"/>
  <c r="H263" i="14"/>
  <c r="G263" i="14"/>
  <c r="F263" i="14"/>
  <c r="E263" i="14"/>
  <c r="D263" i="14"/>
  <c r="E261" i="14"/>
  <c r="G260" i="14"/>
  <c r="F260" i="14"/>
  <c r="D260" i="14"/>
  <c r="AB259" i="14"/>
  <c r="AA259" i="14"/>
  <c r="AC259" i="14" s="1"/>
  <c r="I259" i="14"/>
  <c r="J257" i="14"/>
  <c r="H257" i="14"/>
  <c r="G257" i="14"/>
  <c r="F257" i="14"/>
  <c r="J256" i="14"/>
  <c r="J255" i="14"/>
  <c r="AC254" i="14"/>
  <c r="AB254" i="14"/>
  <c r="AA254" i="14"/>
  <c r="Z254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Z251" i="14"/>
  <c r="Y251" i="14"/>
  <c r="X251" i="14"/>
  <c r="W251" i="14"/>
  <c r="V251" i="14"/>
  <c r="U251" i="14"/>
  <c r="T251" i="14"/>
  <c r="S251" i="14"/>
  <c r="R251" i="14"/>
  <c r="Q251" i="14"/>
  <c r="P251" i="14"/>
  <c r="O251" i="14"/>
  <c r="N251" i="14"/>
  <c r="M251" i="14"/>
  <c r="L251" i="14"/>
  <c r="K251" i="14"/>
  <c r="J251" i="14"/>
  <c r="I251" i="14"/>
  <c r="H251" i="14"/>
  <c r="G251" i="14"/>
  <c r="F251" i="14"/>
  <c r="E251" i="14"/>
  <c r="D251" i="14"/>
  <c r="C251" i="14"/>
  <c r="B251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B235" i="14"/>
  <c r="AA235" i="14"/>
  <c r="Q234" i="14"/>
  <c r="P234" i="14"/>
  <c r="P250" i="14" s="1"/>
  <c r="O233" i="14"/>
  <c r="N233" i="14"/>
  <c r="X232" i="14"/>
  <c r="Y231" i="14"/>
  <c r="X231" i="14"/>
  <c r="W231" i="14"/>
  <c r="U231" i="14"/>
  <c r="C231" i="14"/>
  <c r="R229" i="14"/>
  <c r="Q229" i="14"/>
  <c r="P229" i="14"/>
  <c r="N229" i="14"/>
  <c r="M229" i="14"/>
  <c r="T228" i="14"/>
  <c r="S228" i="14"/>
  <c r="G227" i="14"/>
  <c r="F227" i="14"/>
  <c r="E227" i="14"/>
  <c r="D227" i="14"/>
  <c r="Z226" i="14"/>
  <c r="L226" i="14"/>
  <c r="K226" i="14"/>
  <c r="Z225" i="14"/>
  <c r="Y225" i="14"/>
  <c r="Y241" i="14" s="1"/>
  <c r="V225" i="14"/>
  <c r="V241" i="14" s="1"/>
  <c r="Y224" i="14"/>
  <c r="V224" i="14"/>
  <c r="V240" i="14" s="1"/>
  <c r="U224" i="14"/>
  <c r="T224" i="14"/>
  <c r="Q223" i="14"/>
  <c r="AC222" i="14"/>
  <c r="AB222" i="14"/>
  <c r="AA222" i="14"/>
  <c r="Z222" i="14"/>
  <c r="Y222" i="14"/>
  <c r="X222" i="14"/>
  <c r="W222" i="14"/>
  <c r="V222" i="14"/>
  <c r="U222" i="14"/>
  <c r="T222" i="14"/>
  <c r="S222" i="14"/>
  <c r="R222" i="14"/>
  <c r="Q222" i="14"/>
  <c r="P222" i="14"/>
  <c r="O222" i="14"/>
  <c r="N222" i="14"/>
  <c r="M222" i="14"/>
  <c r="L222" i="14"/>
  <c r="K222" i="14"/>
  <c r="J222" i="14"/>
  <c r="I222" i="14"/>
  <c r="H222" i="14"/>
  <c r="G222" i="14"/>
  <c r="F222" i="14"/>
  <c r="E222" i="14"/>
  <c r="D222" i="14"/>
  <c r="C222" i="14"/>
  <c r="B222" i="14"/>
  <c r="Y219" i="14"/>
  <c r="X219" i="14"/>
  <c r="W219" i="14"/>
  <c r="V219" i="14"/>
  <c r="U219" i="14"/>
  <c r="T219" i="14"/>
  <c r="T33" i="14" s="1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B213" i="14"/>
  <c r="B212" i="14"/>
  <c r="AC206" i="14"/>
  <c r="AB206" i="14"/>
  <c r="AA206" i="14"/>
  <c r="Z206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AC190" i="14"/>
  <c r="AB190" i="14"/>
  <c r="AA190" i="14"/>
  <c r="Z190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AC187" i="14"/>
  <c r="AB187" i="14"/>
  <c r="AA187" i="14"/>
  <c r="Z187" i="14"/>
  <c r="Y187" i="14"/>
  <c r="X187" i="14"/>
  <c r="W187" i="14"/>
  <c r="V187" i="14"/>
  <c r="U187" i="14"/>
  <c r="T187" i="14"/>
  <c r="S187" i="14"/>
  <c r="R187" i="14"/>
  <c r="Q187" i="14"/>
  <c r="P187" i="14"/>
  <c r="O187" i="14"/>
  <c r="N187" i="14"/>
  <c r="M187" i="14"/>
  <c r="L187" i="14"/>
  <c r="K187" i="14"/>
  <c r="J187" i="14"/>
  <c r="I187" i="14"/>
  <c r="H187" i="14"/>
  <c r="G187" i="14"/>
  <c r="F187" i="14"/>
  <c r="E187" i="14"/>
  <c r="D187" i="14"/>
  <c r="C187" i="14"/>
  <c r="B187" i="14"/>
  <c r="Z177" i="14"/>
  <c r="Y177" i="14"/>
  <c r="AB176" i="14"/>
  <c r="Z176" i="14"/>
  <c r="Y176" i="14"/>
  <c r="X176" i="14"/>
  <c r="X177" i="14" s="1"/>
  <c r="W176" i="14"/>
  <c r="V176" i="14"/>
  <c r="U176" i="14"/>
  <c r="T176" i="14"/>
  <c r="G176" i="14"/>
  <c r="F176" i="14"/>
  <c r="D176" i="14"/>
  <c r="C176" i="14"/>
  <c r="B176" i="14"/>
  <c r="AC175" i="14"/>
  <c r="AB175" i="14"/>
  <c r="AA175" i="14"/>
  <c r="Z175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AC159" i="14"/>
  <c r="AB159" i="14"/>
  <c r="AA159" i="14"/>
  <c r="Z159" i="14"/>
  <c r="Y159" i="14"/>
  <c r="X159" i="14"/>
  <c r="W159" i="14"/>
  <c r="V159" i="14"/>
  <c r="U159" i="14"/>
  <c r="T159" i="14"/>
  <c r="S159" i="14"/>
  <c r="R159" i="14"/>
  <c r="Q159" i="14"/>
  <c r="P159" i="14"/>
  <c r="O159" i="14"/>
  <c r="N159" i="14"/>
  <c r="M159" i="14"/>
  <c r="L159" i="14"/>
  <c r="K159" i="14"/>
  <c r="J159" i="14"/>
  <c r="I159" i="14"/>
  <c r="H159" i="14"/>
  <c r="G159" i="14"/>
  <c r="F159" i="14"/>
  <c r="E159" i="14"/>
  <c r="D159" i="14"/>
  <c r="C159" i="14"/>
  <c r="B159" i="14"/>
  <c r="AC156" i="14"/>
  <c r="AB156" i="14"/>
  <c r="AA156" i="14"/>
  <c r="Z156" i="14"/>
  <c r="P156" i="14"/>
  <c r="O156" i="14"/>
  <c r="O27" i="14" s="1"/>
  <c r="G156" i="14"/>
  <c r="F156" i="14"/>
  <c r="E156" i="14"/>
  <c r="D156" i="14"/>
  <c r="C156" i="14"/>
  <c r="B156" i="14"/>
  <c r="R156" i="14"/>
  <c r="R27" i="14" s="1"/>
  <c r="Q156" i="14"/>
  <c r="Y156" i="14"/>
  <c r="Y27" i="14" s="1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R24" i="14" s="1"/>
  <c r="Q140" i="14"/>
  <c r="Q24" i="14" s="1"/>
  <c r="P140" i="14"/>
  <c r="P24" i="14" s="1"/>
  <c r="O140" i="14"/>
  <c r="O24" i="14" s="1"/>
  <c r="N140" i="14"/>
  <c r="M140" i="14"/>
  <c r="L140" i="14"/>
  <c r="K140" i="14"/>
  <c r="J140" i="14"/>
  <c r="I140" i="14"/>
  <c r="D140" i="14"/>
  <c r="C140" i="14"/>
  <c r="B140" i="14"/>
  <c r="G139" i="14"/>
  <c r="F139" i="14"/>
  <c r="E139" i="14"/>
  <c r="D139" i="14"/>
  <c r="AA138" i="14"/>
  <c r="Z138" i="14"/>
  <c r="AC138" i="14" s="1"/>
  <c r="G138" i="14"/>
  <c r="F138" i="14"/>
  <c r="E138" i="14"/>
  <c r="D138" i="14"/>
  <c r="G137" i="14"/>
  <c r="F137" i="14"/>
  <c r="E137" i="14"/>
  <c r="D137" i="14"/>
  <c r="AA136" i="14"/>
  <c r="G136" i="14"/>
  <c r="F136" i="14"/>
  <c r="E136" i="14"/>
  <c r="D136" i="14"/>
  <c r="G135" i="14"/>
  <c r="F135" i="14"/>
  <c r="E135" i="14"/>
  <c r="D135" i="14"/>
  <c r="AA134" i="14"/>
  <c r="G134" i="14"/>
  <c r="F134" i="14"/>
  <c r="E134" i="14"/>
  <c r="D134" i="14"/>
  <c r="G133" i="14"/>
  <c r="F133" i="14"/>
  <c r="E133" i="14"/>
  <c r="D133" i="14"/>
  <c r="C133" i="14"/>
  <c r="B133" i="14"/>
  <c r="AA132" i="14"/>
  <c r="G132" i="14"/>
  <c r="F132" i="14"/>
  <c r="E132" i="14"/>
  <c r="D132" i="14"/>
  <c r="AA131" i="14"/>
  <c r="AC131" i="14" s="1"/>
  <c r="G131" i="14"/>
  <c r="F131" i="14"/>
  <c r="E131" i="14"/>
  <c r="D131" i="14"/>
  <c r="AB130" i="14"/>
  <c r="AA130" i="14"/>
  <c r="H130" i="14"/>
  <c r="G130" i="14"/>
  <c r="F130" i="14"/>
  <c r="E130" i="14"/>
  <c r="AC129" i="14"/>
  <c r="AA129" i="14"/>
  <c r="H129" i="14"/>
  <c r="G129" i="14"/>
  <c r="F129" i="14"/>
  <c r="E129" i="14"/>
  <c r="H128" i="14"/>
  <c r="G128" i="14"/>
  <c r="F128" i="14"/>
  <c r="E128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AC124" i="14"/>
  <c r="AB124" i="14"/>
  <c r="AA124" i="14"/>
  <c r="P123" i="14"/>
  <c r="O123" i="14"/>
  <c r="D122" i="14"/>
  <c r="Y121" i="14"/>
  <c r="K121" i="14"/>
  <c r="H121" i="14"/>
  <c r="F121" i="14"/>
  <c r="E121" i="14"/>
  <c r="C121" i="14"/>
  <c r="K120" i="14"/>
  <c r="Q119" i="14"/>
  <c r="N119" i="14"/>
  <c r="M119" i="14"/>
  <c r="L119" i="14"/>
  <c r="C118" i="14"/>
  <c r="C245" i="14" s="1"/>
  <c r="E117" i="14"/>
  <c r="D117" i="14"/>
  <c r="M116" i="14"/>
  <c r="K116" i="14"/>
  <c r="H115" i="14"/>
  <c r="H242" i="14" s="1"/>
  <c r="E115" i="14"/>
  <c r="X114" i="14"/>
  <c r="L113" i="14"/>
  <c r="D113" i="14"/>
  <c r="J112" i="14"/>
  <c r="H112" i="14"/>
  <c r="G112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07" i="14"/>
  <c r="Y123" i="14" s="1"/>
  <c r="V107" i="14"/>
  <c r="V123" i="14" s="1"/>
  <c r="U107" i="14"/>
  <c r="U123" i="14" s="1"/>
  <c r="T107" i="14"/>
  <c r="T123" i="14" s="1"/>
  <c r="S107" i="14"/>
  <c r="S123" i="14" s="1"/>
  <c r="R107" i="14"/>
  <c r="R123" i="14" s="1"/>
  <c r="Q107" i="14"/>
  <c r="Q123" i="14" s="1"/>
  <c r="P107" i="14"/>
  <c r="O107" i="14"/>
  <c r="N107" i="14"/>
  <c r="N123" i="14" s="1"/>
  <c r="X106" i="14"/>
  <c r="X122" i="14" s="1"/>
  <c r="W106" i="14"/>
  <c r="W122" i="14" s="1"/>
  <c r="V106" i="14"/>
  <c r="V122" i="14" s="1"/>
  <c r="U106" i="14"/>
  <c r="U122" i="14" s="1"/>
  <c r="T106" i="14"/>
  <c r="T122" i="14" s="1"/>
  <c r="N106" i="14"/>
  <c r="N122" i="14" s="1"/>
  <c r="M106" i="14"/>
  <c r="M122" i="14" s="1"/>
  <c r="I106" i="14"/>
  <c r="I122" i="14" s="1"/>
  <c r="E106" i="14"/>
  <c r="E122" i="14" s="1"/>
  <c r="D106" i="14"/>
  <c r="P105" i="14"/>
  <c r="P121" i="14" s="1"/>
  <c r="O105" i="14"/>
  <c r="O121" i="14" s="1"/>
  <c r="N105" i="14"/>
  <c r="N121" i="14" s="1"/>
  <c r="K105" i="14"/>
  <c r="H105" i="14"/>
  <c r="F105" i="14"/>
  <c r="E105" i="14"/>
  <c r="D105" i="14"/>
  <c r="D121" i="14" s="1"/>
  <c r="D248" i="14" s="1"/>
  <c r="V104" i="14"/>
  <c r="V120" i="14" s="1"/>
  <c r="S104" i="14"/>
  <c r="S120" i="14" s="1"/>
  <c r="R104" i="14"/>
  <c r="R120" i="14" s="1"/>
  <c r="K104" i="14"/>
  <c r="Y103" i="14"/>
  <c r="Y119" i="14" s="1"/>
  <c r="X103" i="14"/>
  <c r="X119" i="14" s="1"/>
  <c r="V103" i="14"/>
  <c r="V119" i="14" s="1"/>
  <c r="U103" i="14"/>
  <c r="U119" i="14" s="1"/>
  <c r="T103" i="14"/>
  <c r="T119" i="14" s="1"/>
  <c r="S103" i="14"/>
  <c r="S119" i="14" s="1"/>
  <c r="R103" i="14"/>
  <c r="R119" i="14" s="1"/>
  <c r="Q103" i="14"/>
  <c r="C103" i="14"/>
  <c r="C119" i="14" s="1"/>
  <c r="Z102" i="14"/>
  <c r="Z118" i="14" s="1"/>
  <c r="Y102" i="14"/>
  <c r="Y118" i="14" s="1"/>
  <c r="X102" i="14"/>
  <c r="X118" i="14" s="1"/>
  <c r="W102" i="14"/>
  <c r="W118" i="14" s="1"/>
  <c r="V102" i="14"/>
  <c r="V118" i="14" s="1"/>
  <c r="M102" i="14"/>
  <c r="M118" i="14" s="1"/>
  <c r="E102" i="14"/>
  <c r="E118" i="14" s="1"/>
  <c r="D102" i="14"/>
  <c r="D118" i="14" s="1"/>
  <c r="C102" i="14"/>
  <c r="X101" i="14"/>
  <c r="X117" i="14" s="1"/>
  <c r="J101" i="14"/>
  <c r="J117" i="14" s="1"/>
  <c r="I101" i="14"/>
  <c r="I117" i="14" s="1"/>
  <c r="G101" i="14"/>
  <c r="G117" i="14" s="1"/>
  <c r="F101" i="14"/>
  <c r="F117" i="14" s="1"/>
  <c r="W100" i="14"/>
  <c r="W116" i="14" s="1"/>
  <c r="U100" i="14"/>
  <c r="U116" i="14" s="1"/>
  <c r="O100" i="14"/>
  <c r="O116" i="14" s="1"/>
  <c r="M100" i="14"/>
  <c r="L100" i="14"/>
  <c r="L116" i="14" s="1"/>
  <c r="Z99" i="14"/>
  <c r="Z115" i="14" s="1"/>
  <c r="Y99" i="14"/>
  <c r="Y115" i="14" s="1"/>
  <c r="X99" i="14"/>
  <c r="X115" i="14" s="1"/>
  <c r="W99" i="14"/>
  <c r="W115" i="14" s="1"/>
  <c r="V99" i="14"/>
  <c r="V115" i="14" s="1"/>
  <c r="S99" i="14"/>
  <c r="S115" i="14" s="1"/>
  <c r="H99" i="14"/>
  <c r="G99" i="14"/>
  <c r="G115" i="14" s="1"/>
  <c r="F99" i="14"/>
  <c r="F115" i="14" s="1"/>
  <c r="E99" i="14"/>
  <c r="Y98" i="14"/>
  <c r="Y114" i="14" s="1"/>
  <c r="X98" i="14"/>
  <c r="F98" i="14"/>
  <c r="F114" i="14" s="1"/>
  <c r="E98" i="14"/>
  <c r="E114" i="14" s="1"/>
  <c r="C98" i="14"/>
  <c r="C114" i="14" s="1"/>
  <c r="Z97" i="14"/>
  <c r="Z113" i="14" s="1"/>
  <c r="Y97" i="14"/>
  <c r="Y113" i="14" s="1"/>
  <c r="L97" i="14"/>
  <c r="K97" i="14"/>
  <c r="K113" i="14" s="1"/>
  <c r="I97" i="14"/>
  <c r="I113" i="14" s="1"/>
  <c r="H97" i="14"/>
  <c r="H113" i="14" s="1"/>
  <c r="E97" i="14"/>
  <c r="E113" i="14" s="1"/>
  <c r="D97" i="14"/>
  <c r="R96" i="14"/>
  <c r="Q96" i="14"/>
  <c r="O96" i="14"/>
  <c r="N96" i="14"/>
  <c r="N112" i="14" s="1"/>
  <c r="K96" i="14"/>
  <c r="J96" i="14"/>
  <c r="H96" i="14"/>
  <c r="G96" i="14"/>
  <c r="B96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AC92" i="14"/>
  <c r="AB92" i="14"/>
  <c r="AA92" i="14"/>
  <c r="Z92" i="14"/>
  <c r="E92" i="14"/>
  <c r="E12" i="14" s="1"/>
  <c r="E93" i="14" s="1"/>
  <c r="Y91" i="14"/>
  <c r="Y233" i="14" s="1"/>
  <c r="X91" i="14"/>
  <c r="W91" i="14"/>
  <c r="V91" i="14"/>
  <c r="V233" i="14" s="1"/>
  <c r="V249" i="14" s="1"/>
  <c r="U91" i="14"/>
  <c r="U233" i="14" s="1"/>
  <c r="T91" i="14"/>
  <c r="T233" i="14" s="1"/>
  <c r="S91" i="14"/>
  <c r="S233" i="14" s="1"/>
  <c r="R91" i="14"/>
  <c r="R233" i="14" s="1"/>
  <c r="Q91" i="14"/>
  <c r="Q233" i="14" s="1"/>
  <c r="P91" i="14"/>
  <c r="P233" i="14" s="1"/>
  <c r="O91" i="14"/>
  <c r="N91" i="14"/>
  <c r="M91" i="14"/>
  <c r="L91" i="14"/>
  <c r="K91" i="14"/>
  <c r="J91" i="14"/>
  <c r="I91" i="14"/>
  <c r="H91" i="14"/>
  <c r="G91" i="14"/>
  <c r="G233" i="14" s="1"/>
  <c r="F91" i="14"/>
  <c r="E91" i="14"/>
  <c r="D91" i="14"/>
  <c r="C91" i="14"/>
  <c r="Y90" i="14"/>
  <c r="Y232" i="14" s="1"/>
  <c r="Y248" i="14" s="1"/>
  <c r="X90" i="14"/>
  <c r="W90" i="14"/>
  <c r="W232" i="14" s="1"/>
  <c r="V90" i="14"/>
  <c r="V232" i="14" s="1"/>
  <c r="U90" i="14"/>
  <c r="U232" i="14" s="1"/>
  <c r="T90" i="14"/>
  <c r="T232" i="14" s="1"/>
  <c r="S90" i="14"/>
  <c r="R90" i="14"/>
  <c r="Q90" i="14"/>
  <c r="P90" i="14"/>
  <c r="P232" i="14" s="1"/>
  <c r="O90" i="14"/>
  <c r="N90" i="14"/>
  <c r="N232" i="14" s="1"/>
  <c r="M90" i="14"/>
  <c r="M232" i="14" s="1"/>
  <c r="L90" i="14"/>
  <c r="K90" i="14"/>
  <c r="J90" i="14"/>
  <c r="I90" i="14"/>
  <c r="I232" i="14" s="1"/>
  <c r="H90" i="14"/>
  <c r="H106" i="14" s="1"/>
  <c r="H122" i="14" s="1"/>
  <c r="G90" i="14"/>
  <c r="F90" i="14"/>
  <c r="E90" i="14"/>
  <c r="E232" i="14" s="1"/>
  <c r="D90" i="14"/>
  <c r="D232" i="14" s="1"/>
  <c r="C90" i="14"/>
  <c r="Y89" i="14"/>
  <c r="Y105" i="14" s="1"/>
  <c r="X89" i="14"/>
  <c r="X105" i="14" s="1"/>
  <c r="X121" i="14" s="1"/>
  <c r="W89" i="14"/>
  <c r="W105" i="14" s="1"/>
  <c r="W121" i="14" s="1"/>
  <c r="V89" i="14"/>
  <c r="U89" i="14"/>
  <c r="U105" i="14" s="1"/>
  <c r="U121" i="14" s="1"/>
  <c r="T89" i="14"/>
  <c r="S89" i="14"/>
  <c r="R89" i="14"/>
  <c r="Q89" i="14"/>
  <c r="P89" i="14"/>
  <c r="P231" i="14" s="1"/>
  <c r="O89" i="14"/>
  <c r="O231" i="14" s="1"/>
  <c r="N89" i="14"/>
  <c r="N231" i="14" s="1"/>
  <c r="M89" i="14"/>
  <c r="L89" i="14"/>
  <c r="K89" i="14"/>
  <c r="K231" i="14" s="1"/>
  <c r="K247" i="14" s="1"/>
  <c r="J89" i="14"/>
  <c r="I89" i="14"/>
  <c r="I231" i="14" s="1"/>
  <c r="H89" i="14"/>
  <c r="H231" i="14" s="1"/>
  <c r="G89" i="14"/>
  <c r="F89" i="14"/>
  <c r="F231" i="14" s="1"/>
  <c r="E89" i="14"/>
  <c r="E231" i="14" s="1"/>
  <c r="D89" i="14"/>
  <c r="D231" i="14" s="1"/>
  <c r="C89" i="14"/>
  <c r="C105" i="14" s="1"/>
  <c r="Y88" i="14"/>
  <c r="Y230" i="14" s="1"/>
  <c r="X88" i="14"/>
  <c r="X230" i="14" s="1"/>
  <c r="W88" i="14"/>
  <c r="W230" i="14" s="1"/>
  <c r="V88" i="14"/>
  <c r="V230" i="14" s="1"/>
  <c r="U88" i="14"/>
  <c r="T88" i="14"/>
  <c r="S88" i="14"/>
  <c r="S230" i="14" s="1"/>
  <c r="R88" i="14"/>
  <c r="R230" i="14" s="1"/>
  <c r="Q88" i="14"/>
  <c r="P88" i="14"/>
  <c r="P230" i="14" s="1"/>
  <c r="O88" i="14"/>
  <c r="O230" i="14" s="1"/>
  <c r="N88" i="14"/>
  <c r="N230" i="14" s="1"/>
  <c r="M88" i="14"/>
  <c r="M230" i="14" s="1"/>
  <c r="L88" i="14"/>
  <c r="L230" i="14" s="1"/>
  <c r="K88" i="14"/>
  <c r="K230" i="14" s="1"/>
  <c r="K246" i="14" s="1"/>
  <c r="J88" i="14"/>
  <c r="J230" i="14" s="1"/>
  <c r="I88" i="14"/>
  <c r="H88" i="14"/>
  <c r="G88" i="14"/>
  <c r="F88" i="14"/>
  <c r="E88" i="14"/>
  <c r="D88" i="14"/>
  <c r="C88" i="14"/>
  <c r="Y87" i="14"/>
  <c r="Y229" i="14" s="1"/>
  <c r="X87" i="14"/>
  <c r="X229" i="14" s="1"/>
  <c r="W87" i="14"/>
  <c r="V87" i="14"/>
  <c r="V229" i="14" s="1"/>
  <c r="U87" i="14"/>
  <c r="U229" i="14" s="1"/>
  <c r="T87" i="14"/>
  <c r="T229" i="14" s="1"/>
  <c r="S87" i="14"/>
  <c r="S229" i="14" s="1"/>
  <c r="R87" i="14"/>
  <c r="Q87" i="14"/>
  <c r="P87" i="14"/>
  <c r="P103" i="14" s="1"/>
  <c r="P119" i="14" s="1"/>
  <c r="O87" i="14"/>
  <c r="N87" i="14"/>
  <c r="N103" i="14" s="1"/>
  <c r="M87" i="14"/>
  <c r="M103" i="14" s="1"/>
  <c r="L87" i="14"/>
  <c r="L103" i="14" s="1"/>
  <c r="K87" i="14"/>
  <c r="K103" i="14" s="1"/>
  <c r="K119" i="14" s="1"/>
  <c r="J87" i="14"/>
  <c r="I87" i="14"/>
  <c r="H87" i="14"/>
  <c r="G87" i="14"/>
  <c r="F87" i="14"/>
  <c r="E87" i="14"/>
  <c r="D87" i="14"/>
  <c r="C87" i="14"/>
  <c r="C229" i="14" s="1"/>
  <c r="Z86" i="14"/>
  <c r="Z228" i="14" s="1"/>
  <c r="Y86" i="14"/>
  <c r="Y228" i="14" s="1"/>
  <c r="X86" i="14"/>
  <c r="X228" i="14" s="1"/>
  <c r="W86" i="14"/>
  <c r="W228" i="14" s="1"/>
  <c r="V86" i="14"/>
  <c r="V228" i="14" s="1"/>
  <c r="U86" i="14"/>
  <c r="T86" i="14"/>
  <c r="T102" i="14" s="1"/>
  <c r="T118" i="14" s="1"/>
  <c r="S86" i="14"/>
  <c r="S102" i="14" s="1"/>
  <c r="S118" i="14" s="1"/>
  <c r="R86" i="14"/>
  <c r="Q86" i="14"/>
  <c r="P86" i="14"/>
  <c r="P228" i="14" s="1"/>
  <c r="O86" i="14"/>
  <c r="N86" i="14"/>
  <c r="M86" i="14"/>
  <c r="M228" i="14" s="1"/>
  <c r="L86" i="14"/>
  <c r="K86" i="14"/>
  <c r="J86" i="14"/>
  <c r="I86" i="14"/>
  <c r="H86" i="14"/>
  <c r="G86" i="14"/>
  <c r="F86" i="14"/>
  <c r="E86" i="14"/>
  <c r="E228" i="14" s="1"/>
  <c r="D86" i="14"/>
  <c r="D228" i="14" s="1"/>
  <c r="C86" i="14"/>
  <c r="C228" i="14" s="1"/>
  <c r="Z85" i="14"/>
  <c r="Y85" i="14"/>
  <c r="X85" i="14"/>
  <c r="X227" i="14" s="1"/>
  <c r="W85" i="14"/>
  <c r="V85" i="14"/>
  <c r="V227" i="14" s="1"/>
  <c r="U85" i="14"/>
  <c r="T85" i="14"/>
  <c r="S85" i="14"/>
  <c r="R85" i="14"/>
  <c r="Q85" i="14"/>
  <c r="P85" i="14"/>
  <c r="O85" i="14"/>
  <c r="N85" i="14"/>
  <c r="M85" i="14"/>
  <c r="L85" i="14"/>
  <c r="K85" i="14"/>
  <c r="J85" i="14"/>
  <c r="J227" i="14" s="1"/>
  <c r="I85" i="14"/>
  <c r="I227" i="14" s="1"/>
  <c r="H85" i="14"/>
  <c r="G85" i="14"/>
  <c r="F85" i="14"/>
  <c r="E85" i="14"/>
  <c r="E101" i="14" s="1"/>
  <c r="D85" i="14"/>
  <c r="D101" i="14" s="1"/>
  <c r="C85" i="14"/>
  <c r="Z84" i="14"/>
  <c r="Z100" i="14" s="1"/>
  <c r="Z116" i="14" s="1"/>
  <c r="Y84" i="14"/>
  <c r="X84" i="14"/>
  <c r="W84" i="14"/>
  <c r="W226" i="14" s="1"/>
  <c r="V84" i="14"/>
  <c r="V226" i="14" s="1"/>
  <c r="U84" i="14"/>
  <c r="U226" i="14" s="1"/>
  <c r="T84" i="14"/>
  <c r="T226" i="14" s="1"/>
  <c r="S84" i="14"/>
  <c r="R84" i="14"/>
  <c r="Q84" i="14"/>
  <c r="P84" i="14"/>
  <c r="P226" i="14" s="1"/>
  <c r="O84" i="14"/>
  <c r="O226" i="14" s="1"/>
  <c r="N84" i="14"/>
  <c r="M84" i="14"/>
  <c r="M226" i="14" s="1"/>
  <c r="L84" i="14"/>
  <c r="K84" i="14"/>
  <c r="K100" i="14" s="1"/>
  <c r="J84" i="14"/>
  <c r="I84" i="14"/>
  <c r="H84" i="14"/>
  <c r="H226" i="14" s="1"/>
  <c r="G84" i="14"/>
  <c r="F84" i="14"/>
  <c r="E84" i="14"/>
  <c r="E226" i="14" s="1"/>
  <c r="D84" i="14"/>
  <c r="C84" i="14"/>
  <c r="Z83" i="14"/>
  <c r="Y83" i="14"/>
  <c r="X83" i="14"/>
  <c r="X225" i="14" s="1"/>
  <c r="W83" i="14"/>
  <c r="W225" i="14" s="1"/>
  <c r="W241" i="14" s="1"/>
  <c r="V83" i="14"/>
  <c r="U83" i="14"/>
  <c r="U225" i="14" s="1"/>
  <c r="T83" i="14"/>
  <c r="S83" i="14"/>
  <c r="S225" i="14" s="1"/>
  <c r="R83" i="14"/>
  <c r="R225" i="14" s="1"/>
  <c r="Q83" i="14"/>
  <c r="P83" i="14"/>
  <c r="O83" i="14"/>
  <c r="N83" i="14"/>
  <c r="N225" i="14" s="1"/>
  <c r="M83" i="14"/>
  <c r="L83" i="14"/>
  <c r="K83" i="14"/>
  <c r="J83" i="14"/>
  <c r="I83" i="14"/>
  <c r="H83" i="14"/>
  <c r="H225" i="14" s="1"/>
  <c r="G83" i="14"/>
  <c r="G225" i="14" s="1"/>
  <c r="F83" i="14"/>
  <c r="F225" i="14" s="1"/>
  <c r="E83" i="14"/>
  <c r="E225" i="14" s="1"/>
  <c r="D83" i="14"/>
  <c r="C83" i="14"/>
  <c r="Z82" i="14"/>
  <c r="Y82" i="14"/>
  <c r="X82" i="14"/>
  <c r="X224" i="14" s="1"/>
  <c r="W82" i="14"/>
  <c r="W98" i="14" s="1"/>
  <c r="W114" i="14" s="1"/>
  <c r="V82" i="14"/>
  <c r="V98" i="14" s="1"/>
  <c r="V114" i="14" s="1"/>
  <c r="U82" i="14"/>
  <c r="U98" i="14" s="1"/>
  <c r="U114" i="14" s="1"/>
  <c r="T82" i="14"/>
  <c r="T98" i="14" s="1"/>
  <c r="T114" i="14" s="1"/>
  <c r="S82" i="14"/>
  <c r="R82" i="14"/>
  <c r="Q82" i="14"/>
  <c r="P82" i="14"/>
  <c r="O82" i="14"/>
  <c r="N82" i="14"/>
  <c r="M82" i="14"/>
  <c r="L82" i="14"/>
  <c r="K82" i="14"/>
  <c r="J82" i="14"/>
  <c r="I82" i="14"/>
  <c r="H82" i="14"/>
  <c r="H224" i="14" s="1"/>
  <c r="G82" i="14"/>
  <c r="G224" i="14" s="1"/>
  <c r="F82" i="14"/>
  <c r="F224" i="14" s="1"/>
  <c r="E82" i="14"/>
  <c r="E224" i="14" s="1"/>
  <c r="D82" i="14"/>
  <c r="D224" i="14" s="1"/>
  <c r="C82" i="14"/>
  <c r="C224" i="14" s="1"/>
  <c r="Z81" i="14"/>
  <c r="Z223" i="14" s="1"/>
  <c r="Y81" i="14"/>
  <c r="Y223" i="14" s="1"/>
  <c r="X81" i="14"/>
  <c r="X97" i="14" s="1"/>
  <c r="X113" i="14" s="1"/>
  <c r="W81" i="14"/>
  <c r="W97" i="14" s="1"/>
  <c r="W113" i="14" s="1"/>
  <c r="V81" i="14"/>
  <c r="V97" i="14" s="1"/>
  <c r="V113" i="14" s="1"/>
  <c r="U81" i="14"/>
  <c r="U97" i="14" s="1"/>
  <c r="U113" i="14" s="1"/>
  <c r="T81" i="14"/>
  <c r="T97" i="14" s="1"/>
  <c r="T113" i="14" s="1"/>
  <c r="S81" i="14"/>
  <c r="R81" i="14"/>
  <c r="Q81" i="14"/>
  <c r="Q97" i="14" s="1"/>
  <c r="Q113" i="14" s="1"/>
  <c r="P81" i="14"/>
  <c r="O81" i="14"/>
  <c r="N81" i="14"/>
  <c r="M81" i="14"/>
  <c r="L81" i="14"/>
  <c r="L223" i="14" s="1"/>
  <c r="K81" i="14"/>
  <c r="K223" i="14" s="1"/>
  <c r="J81" i="14"/>
  <c r="I81" i="14"/>
  <c r="I223" i="14" s="1"/>
  <c r="H81" i="14"/>
  <c r="H223" i="14" s="1"/>
  <c r="G81" i="14"/>
  <c r="F81" i="14"/>
  <c r="E81" i="14"/>
  <c r="E223" i="14" s="1"/>
  <c r="D81" i="14"/>
  <c r="D223" i="14" s="1"/>
  <c r="C81" i="14"/>
  <c r="Z80" i="14"/>
  <c r="Y80" i="14"/>
  <c r="X80" i="14"/>
  <c r="W80" i="14"/>
  <c r="V80" i="14"/>
  <c r="U80" i="14"/>
  <c r="T80" i="14"/>
  <c r="S80" i="14"/>
  <c r="R80" i="14"/>
  <c r="Q80" i="14"/>
  <c r="Q92" i="14" s="1"/>
  <c r="Q12" i="14" s="1"/>
  <c r="Q93" i="14" s="1"/>
  <c r="P80" i="14"/>
  <c r="O80" i="14"/>
  <c r="N234" i="14" s="1"/>
  <c r="N80" i="14"/>
  <c r="M234" i="14" s="1"/>
  <c r="M80" i="14"/>
  <c r="L80" i="14"/>
  <c r="K80" i="14"/>
  <c r="J234" i="14" s="1"/>
  <c r="J80" i="14"/>
  <c r="I234" i="14" s="1"/>
  <c r="I80" i="14"/>
  <c r="H80" i="14"/>
  <c r="G80" i="14"/>
  <c r="F80" i="14"/>
  <c r="E234" i="14" s="1"/>
  <c r="E80" i="14"/>
  <c r="D234" i="14" s="1"/>
  <c r="D80" i="14"/>
  <c r="C234" i="14" s="1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C76" i="14"/>
  <c r="AB76" i="14"/>
  <c r="AA76" i="14"/>
  <c r="Z76" i="14"/>
  <c r="R76" i="14"/>
  <c r="B76" i="14"/>
  <c r="I76" i="14"/>
  <c r="I13" i="14" s="1"/>
  <c r="Y76" i="14"/>
  <c r="Y13" i="14" s="1"/>
  <c r="S76" i="14"/>
  <c r="S13" i="14" s="1"/>
  <c r="P76" i="14"/>
  <c r="P13" i="14" s="1"/>
  <c r="C76" i="14"/>
  <c r="C13" i="14" s="1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C60" i="14"/>
  <c r="AB60" i="14"/>
  <c r="AA60" i="14"/>
  <c r="Z60" i="14"/>
  <c r="Y60" i="14"/>
  <c r="X60" i="14"/>
  <c r="W60" i="14"/>
  <c r="AA52" i="14" s="1"/>
  <c r="V60" i="14"/>
  <c r="U60" i="14"/>
  <c r="T60" i="14"/>
  <c r="S60" i="14"/>
  <c r="R60" i="14"/>
  <c r="Q60" i="14"/>
  <c r="P60" i="14"/>
  <c r="O60" i="14"/>
  <c r="N60" i="14"/>
  <c r="M60" i="14"/>
  <c r="M10" i="14" s="1"/>
  <c r="L60" i="14"/>
  <c r="K60" i="14"/>
  <c r="J60" i="14"/>
  <c r="I60" i="14"/>
  <c r="H60" i="14"/>
  <c r="H57" i="14" s="1"/>
  <c r="G60" i="14"/>
  <c r="F60" i="14"/>
  <c r="E60" i="14"/>
  <c r="D60" i="14"/>
  <c r="C60" i="14"/>
  <c r="B60" i="14"/>
  <c r="G59" i="14"/>
  <c r="C59" i="14"/>
  <c r="AA58" i="14"/>
  <c r="AC58" i="14" s="1"/>
  <c r="Z58" i="14"/>
  <c r="AB58" i="14" s="1"/>
  <c r="AA56" i="14"/>
  <c r="Z56" i="14"/>
  <c r="I56" i="14"/>
  <c r="H56" i="14"/>
  <c r="E56" i="14"/>
  <c r="AA55" i="14"/>
  <c r="Z55" i="14"/>
  <c r="I55" i="14"/>
  <c r="F55" i="14"/>
  <c r="AB54" i="14"/>
  <c r="AA54" i="14"/>
  <c r="Z54" i="14"/>
  <c r="AC54" i="14" s="1"/>
  <c r="G54" i="14"/>
  <c r="AC53" i="14"/>
  <c r="AB53" i="14"/>
  <c r="AA53" i="14"/>
  <c r="H53" i="14"/>
  <c r="G53" i="14"/>
  <c r="D53" i="14"/>
  <c r="AB52" i="14"/>
  <c r="I51" i="14"/>
  <c r="H51" i="14"/>
  <c r="F51" i="14"/>
  <c r="E51" i="14"/>
  <c r="D51" i="14"/>
  <c r="C51" i="14"/>
  <c r="B51" i="14"/>
  <c r="AC50" i="14"/>
  <c r="AB50" i="14"/>
  <c r="AA50" i="14"/>
  <c r="G50" i="14"/>
  <c r="AB49" i="14"/>
  <c r="H49" i="14"/>
  <c r="AB48" i="14"/>
  <c r="AA48" i="14"/>
  <c r="AC48" i="14" s="1"/>
  <c r="G48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B41" i="14"/>
  <c r="AB40" i="14" s="1"/>
  <c r="AB283" i="14" s="1"/>
  <c r="AA41" i="14"/>
  <c r="AA40" i="14" s="1"/>
  <c r="AA283" i="14" s="1"/>
  <c r="K41" i="14"/>
  <c r="K36" i="14" s="1"/>
  <c r="G41" i="14"/>
  <c r="G36" i="14" s="1"/>
  <c r="B41" i="14"/>
  <c r="B36" i="14" s="1"/>
  <c r="I40" i="14"/>
  <c r="AC36" i="14"/>
  <c r="AB36" i="14"/>
  <c r="AA36" i="14"/>
  <c r="Z36" i="14"/>
  <c r="AB35" i="14"/>
  <c r="AA35" i="14"/>
  <c r="Z35" i="14"/>
  <c r="Z41" i="14" s="1"/>
  <c r="Z40" i="14" s="1"/>
  <c r="Z283" i="14" s="1"/>
  <c r="G35" i="14"/>
  <c r="B35" i="14"/>
  <c r="Y34" i="14"/>
  <c r="Y35" i="14" s="1"/>
  <c r="Y41" i="14" s="1"/>
  <c r="X34" i="14"/>
  <c r="W34" i="14"/>
  <c r="V34" i="14"/>
  <c r="U34" i="14"/>
  <c r="T34" i="14"/>
  <c r="S34" i="14"/>
  <c r="R34" i="14"/>
  <c r="Q34" i="14"/>
  <c r="P34" i="14"/>
  <c r="O34" i="14"/>
  <c r="N34" i="14"/>
  <c r="M34" i="14"/>
  <c r="K34" i="14"/>
  <c r="Y33" i="14"/>
  <c r="X33" i="14"/>
  <c r="W33" i="14"/>
  <c r="V33" i="14"/>
  <c r="U33" i="14"/>
  <c r="S33" i="14"/>
  <c r="R33" i="14"/>
  <c r="Q33" i="14"/>
  <c r="Q35" i="14" s="1"/>
  <c r="Q41" i="14" s="1"/>
  <c r="P33" i="14"/>
  <c r="O33" i="14"/>
  <c r="N33" i="14"/>
  <c r="N35" i="14" s="1"/>
  <c r="N41" i="14" s="1"/>
  <c r="M33" i="14"/>
  <c r="L33" i="14"/>
  <c r="K33" i="14"/>
  <c r="J33" i="14"/>
  <c r="I33" i="14"/>
  <c r="H33" i="14"/>
  <c r="G33" i="14"/>
  <c r="F33" i="14"/>
  <c r="E33" i="14"/>
  <c r="D33" i="14"/>
  <c r="C33" i="14"/>
  <c r="AC32" i="14"/>
  <c r="AB32" i="14"/>
  <c r="AA32" i="14"/>
  <c r="Z32" i="14"/>
  <c r="Y32" i="14"/>
  <c r="X32" i="14"/>
  <c r="W32" i="14"/>
  <c r="W35" i="14" s="1"/>
  <c r="W41" i="14" s="1"/>
  <c r="V32" i="14"/>
  <c r="U32" i="14"/>
  <c r="U35" i="14" s="1"/>
  <c r="U41" i="14" s="1"/>
  <c r="T32" i="14"/>
  <c r="T35" i="14" s="1"/>
  <c r="T41" i="14" s="1"/>
  <c r="S32" i="14"/>
  <c r="S35" i="14" s="1"/>
  <c r="S41" i="14" s="1"/>
  <c r="R32" i="14"/>
  <c r="Q32" i="14"/>
  <c r="P32" i="14"/>
  <c r="O32" i="14"/>
  <c r="N32" i="14"/>
  <c r="M32" i="14"/>
  <c r="L32" i="14"/>
  <c r="K32" i="14"/>
  <c r="K35" i="14" s="1"/>
  <c r="J32" i="14"/>
  <c r="I32" i="14"/>
  <c r="I35" i="14" s="1"/>
  <c r="I41" i="14" s="1"/>
  <c r="I36" i="14" s="1"/>
  <c r="H32" i="14"/>
  <c r="H35" i="14" s="1"/>
  <c r="H41" i="14" s="1"/>
  <c r="G32" i="14"/>
  <c r="F32" i="14"/>
  <c r="F35" i="14" s="1"/>
  <c r="F41" i="14" s="1"/>
  <c r="E32" i="14"/>
  <c r="E35" i="14" s="1"/>
  <c r="E41" i="14" s="1"/>
  <c r="D32" i="14"/>
  <c r="D35" i="14" s="1"/>
  <c r="D41" i="14" s="1"/>
  <c r="D36" i="14" s="1"/>
  <c r="C32" i="14"/>
  <c r="C35" i="14" s="1"/>
  <c r="C41" i="14" s="1"/>
  <c r="C36" i="14" s="1"/>
  <c r="Q27" i="14"/>
  <c r="P27" i="14"/>
  <c r="Y24" i="14"/>
  <c r="X24" i="14"/>
  <c r="W24" i="14"/>
  <c r="V24" i="14"/>
  <c r="U24" i="14"/>
  <c r="S24" i="14"/>
  <c r="M24" i="14"/>
  <c r="L24" i="14"/>
  <c r="K24" i="14"/>
  <c r="J24" i="14"/>
  <c r="I24" i="14"/>
  <c r="AC23" i="14"/>
  <c r="AB23" i="14"/>
  <c r="AB25" i="14" s="1"/>
  <c r="AB28" i="14" s="1"/>
  <c r="AB26" i="14" s="1"/>
  <c r="AA23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X16" i="14"/>
  <c r="R16" i="14"/>
  <c r="P16" i="14"/>
  <c r="D16" i="14"/>
  <c r="AC15" i="14"/>
  <c r="AB15" i="14"/>
  <c r="R14" i="14"/>
  <c r="Q14" i="14"/>
  <c r="O14" i="14"/>
  <c r="N14" i="14"/>
  <c r="M14" i="14"/>
  <c r="L14" i="14"/>
  <c r="J14" i="14"/>
  <c r="G14" i="14"/>
  <c r="F14" i="14"/>
  <c r="R13" i="14"/>
  <c r="Z11" i="14"/>
  <c r="Z16" i="14" s="1"/>
  <c r="Z15" i="14" s="1"/>
  <c r="X11" i="14"/>
  <c r="W11" i="14"/>
  <c r="W16" i="14" s="1"/>
  <c r="V11" i="14"/>
  <c r="V16" i="14" s="1"/>
  <c r="U11" i="14"/>
  <c r="U16" i="14" s="1"/>
  <c r="T11" i="14"/>
  <c r="T16" i="14" s="1"/>
  <c r="S11" i="14"/>
  <c r="S16" i="14" s="1"/>
  <c r="D11" i="14"/>
  <c r="B11" i="14"/>
  <c r="B16" i="14" s="1"/>
  <c r="Y10" i="14"/>
  <c r="X10" i="14"/>
  <c r="W10" i="14"/>
  <c r="V10" i="14"/>
  <c r="U10" i="14"/>
  <c r="T10" i="14"/>
  <c r="S10" i="14"/>
  <c r="R10" i="14"/>
  <c r="Q10" i="14"/>
  <c r="P10" i="14"/>
  <c r="P11" i="14" s="1"/>
  <c r="O10" i="14"/>
  <c r="N10" i="14"/>
  <c r="K10" i="14"/>
  <c r="AC9" i="14"/>
  <c r="AB9" i="14"/>
  <c r="AA9" i="14"/>
  <c r="Z9" i="14"/>
  <c r="Y9" i="14"/>
  <c r="Y7" i="14" s="1"/>
  <c r="X9" i="14"/>
  <c r="W9" i="14"/>
  <c r="V9" i="14"/>
  <c r="U9" i="14"/>
  <c r="T9" i="14"/>
  <c r="S9" i="14"/>
  <c r="R9" i="14"/>
  <c r="R7" i="14" s="1"/>
  <c r="Q9" i="14"/>
  <c r="P9" i="14"/>
  <c r="O9" i="14"/>
  <c r="N9" i="14"/>
  <c r="M9" i="14"/>
  <c r="M11" i="14" s="1"/>
  <c r="M16" i="14" s="1"/>
  <c r="L9" i="14"/>
  <c r="K9" i="14"/>
  <c r="K7" i="14" s="1"/>
  <c r="J9" i="14"/>
  <c r="I9" i="14"/>
  <c r="H9" i="14"/>
  <c r="H7" i="14" s="1"/>
  <c r="G9" i="14"/>
  <c r="F9" i="14"/>
  <c r="E9" i="14"/>
  <c r="D9" i="14"/>
  <c r="C9" i="14"/>
  <c r="C7" i="14" s="1"/>
  <c r="AB7" i="14" s="1"/>
  <c r="B9" i="14"/>
  <c r="AC8" i="14"/>
  <c r="AC11" i="14" s="1"/>
  <c r="AC16" i="14" s="1"/>
  <c r="AB8" i="14"/>
  <c r="AB11" i="14" s="1"/>
  <c r="AB16" i="14" s="1"/>
  <c r="AA8" i="14"/>
  <c r="AA11" i="14" s="1"/>
  <c r="AA16" i="14" s="1"/>
  <c r="AA15" i="14" s="1"/>
  <c r="Z8" i="14"/>
  <c r="Y8" i="14"/>
  <c r="X8" i="14"/>
  <c r="W8" i="14"/>
  <c r="V8" i="14"/>
  <c r="U8" i="14"/>
  <c r="T8" i="14"/>
  <c r="S8" i="14"/>
  <c r="R8" i="14"/>
  <c r="R11" i="14" s="1"/>
  <c r="Q8" i="14"/>
  <c r="Q11" i="14" s="1"/>
  <c r="Q16" i="14" s="1"/>
  <c r="P8" i="14"/>
  <c r="O8" i="14"/>
  <c r="N8" i="14"/>
  <c r="M8" i="14"/>
  <c r="L8" i="14"/>
  <c r="K8" i="14"/>
  <c r="J8" i="14"/>
  <c r="J11" i="14" s="1"/>
  <c r="J16" i="14" s="1"/>
  <c r="I8" i="14"/>
  <c r="I11" i="14" s="1"/>
  <c r="I16" i="14" s="1"/>
  <c r="H8" i="14"/>
  <c r="G8" i="14"/>
  <c r="G11" i="14" s="1"/>
  <c r="G16" i="14" s="1"/>
  <c r="F8" i="14"/>
  <c r="F11" i="14" s="1"/>
  <c r="F16" i="14" s="1"/>
  <c r="E8" i="14"/>
  <c r="E11" i="14" s="1"/>
  <c r="E16" i="14" s="1"/>
  <c r="D8" i="14"/>
  <c r="C8" i="14"/>
  <c r="AC7" i="14"/>
  <c r="Z7" i="14"/>
  <c r="W7" i="14"/>
  <c r="V7" i="14"/>
  <c r="S7" i="14"/>
  <c r="N7" i="14"/>
  <c r="M7" i="14"/>
  <c r="L7" i="14"/>
  <c r="J7" i="14"/>
  <c r="I7" i="14"/>
  <c r="G7" i="14"/>
  <c r="F7" i="14"/>
  <c r="D7" i="14"/>
  <c r="S6" i="14"/>
  <c r="R6" i="14"/>
  <c r="P6" i="14"/>
  <c r="O6" i="14"/>
  <c r="N6" i="14"/>
  <c r="M6" i="14"/>
  <c r="K6" i="14"/>
  <c r="H6" i="14"/>
  <c r="Z5" i="14"/>
  <c r="Y5" i="14"/>
  <c r="Y6" i="14" s="1"/>
  <c r="X5" i="14"/>
  <c r="W5" i="14"/>
  <c r="V5" i="14"/>
  <c r="U5" i="14"/>
  <c r="U6" i="14" s="1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Z4" i="14"/>
  <c r="Y14" i="14" s="1"/>
  <c r="Y4" i="14"/>
  <c r="X14" i="14" s="1"/>
  <c r="X4" i="14"/>
  <c r="W14" i="14" s="1"/>
  <c r="W4" i="14"/>
  <c r="V14" i="14" s="1"/>
  <c r="V4" i="14"/>
  <c r="U14" i="14" s="1"/>
  <c r="U4" i="14"/>
  <c r="T14" i="14" s="1"/>
  <c r="T4" i="14"/>
  <c r="S14" i="14" s="1"/>
  <c r="S4" i="14"/>
  <c r="R4" i="14"/>
  <c r="Q4" i="14"/>
  <c r="P14" i="14" s="1"/>
  <c r="P4" i="14"/>
  <c r="O4" i="14"/>
  <c r="N4" i="14"/>
  <c r="M4" i="14"/>
  <c r="L4" i="14"/>
  <c r="K4" i="14"/>
  <c r="J4" i="14"/>
  <c r="I4" i="14"/>
  <c r="H4" i="14"/>
  <c r="G4" i="14"/>
  <c r="G6" i="14" s="1"/>
  <c r="F4" i="14"/>
  <c r="E4" i="14"/>
  <c r="D14" i="14" s="1"/>
  <c r="D4" i="14"/>
  <c r="C14" i="14" s="1"/>
  <c r="C4" i="14"/>
  <c r="B14" i="14" s="1"/>
  <c r="B4" i="14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AK100" i="13"/>
  <c r="AL99" i="13"/>
  <c r="AI99" i="13"/>
  <c r="AH99" i="13"/>
  <c r="AB99" i="13"/>
  <c r="Q99" i="13"/>
  <c r="J99" i="13"/>
  <c r="AM98" i="13"/>
  <c r="AM99" i="13" s="1"/>
  <c r="AK98" i="13"/>
  <c r="AK99" i="13" s="1"/>
  <c r="AJ98" i="13"/>
  <c r="AI98" i="13"/>
  <c r="AH98" i="13"/>
  <c r="AG98" i="13"/>
  <c r="AF98" i="13"/>
  <c r="AE98" i="13"/>
  <c r="AC98" i="13"/>
  <c r="AB98" i="13"/>
  <c r="Q98" i="13"/>
  <c r="Q82" i="13" s="1"/>
  <c r="J98" i="13"/>
  <c r="I98" i="13"/>
  <c r="F98" i="13"/>
  <c r="AY97" i="13"/>
  <c r="AX97" i="13"/>
  <c r="AW97" i="13"/>
  <c r="AP97" i="13"/>
  <c r="AO97" i="13"/>
  <c r="AM97" i="13"/>
  <c r="AL97" i="13"/>
  <c r="AL98" i="13" s="1"/>
  <c r="AK97" i="13"/>
  <c r="AJ97" i="13"/>
  <c r="AI97" i="13"/>
  <c r="AH97" i="13"/>
  <c r="AG97" i="13"/>
  <c r="AF97" i="13"/>
  <c r="AE97" i="13"/>
  <c r="AC97" i="13"/>
  <c r="AC82" i="13" s="1"/>
  <c r="AB97" i="13"/>
  <c r="AA97" i="13"/>
  <c r="T97" i="13"/>
  <c r="S97" i="13"/>
  <c r="R97" i="13"/>
  <c r="Q97" i="13"/>
  <c r="P97" i="13"/>
  <c r="O97" i="13"/>
  <c r="N97" i="13"/>
  <c r="M97" i="13"/>
  <c r="J97" i="13"/>
  <c r="I97" i="13"/>
  <c r="F97" i="13"/>
  <c r="P96" i="13"/>
  <c r="M96" i="13"/>
  <c r="L96" i="13"/>
  <c r="AG82" i="13"/>
  <c r="AE82" i="13"/>
  <c r="J82" i="13"/>
  <c r="I82" i="13"/>
  <c r="F82" i="13"/>
  <c r="AE81" i="13"/>
  <c r="AC81" i="13"/>
  <c r="AB81" i="13"/>
  <c r="Q81" i="13"/>
  <c r="N81" i="13"/>
  <c r="J81" i="13"/>
  <c r="I81" i="13"/>
  <c r="F81" i="13"/>
  <c r="AD80" i="13"/>
  <c r="AB80" i="13"/>
  <c r="AA80" i="13"/>
  <c r="Z80" i="13"/>
  <c r="O80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Z9" i="13" s="1"/>
  <c r="Y77" i="13"/>
  <c r="X77" i="13"/>
  <c r="W77" i="13"/>
  <c r="V77" i="13"/>
  <c r="U77" i="13"/>
  <c r="T77" i="13"/>
  <c r="S77" i="13"/>
  <c r="R77" i="13"/>
  <c r="R9" i="13" s="1"/>
  <c r="R8" i="13" s="1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D9" i="13" s="1"/>
  <c r="C77" i="13"/>
  <c r="B77" i="13"/>
  <c r="AG75" i="13"/>
  <c r="AG73" i="13"/>
  <c r="AJ69" i="13"/>
  <c r="AI69" i="13"/>
  <c r="AH69" i="13"/>
  <c r="AG69" i="13"/>
  <c r="AG68" i="13"/>
  <c r="G64" i="13"/>
  <c r="AY61" i="13"/>
  <c r="AX61" i="13"/>
  <c r="AW61" i="13"/>
  <c r="AV61" i="13"/>
  <c r="AU61" i="13"/>
  <c r="AT61" i="13"/>
  <c r="AS61" i="13"/>
  <c r="AR61" i="13"/>
  <c r="AQ61" i="13"/>
  <c r="AP61" i="13"/>
  <c r="AO61" i="13"/>
  <c r="AN61" i="13"/>
  <c r="AM61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K6" i="13" s="1"/>
  <c r="J61" i="13"/>
  <c r="I61" i="13"/>
  <c r="H61" i="13"/>
  <c r="H6" i="13" s="1"/>
  <c r="G61" i="13"/>
  <c r="F61" i="13"/>
  <c r="F6" i="13" s="1"/>
  <c r="F7" i="13" s="1"/>
  <c r="F10" i="13" s="1"/>
  <c r="F8" i="13" s="1"/>
  <c r="E61" i="13"/>
  <c r="D61" i="13"/>
  <c r="C61" i="13"/>
  <c r="B61" i="13"/>
  <c r="AG58" i="13"/>
  <c r="AI51" i="13"/>
  <c r="AH51" i="13"/>
  <c r="AK51" i="13" s="1"/>
  <c r="AG48" i="13"/>
  <c r="O48" i="13"/>
  <c r="N48" i="13"/>
  <c r="L48" i="13"/>
  <c r="K48" i="13"/>
  <c r="I48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AF44" i="13"/>
  <c r="AE44" i="13"/>
  <c r="AD44" i="13"/>
  <c r="AC44" i="13"/>
  <c r="AB44" i="13"/>
  <c r="AG44" i="13" s="1"/>
  <c r="AA44" i="13"/>
  <c r="Z44" i="13"/>
  <c r="Y44" i="13"/>
  <c r="X44" i="13"/>
  <c r="W44" i="13"/>
  <c r="AE43" i="13"/>
  <c r="AD43" i="13"/>
  <c r="AC43" i="13"/>
  <c r="AB43" i="13"/>
  <c r="Z43" i="13"/>
  <c r="Y43" i="13"/>
  <c r="AH42" i="13"/>
  <c r="AF42" i="13"/>
  <c r="AA42" i="13"/>
  <c r="Z42" i="13"/>
  <c r="Y42" i="13"/>
  <c r="X42" i="13"/>
  <c r="W42" i="13"/>
  <c r="AF41" i="13"/>
  <c r="AE41" i="13"/>
  <c r="AD41" i="13"/>
  <c r="AC41" i="13"/>
  <c r="AB41" i="13"/>
  <c r="AG41" i="13" s="1"/>
  <c r="AA41" i="13"/>
  <c r="Z41" i="13"/>
  <c r="Y41" i="13"/>
  <c r="AE40" i="13"/>
  <c r="AD40" i="13"/>
  <c r="AC40" i="13"/>
  <c r="AB40" i="13"/>
  <c r="AG40" i="13" s="1"/>
  <c r="AA40" i="13"/>
  <c r="AE39" i="13"/>
  <c r="Z39" i="13"/>
  <c r="Y39" i="13"/>
  <c r="AF38" i="13"/>
  <c r="AE38" i="13"/>
  <c r="AD38" i="13"/>
  <c r="AC38" i="13"/>
  <c r="W37" i="13"/>
  <c r="X35" i="13"/>
  <c r="AE34" i="13"/>
  <c r="AC34" i="13"/>
  <c r="AB34" i="13"/>
  <c r="AA34" i="13"/>
  <c r="Z34" i="13"/>
  <c r="Y34" i="13"/>
  <c r="X34" i="13"/>
  <c r="Z33" i="13"/>
  <c r="Z32" i="13"/>
  <c r="Y32" i="13"/>
  <c r="W32" i="13"/>
  <c r="P32" i="13"/>
  <c r="O32" i="13"/>
  <c r="N32" i="13"/>
  <c r="M32" i="13"/>
  <c r="S29" i="13"/>
  <c r="S5" i="13" s="1"/>
  <c r="R29" i="13"/>
  <c r="Q29" i="13"/>
  <c r="P29" i="13"/>
  <c r="O29" i="13"/>
  <c r="N29" i="13"/>
  <c r="M29" i="13"/>
  <c r="L29" i="13"/>
  <c r="K29" i="13"/>
  <c r="K5" i="13" s="1"/>
  <c r="J29" i="13"/>
  <c r="I29" i="13"/>
  <c r="H29" i="13"/>
  <c r="G29" i="13"/>
  <c r="F29" i="13"/>
  <c r="E29" i="13"/>
  <c r="E5" i="13" s="1"/>
  <c r="E7" i="13" s="1"/>
  <c r="E10" i="13" s="1"/>
  <c r="E8" i="13" s="1"/>
  <c r="D29" i="13"/>
  <c r="D5" i="13" s="1"/>
  <c r="C29" i="13"/>
  <c r="C5" i="13" s="1"/>
  <c r="B29" i="13"/>
  <c r="B5" i="13" s="1"/>
  <c r="AF28" i="13"/>
  <c r="AE28" i="13"/>
  <c r="AD28" i="13"/>
  <c r="AC28" i="13"/>
  <c r="AB28" i="13"/>
  <c r="AA28" i="13"/>
  <c r="Z28" i="13"/>
  <c r="Y28" i="13"/>
  <c r="X28" i="13"/>
  <c r="W28" i="13"/>
  <c r="AF27" i="13"/>
  <c r="AF43" i="13" s="1"/>
  <c r="AE27" i="13"/>
  <c r="AD27" i="13"/>
  <c r="AC27" i="13"/>
  <c r="AB27" i="13"/>
  <c r="AA27" i="13"/>
  <c r="AA43" i="13" s="1"/>
  <c r="Z27" i="13"/>
  <c r="Y27" i="13"/>
  <c r="X27" i="13"/>
  <c r="X43" i="13" s="1"/>
  <c r="W27" i="13"/>
  <c r="W43" i="13" s="1"/>
  <c r="AF26" i="13"/>
  <c r="AE26" i="13"/>
  <c r="AE42" i="13" s="1"/>
  <c r="AD26" i="13"/>
  <c r="AD42" i="13" s="1"/>
  <c r="AC26" i="13"/>
  <c r="AC42" i="13" s="1"/>
  <c r="AB26" i="13"/>
  <c r="AB42" i="13" s="1"/>
  <c r="AG42" i="13" s="1"/>
  <c r="AA26" i="13"/>
  <c r="Z26" i="13"/>
  <c r="Y26" i="13"/>
  <c r="X26" i="13"/>
  <c r="W26" i="13"/>
  <c r="AF25" i="13"/>
  <c r="AE25" i="13"/>
  <c r="AD25" i="13"/>
  <c r="AC25" i="13"/>
  <c r="AB25" i="13"/>
  <c r="AA25" i="13"/>
  <c r="Z25" i="13"/>
  <c r="Y25" i="13"/>
  <c r="X25" i="13"/>
  <c r="X41" i="13" s="1"/>
  <c r="W25" i="13"/>
  <c r="W41" i="13" s="1"/>
  <c r="AF24" i="13"/>
  <c r="AF40" i="13" s="1"/>
  <c r="AE24" i="13"/>
  <c r="AD24" i="13"/>
  <c r="AC24" i="13"/>
  <c r="AB24" i="13"/>
  <c r="AA24" i="13"/>
  <c r="Z24" i="13"/>
  <c r="Z40" i="13" s="1"/>
  <c r="Y24" i="13"/>
  <c r="Y40" i="13" s="1"/>
  <c r="X24" i="13"/>
  <c r="X40" i="13" s="1"/>
  <c r="W24" i="13"/>
  <c r="W40" i="13" s="1"/>
  <c r="AF23" i="13"/>
  <c r="AF39" i="13" s="1"/>
  <c r="AE23" i="13"/>
  <c r="AD23" i="13"/>
  <c r="AD39" i="13" s="1"/>
  <c r="AC23" i="13"/>
  <c r="AC39" i="13" s="1"/>
  <c r="AB23" i="13"/>
  <c r="AB39" i="13" s="1"/>
  <c r="AA23" i="13"/>
  <c r="AA39" i="13" s="1"/>
  <c r="Z23" i="13"/>
  <c r="Y23" i="13"/>
  <c r="X23" i="13"/>
  <c r="X39" i="13" s="1"/>
  <c r="W23" i="13"/>
  <c r="W39" i="13" s="1"/>
  <c r="AF22" i="13"/>
  <c r="AE22" i="13"/>
  <c r="AD22" i="13"/>
  <c r="AC22" i="13"/>
  <c r="AB22" i="13"/>
  <c r="AB38" i="13" s="1"/>
  <c r="AA22" i="13"/>
  <c r="AA38" i="13" s="1"/>
  <c r="Z22" i="13"/>
  <c r="Z38" i="13" s="1"/>
  <c r="Y22" i="13"/>
  <c r="Y38" i="13" s="1"/>
  <c r="X22" i="13"/>
  <c r="X38" i="13" s="1"/>
  <c r="W22" i="13"/>
  <c r="W38" i="13" s="1"/>
  <c r="AF21" i="13"/>
  <c r="AF37" i="13" s="1"/>
  <c r="AE21" i="13"/>
  <c r="AE37" i="13" s="1"/>
  <c r="AD21" i="13"/>
  <c r="AD37" i="13" s="1"/>
  <c r="AC21" i="13"/>
  <c r="AC37" i="13" s="1"/>
  <c r="AB21" i="13"/>
  <c r="AB37" i="13" s="1"/>
  <c r="AG37" i="13" s="1"/>
  <c r="AA21" i="13"/>
  <c r="AA37" i="13" s="1"/>
  <c r="Z21" i="13"/>
  <c r="Z37" i="13" s="1"/>
  <c r="Y21" i="13"/>
  <c r="Y37" i="13" s="1"/>
  <c r="X21" i="13"/>
  <c r="X37" i="13" s="1"/>
  <c r="W21" i="13"/>
  <c r="AF20" i="13"/>
  <c r="AF36" i="13" s="1"/>
  <c r="AE20" i="13"/>
  <c r="AE36" i="13" s="1"/>
  <c r="AD20" i="13"/>
  <c r="AD36" i="13" s="1"/>
  <c r="AC20" i="13"/>
  <c r="AC36" i="13" s="1"/>
  <c r="AB20" i="13"/>
  <c r="AB36" i="13" s="1"/>
  <c r="AG36" i="13" s="1"/>
  <c r="AA20" i="13"/>
  <c r="AA36" i="13" s="1"/>
  <c r="Z20" i="13"/>
  <c r="Z36" i="13" s="1"/>
  <c r="Y20" i="13"/>
  <c r="Y36" i="13" s="1"/>
  <c r="X20" i="13"/>
  <c r="X36" i="13" s="1"/>
  <c r="AG19" i="13"/>
  <c r="AF19" i="13"/>
  <c r="AF35" i="13" s="1"/>
  <c r="AE19" i="13"/>
  <c r="AE35" i="13" s="1"/>
  <c r="AD19" i="13"/>
  <c r="AD35" i="13" s="1"/>
  <c r="AC19" i="13"/>
  <c r="AC35" i="13" s="1"/>
  <c r="AB19" i="13"/>
  <c r="AB35" i="13" s="1"/>
  <c r="AA19" i="13"/>
  <c r="AA35" i="13" s="1"/>
  <c r="Z19" i="13"/>
  <c r="Z35" i="13" s="1"/>
  <c r="Y19" i="13"/>
  <c r="Y35" i="13" s="1"/>
  <c r="X19" i="13"/>
  <c r="AG18" i="13"/>
  <c r="AF18" i="13"/>
  <c r="AF82" i="13" s="1"/>
  <c r="AE18" i="13"/>
  <c r="AD18" i="13"/>
  <c r="AD34" i="13" s="1"/>
  <c r="AC18" i="13"/>
  <c r="AB18" i="13"/>
  <c r="AA18" i="13"/>
  <c r="Z18" i="13"/>
  <c r="Y18" i="13"/>
  <c r="X18" i="13"/>
  <c r="AG17" i="13"/>
  <c r="AG33" i="13" s="1"/>
  <c r="AF17" i="13"/>
  <c r="AE17" i="13"/>
  <c r="AD17" i="13"/>
  <c r="AC17" i="13"/>
  <c r="AB17" i="13"/>
  <c r="AA17" i="13"/>
  <c r="Z17" i="13"/>
  <c r="Y17" i="13"/>
  <c r="X17" i="13"/>
  <c r="AD16" i="13"/>
  <c r="W16" i="13"/>
  <c r="V16" i="13"/>
  <c r="U16" i="13"/>
  <c r="S16" i="13"/>
  <c r="R16" i="13"/>
  <c r="Q16" i="13"/>
  <c r="P16" i="13"/>
  <c r="O16" i="13"/>
  <c r="N16" i="13"/>
  <c r="M16" i="13"/>
  <c r="L16" i="13"/>
  <c r="I16" i="13"/>
  <c r="H16" i="13"/>
  <c r="S10" i="13"/>
  <c r="R10" i="13"/>
  <c r="Q10" i="13"/>
  <c r="P10" i="13"/>
  <c r="P8" i="13" s="1"/>
  <c r="O10" i="13"/>
  <c r="O8" i="13" s="1"/>
  <c r="AF9" i="13"/>
  <c r="AE9" i="13"/>
  <c r="AD9" i="13"/>
  <c r="AC9" i="13"/>
  <c r="AB9" i="13"/>
  <c r="AA9" i="13"/>
  <c r="Y9" i="13"/>
  <c r="X9" i="13"/>
  <c r="W9" i="13"/>
  <c r="V9" i="13"/>
  <c r="U9" i="13"/>
  <c r="T9" i="13"/>
  <c r="S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C9" i="13"/>
  <c r="B9" i="13"/>
  <c r="S8" i="13"/>
  <c r="Q8" i="13"/>
  <c r="R7" i="13"/>
  <c r="Q7" i="13"/>
  <c r="G7" i="13"/>
  <c r="G10" i="13" s="1"/>
  <c r="G8" i="13" s="1"/>
  <c r="AF6" i="13"/>
  <c r="AE6" i="13"/>
  <c r="AC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J6" i="13"/>
  <c r="I6" i="13"/>
  <c r="G6" i="13"/>
  <c r="E6" i="13"/>
  <c r="D6" i="13"/>
  <c r="D7" i="13" s="1"/>
  <c r="D10" i="13" s="1"/>
  <c r="D8" i="13" s="1"/>
  <c r="C6" i="13"/>
  <c r="B6" i="13"/>
  <c r="B7" i="13" s="1"/>
  <c r="B10" i="13" s="1"/>
  <c r="B8" i="13" s="1"/>
  <c r="R5" i="13"/>
  <c r="Q5" i="13"/>
  <c r="P5" i="13"/>
  <c r="O5" i="13"/>
  <c r="N5" i="13"/>
  <c r="M5" i="13"/>
  <c r="L5" i="13"/>
  <c r="J5" i="13"/>
  <c r="I5" i="13"/>
  <c r="I7" i="13" s="1"/>
  <c r="I10" i="13" s="1"/>
  <c r="H5" i="13"/>
  <c r="G5" i="13"/>
  <c r="F5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S7" i="13" s="1"/>
  <c r="R4" i="13"/>
  <c r="Q4" i="13"/>
  <c r="P4" i="13"/>
  <c r="P7" i="13" s="1"/>
  <c r="O4" i="13"/>
  <c r="O7" i="13" s="1"/>
  <c r="N4" i="13"/>
  <c r="M4" i="13"/>
  <c r="M7" i="13" s="1"/>
  <c r="M10" i="13" s="1"/>
  <c r="M8" i="13" s="1"/>
  <c r="L4" i="13"/>
  <c r="K4" i="13"/>
  <c r="J4" i="13"/>
  <c r="J7" i="13" s="1"/>
  <c r="J10" i="13" s="1"/>
  <c r="J8" i="13" s="1"/>
  <c r="I4" i="13"/>
  <c r="H4" i="13"/>
  <c r="G4" i="13"/>
  <c r="F4" i="13"/>
  <c r="E4" i="13"/>
  <c r="D4" i="13"/>
  <c r="C4" i="13"/>
  <c r="C7" i="13" s="1"/>
  <c r="C10" i="13" s="1"/>
  <c r="C8" i="13" s="1"/>
  <c r="AY2" i="13"/>
  <c r="AN2" i="13"/>
  <c r="AG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Q96" i="13" s="1"/>
  <c r="P2" i="13"/>
  <c r="P48" i="13" s="1"/>
  <c r="O2" i="13"/>
  <c r="N2" i="13"/>
  <c r="M2" i="13"/>
  <c r="M111" i="13" s="1"/>
  <c r="L2" i="13"/>
  <c r="L111" i="13" s="1"/>
  <c r="K2" i="13"/>
  <c r="J2" i="13"/>
  <c r="I2" i="13"/>
  <c r="H2" i="13"/>
  <c r="G2" i="13"/>
  <c r="F2" i="13"/>
  <c r="E2" i="13"/>
  <c r="D2" i="13"/>
  <c r="D111" i="13" s="1"/>
  <c r="C2" i="13"/>
  <c r="B2" i="13"/>
  <c r="AD124" i="12"/>
  <c r="AC124" i="12"/>
  <c r="AB124" i="12"/>
  <c r="AF116" i="12" s="1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AG116" i="12"/>
  <c r="AH115" i="12"/>
  <c r="AG115" i="12"/>
  <c r="AF115" i="12"/>
  <c r="AF114" i="12"/>
  <c r="AF113" i="12"/>
  <c r="AF112" i="12"/>
  <c r="AP111" i="12"/>
  <c r="AD111" i="12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AZ108" i="12"/>
  <c r="AZ99" i="12" s="1"/>
  <c r="AY108" i="12"/>
  <c r="AX108" i="12"/>
  <c r="AW108" i="12"/>
  <c r="AV108" i="12"/>
  <c r="AU108" i="12"/>
  <c r="AT108" i="12"/>
  <c r="AS108" i="12"/>
  <c r="AR108" i="12"/>
  <c r="AQ108" i="12"/>
  <c r="AP108" i="12"/>
  <c r="AO108" i="12"/>
  <c r="AN108" i="12"/>
  <c r="AM108" i="12"/>
  <c r="AL108" i="12"/>
  <c r="AK108" i="12"/>
  <c r="AJ108" i="12"/>
  <c r="AI108" i="12"/>
  <c r="AH108" i="12"/>
  <c r="AG108" i="12"/>
  <c r="AF108" i="12"/>
  <c r="AE108" i="12"/>
  <c r="AD108" i="12"/>
  <c r="AE99" i="12" s="1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AG100" i="12"/>
  <c r="AG101" i="12" s="1"/>
  <c r="Y99" i="12"/>
  <c r="K99" i="12"/>
  <c r="AZ98" i="12"/>
  <c r="AU98" i="12"/>
  <c r="AH98" i="12"/>
  <c r="AF98" i="12"/>
  <c r="AF99" i="12" s="1"/>
  <c r="AE98" i="12"/>
  <c r="Z98" i="12"/>
  <c r="Y98" i="12"/>
  <c r="X98" i="12"/>
  <c r="J98" i="12"/>
  <c r="J99" i="12" s="1"/>
  <c r="G98" i="12"/>
  <c r="F98" i="12"/>
  <c r="E98" i="12"/>
  <c r="D98" i="12"/>
  <c r="C98" i="12"/>
  <c r="AZ97" i="12"/>
  <c r="AV97" i="12"/>
  <c r="AU97" i="12"/>
  <c r="AT97" i="12"/>
  <c r="AK97" i="12"/>
  <c r="AH97" i="12"/>
  <c r="AG97" i="12"/>
  <c r="AG98" i="12" s="1"/>
  <c r="AG99" i="12" s="1"/>
  <c r="AF97" i="12"/>
  <c r="AE97" i="12"/>
  <c r="AD97" i="12"/>
  <c r="AC97" i="12"/>
  <c r="AB97" i="12"/>
  <c r="AA97" i="12"/>
  <c r="Z97" i="12"/>
  <c r="Y97" i="12"/>
  <c r="X97" i="12"/>
  <c r="N97" i="12"/>
  <c r="L97" i="12"/>
  <c r="K97" i="12"/>
  <c r="K98" i="12" s="1"/>
  <c r="J97" i="12"/>
  <c r="J82" i="12" s="1"/>
  <c r="J127" i="12" s="1"/>
  <c r="I97" i="12"/>
  <c r="H97" i="12"/>
  <c r="G97" i="12"/>
  <c r="F97" i="12"/>
  <c r="E97" i="12"/>
  <c r="D97" i="12"/>
  <c r="C97" i="12"/>
  <c r="B97" i="12"/>
  <c r="AD96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J83" i="12"/>
  <c r="J128" i="12" s="1"/>
  <c r="K82" i="12"/>
  <c r="K127" i="12" s="1"/>
  <c r="C82" i="12"/>
  <c r="J81" i="12"/>
  <c r="E81" i="12"/>
  <c r="D81" i="12"/>
  <c r="C81" i="12"/>
  <c r="B81" i="12"/>
  <c r="AX80" i="12"/>
  <c r="AV80" i="12"/>
  <c r="AU80" i="12"/>
  <c r="AO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AZ77" i="12"/>
  <c r="AY77" i="12"/>
  <c r="AX77" i="12"/>
  <c r="AW77" i="12"/>
  <c r="AV77" i="12"/>
  <c r="AU77" i="12"/>
  <c r="AT77" i="12"/>
  <c r="AS77" i="12"/>
  <c r="AR77" i="12"/>
  <c r="AQ77" i="12"/>
  <c r="AP77" i="12"/>
  <c r="AO77" i="12"/>
  <c r="AN77" i="12"/>
  <c r="AM77" i="12"/>
  <c r="AL77" i="12"/>
  <c r="AK77" i="12"/>
  <c r="AJ77" i="12"/>
  <c r="AI77" i="12"/>
  <c r="AH77" i="12"/>
  <c r="AF77" i="12"/>
  <c r="AH68" i="12" s="1"/>
  <c r="AE77" i="12"/>
  <c r="AD77" i="12"/>
  <c r="AC77" i="12"/>
  <c r="AB77" i="12"/>
  <c r="AA77" i="12"/>
  <c r="Z77" i="12"/>
  <c r="Y77" i="12"/>
  <c r="X77" i="12"/>
  <c r="X9" i="12" s="1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B9" i="12" s="1"/>
  <c r="AH73" i="12"/>
  <c r="AG73" i="12"/>
  <c r="AH71" i="12"/>
  <c r="AH66" i="12"/>
  <c r="AQ64" i="12"/>
  <c r="AP64" i="12"/>
  <c r="AO64" i="12"/>
  <c r="AM64" i="12"/>
  <c r="AL64" i="12"/>
  <c r="AK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AS61" i="12"/>
  <c r="AR61" i="12"/>
  <c r="AQ61" i="12"/>
  <c r="AP61" i="12"/>
  <c r="AO61" i="12"/>
  <c r="AF61" i="12"/>
  <c r="AE61" i="12"/>
  <c r="AD61" i="12"/>
  <c r="AC61" i="12"/>
  <c r="AB61" i="12"/>
  <c r="AA61" i="12"/>
  <c r="Z61" i="12"/>
  <c r="Y61" i="12"/>
  <c r="X61" i="12"/>
  <c r="W61" i="12"/>
  <c r="W6" i="12" s="1"/>
  <c r="V61" i="12"/>
  <c r="V6" i="12" s="1"/>
  <c r="U61" i="12"/>
  <c r="U6" i="12" s="1"/>
  <c r="T61" i="12"/>
  <c r="S61" i="12"/>
  <c r="S6" i="12" s="1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AI51" i="12"/>
  <c r="AU48" i="12"/>
  <c r="AQ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Z44" i="12"/>
  <c r="X44" i="12"/>
  <c r="Z41" i="12"/>
  <c r="Y41" i="12"/>
  <c r="W41" i="12"/>
  <c r="AE40" i="12"/>
  <c r="AB40" i="12"/>
  <c r="AA40" i="12"/>
  <c r="AC39" i="12"/>
  <c r="AB39" i="12"/>
  <c r="X39" i="12"/>
  <c r="AC38" i="12"/>
  <c r="AB38" i="12"/>
  <c r="AG38" i="12" s="1"/>
  <c r="AA38" i="12"/>
  <c r="Z38" i="12"/>
  <c r="Y38" i="12"/>
  <c r="X38" i="12"/>
  <c r="AF37" i="12"/>
  <c r="AE37" i="12"/>
  <c r="AD37" i="12"/>
  <c r="AC37" i="12"/>
  <c r="AF36" i="12"/>
  <c r="AE36" i="12"/>
  <c r="AD36" i="12"/>
  <c r="Z36" i="12"/>
  <c r="AD35" i="12"/>
  <c r="Z35" i="12"/>
  <c r="AA34" i="12"/>
  <c r="X34" i="12"/>
  <c r="AE33" i="12"/>
  <c r="Y33" i="12"/>
  <c r="X33" i="12"/>
  <c r="X45" i="12" s="1"/>
  <c r="AZ32" i="12"/>
  <c r="AY32" i="12"/>
  <c r="AX32" i="12"/>
  <c r="AU32" i="12"/>
  <c r="AT32" i="12"/>
  <c r="AS32" i="12"/>
  <c r="AQ32" i="12"/>
  <c r="AP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V29" i="12"/>
  <c r="V5" i="12" s="1"/>
  <c r="U29" i="12"/>
  <c r="T29" i="12"/>
  <c r="S29" i="12"/>
  <c r="R29" i="12"/>
  <c r="Q29" i="12"/>
  <c r="P29" i="12"/>
  <c r="O29" i="12"/>
  <c r="N29" i="12"/>
  <c r="N5" i="12" s="1"/>
  <c r="M29" i="12"/>
  <c r="L29" i="12"/>
  <c r="K29" i="12"/>
  <c r="K5" i="12" s="1"/>
  <c r="K7" i="12" s="1"/>
  <c r="K10" i="12" s="1"/>
  <c r="J29" i="12"/>
  <c r="J5" i="12" s="1"/>
  <c r="I29" i="12"/>
  <c r="I5" i="12" s="1"/>
  <c r="H29" i="12"/>
  <c r="H5" i="12" s="1"/>
  <c r="G29" i="12"/>
  <c r="G5" i="12" s="1"/>
  <c r="F29" i="12"/>
  <c r="F5" i="12" s="1"/>
  <c r="E29" i="12"/>
  <c r="D29" i="12"/>
  <c r="D5" i="12" s="1"/>
  <c r="C29" i="12"/>
  <c r="B29" i="12"/>
  <c r="AF28" i="12"/>
  <c r="AF44" i="12" s="1"/>
  <c r="AE28" i="12"/>
  <c r="AE44" i="12" s="1"/>
  <c r="AD28" i="12"/>
  <c r="AD44" i="12" s="1"/>
  <c r="AC28" i="12"/>
  <c r="AC44" i="12" s="1"/>
  <c r="AB28" i="12"/>
  <c r="AB44" i="12" s="1"/>
  <c r="AA28" i="12"/>
  <c r="AA44" i="12" s="1"/>
  <c r="Z28" i="12"/>
  <c r="Y28" i="12"/>
  <c r="Y44" i="12" s="1"/>
  <c r="X28" i="12"/>
  <c r="W28" i="12"/>
  <c r="W44" i="12" s="1"/>
  <c r="AF27" i="12"/>
  <c r="AF43" i="12" s="1"/>
  <c r="AE27" i="12"/>
  <c r="AE43" i="12" s="1"/>
  <c r="AD27" i="12"/>
  <c r="AD43" i="12" s="1"/>
  <c r="AC27" i="12"/>
  <c r="AC43" i="12" s="1"/>
  <c r="AB27" i="12"/>
  <c r="AB43" i="12" s="1"/>
  <c r="AA27" i="12"/>
  <c r="AA43" i="12" s="1"/>
  <c r="Z27" i="12"/>
  <c r="Z43" i="12" s="1"/>
  <c r="Y27" i="12"/>
  <c r="Y43" i="12" s="1"/>
  <c r="X27" i="12"/>
  <c r="X43" i="12" s="1"/>
  <c r="W27" i="12"/>
  <c r="W43" i="12" s="1"/>
  <c r="AF26" i="12"/>
  <c r="AF42" i="12" s="1"/>
  <c r="AE26" i="12"/>
  <c r="AE42" i="12" s="1"/>
  <c r="AD26" i="12"/>
  <c r="AD42" i="12" s="1"/>
  <c r="AC26" i="12"/>
  <c r="AC42" i="12" s="1"/>
  <c r="AB26" i="12"/>
  <c r="AB42" i="12" s="1"/>
  <c r="AA26" i="12"/>
  <c r="AA42" i="12" s="1"/>
  <c r="Z26" i="12"/>
  <c r="Z42" i="12" s="1"/>
  <c r="Y26" i="12"/>
  <c r="Y42" i="12" s="1"/>
  <c r="X26" i="12"/>
  <c r="X42" i="12" s="1"/>
  <c r="W26" i="12"/>
  <c r="W42" i="12" s="1"/>
  <c r="AF25" i="12"/>
  <c r="AF41" i="12" s="1"/>
  <c r="AE25" i="12"/>
  <c r="AE41" i="12" s="1"/>
  <c r="AD25" i="12"/>
  <c r="AD41" i="12" s="1"/>
  <c r="AC25" i="12"/>
  <c r="AC41" i="12" s="1"/>
  <c r="AB25" i="12"/>
  <c r="AB41" i="12" s="1"/>
  <c r="AA25" i="12"/>
  <c r="AA41" i="12" s="1"/>
  <c r="Z25" i="12"/>
  <c r="Y25" i="12"/>
  <c r="X25" i="12"/>
  <c r="X41" i="12" s="1"/>
  <c r="W25" i="12"/>
  <c r="AF24" i="12"/>
  <c r="AF40" i="12" s="1"/>
  <c r="AE24" i="12"/>
  <c r="AD24" i="12"/>
  <c r="AD40" i="12" s="1"/>
  <c r="AC24" i="12"/>
  <c r="AC40" i="12" s="1"/>
  <c r="AB24" i="12"/>
  <c r="AA24" i="12"/>
  <c r="Z24" i="12"/>
  <c r="Z40" i="12" s="1"/>
  <c r="Y24" i="12"/>
  <c r="Y40" i="12" s="1"/>
  <c r="X24" i="12"/>
  <c r="X40" i="12" s="1"/>
  <c r="W24" i="12"/>
  <c r="W40" i="12" s="1"/>
  <c r="AF23" i="12"/>
  <c r="AF39" i="12" s="1"/>
  <c r="AE23" i="12"/>
  <c r="AE39" i="12" s="1"/>
  <c r="AD23" i="12"/>
  <c r="AD39" i="12" s="1"/>
  <c r="AC23" i="12"/>
  <c r="AB23" i="12"/>
  <c r="AA23" i="12"/>
  <c r="AA39" i="12" s="1"/>
  <c r="Z23" i="12"/>
  <c r="Z39" i="12" s="1"/>
  <c r="Y23" i="12"/>
  <c r="Y39" i="12" s="1"/>
  <c r="X23" i="12"/>
  <c r="W23" i="12"/>
  <c r="W39" i="12" s="1"/>
  <c r="AF22" i="12"/>
  <c r="AF38" i="12" s="1"/>
  <c r="AE22" i="12"/>
  <c r="AE38" i="12" s="1"/>
  <c r="AD22" i="12"/>
  <c r="AD38" i="12" s="1"/>
  <c r="AC22" i="12"/>
  <c r="AB22" i="12"/>
  <c r="AA22" i="12"/>
  <c r="Z22" i="12"/>
  <c r="Y22" i="12"/>
  <c r="X22" i="12"/>
  <c r="W22" i="12"/>
  <c r="W38" i="12" s="1"/>
  <c r="AF21" i="12"/>
  <c r="AE21" i="12"/>
  <c r="AD21" i="12"/>
  <c r="AC21" i="12"/>
  <c r="AB21" i="12"/>
  <c r="AB37" i="12" s="1"/>
  <c r="AB45" i="12" s="1"/>
  <c r="AA21" i="12"/>
  <c r="AA37" i="12" s="1"/>
  <c r="Z21" i="12"/>
  <c r="Z37" i="12" s="1"/>
  <c r="Y21" i="12"/>
  <c r="Y37" i="12" s="1"/>
  <c r="X21" i="12"/>
  <c r="X37" i="12" s="1"/>
  <c r="W21" i="12"/>
  <c r="AF20" i="12"/>
  <c r="AE20" i="12"/>
  <c r="AD20" i="12"/>
  <c r="AC20" i="12"/>
  <c r="AC36" i="12" s="1"/>
  <c r="AB20" i="12"/>
  <c r="AB36" i="12" s="1"/>
  <c r="AA20" i="12"/>
  <c r="AA36" i="12" s="1"/>
  <c r="Z20" i="12"/>
  <c r="Y20" i="12"/>
  <c r="Y36" i="12" s="1"/>
  <c r="X20" i="12"/>
  <c r="X36" i="12" s="1"/>
  <c r="AF19" i="12"/>
  <c r="AF35" i="12" s="1"/>
  <c r="AE19" i="12"/>
  <c r="AE35" i="12" s="1"/>
  <c r="AD19" i="12"/>
  <c r="AC19" i="12"/>
  <c r="AC35" i="12" s="1"/>
  <c r="AB19" i="12"/>
  <c r="AB35" i="12" s="1"/>
  <c r="AG35" i="12" s="1"/>
  <c r="AA19" i="12"/>
  <c r="AA35" i="12" s="1"/>
  <c r="Z19" i="12"/>
  <c r="Y19" i="12"/>
  <c r="Y35" i="12" s="1"/>
  <c r="X19" i="12"/>
  <c r="X35" i="12" s="1"/>
  <c r="AF18" i="12"/>
  <c r="AF34" i="12" s="1"/>
  <c r="AE18" i="12"/>
  <c r="AE34" i="12" s="1"/>
  <c r="AD18" i="12"/>
  <c r="AD34" i="12" s="1"/>
  <c r="AC18" i="12"/>
  <c r="AC34" i="12" s="1"/>
  <c r="AB18" i="12"/>
  <c r="AB34" i="12" s="1"/>
  <c r="AA18" i="12"/>
  <c r="Z18" i="12"/>
  <c r="Y18" i="12"/>
  <c r="X18" i="12"/>
  <c r="X82" i="12" s="1"/>
  <c r="X127" i="12" s="1"/>
  <c r="AF17" i="12"/>
  <c r="AF33" i="12" s="1"/>
  <c r="AE17" i="12"/>
  <c r="AE81" i="12" s="1"/>
  <c r="AD17" i="12"/>
  <c r="AD33" i="12" s="1"/>
  <c r="AC17" i="12"/>
  <c r="AC33" i="12" s="1"/>
  <c r="AB17" i="12"/>
  <c r="AB33" i="12" s="1"/>
  <c r="AA17" i="12"/>
  <c r="Z17" i="12"/>
  <c r="Y17" i="12"/>
  <c r="X17" i="12"/>
  <c r="AZ16" i="12"/>
  <c r="AS16" i="12"/>
  <c r="AQ16" i="12"/>
  <c r="AP16" i="12"/>
  <c r="AO16" i="12"/>
  <c r="AN16" i="12"/>
  <c r="AM16" i="12"/>
  <c r="AI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U10" i="12"/>
  <c r="U8" i="12" s="1"/>
  <c r="T10" i="12"/>
  <c r="T8" i="12" s="1"/>
  <c r="S10" i="12"/>
  <c r="Q10" i="12"/>
  <c r="Q8" i="12" s="1"/>
  <c r="P10" i="12"/>
  <c r="P8" i="12" s="1"/>
  <c r="AG9" i="12"/>
  <c r="AG77" i="12" s="1"/>
  <c r="AF9" i="12"/>
  <c r="AE9" i="12"/>
  <c r="AD9" i="12"/>
  <c r="AC9" i="12"/>
  <c r="AB9" i="12"/>
  <c r="AA9" i="12"/>
  <c r="Z9" i="12"/>
  <c r="Y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S8" i="12"/>
  <c r="O8" i="12"/>
  <c r="M8" i="12"/>
  <c r="K8" i="12"/>
  <c r="M7" i="12"/>
  <c r="M10" i="12" s="1"/>
  <c r="F7" i="12"/>
  <c r="F10" i="12" s="1"/>
  <c r="F8" i="12" s="1"/>
  <c r="AZ6" i="12"/>
  <c r="AZ61" i="12" s="1"/>
  <c r="AY6" i="12"/>
  <c r="AY61" i="12" s="1"/>
  <c r="AX6" i="12"/>
  <c r="AX61" i="12" s="1"/>
  <c r="AW6" i="12"/>
  <c r="AW61" i="12" s="1"/>
  <c r="AV6" i="12"/>
  <c r="AV61" i="12" s="1"/>
  <c r="AU6" i="12"/>
  <c r="AU61" i="12" s="1"/>
  <c r="AT6" i="12"/>
  <c r="AT61" i="12" s="1"/>
  <c r="AS6" i="12"/>
  <c r="AR6" i="12"/>
  <c r="AQ6" i="12"/>
  <c r="AP6" i="12"/>
  <c r="AO6" i="12"/>
  <c r="AN6" i="12"/>
  <c r="AN61" i="12" s="1"/>
  <c r="AM6" i="12"/>
  <c r="AM61" i="12" s="1"/>
  <c r="AL6" i="12"/>
  <c r="AL61" i="12" s="1"/>
  <c r="AK6" i="12"/>
  <c r="AK61" i="12" s="1"/>
  <c r="AJ6" i="12"/>
  <c r="AJ61" i="12" s="1"/>
  <c r="AI6" i="12"/>
  <c r="AI61" i="12" s="1"/>
  <c r="AH6" i="12"/>
  <c r="AH61" i="12" s="1"/>
  <c r="AG6" i="12"/>
  <c r="AG61" i="12" s="1"/>
  <c r="AF6" i="12"/>
  <c r="AE6" i="12"/>
  <c r="AD6" i="12"/>
  <c r="AC6" i="12"/>
  <c r="AB6" i="12"/>
  <c r="AA6" i="12"/>
  <c r="Z6" i="12"/>
  <c r="Y6" i="12"/>
  <c r="X6" i="12"/>
  <c r="T6" i="12"/>
  <c r="R6" i="12"/>
  <c r="Q6" i="12"/>
  <c r="P6" i="12"/>
  <c r="O6" i="12"/>
  <c r="N6" i="12"/>
  <c r="M6" i="12"/>
  <c r="L6" i="12"/>
  <c r="K6" i="12"/>
  <c r="J6" i="12"/>
  <c r="I6" i="12"/>
  <c r="H6" i="12"/>
  <c r="G6" i="12"/>
  <c r="G7" i="12" s="1"/>
  <c r="G10" i="12" s="1"/>
  <c r="G8" i="12" s="1"/>
  <c r="F6" i="12"/>
  <c r="E6" i="12"/>
  <c r="D6" i="12"/>
  <c r="D7" i="12" s="1"/>
  <c r="D10" i="12" s="1"/>
  <c r="D8" i="12" s="1"/>
  <c r="C6" i="12"/>
  <c r="C7" i="12" s="1"/>
  <c r="C10" i="12" s="1"/>
  <c r="C8" i="12" s="1"/>
  <c r="B6" i="12"/>
  <c r="B7" i="12" s="1"/>
  <c r="B10" i="12" s="1"/>
  <c r="B8" i="12" s="1"/>
  <c r="U5" i="12"/>
  <c r="T5" i="12"/>
  <c r="S5" i="12"/>
  <c r="S7" i="12" s="1"/>
  <c r="R5" i="12"/>
  <c r="R7" i="12" s="1"/>
  <c r="R10" i="12" s="1"/>
  <c r="R8" i="12" s="1"/>
  <c r="Q5" i="12"/>
  <c r="Q7" i="12" s="1"/>
  <c r="P5" i="12"/>
  <c r="O5" i="12"/>
  <c r="M5" i="12"/>
  <c r="L5" i="12"/>
  <c r="E5" i="12"/>
  <c r="C5" i="12"/>
  <c r="B5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U7" i="12" s="1"/>
  <c r="T4" i="12"/>
  <c r="T7" i="12" s="1"/>
  <c r="S4" i="12"/>
  <c r="R4" i="12"/>
  <c r="Q4" i="12"/>
  <c r="P4" i="12"/>
  <c r="P7" i="12" s="1"/>
  <c r="O4" i="12"/>
  <c r="O7" i="12" s="1"/>
  <c r="O10" i="12" s="1"/>
  <c r="N4" i="12"/>
  <c r="M4" i="12"/>
  <c r="L4" i="12"/>
  <c r="K4" i="12"/>
  <c r="J4" i="12"/>
  <c r="I4" i="12"/>
  <c r="H4" i="12"/>
  <c r="H7" i="12" s="1"/>
  <c r="H10" i="12" s="1"/>
  <c r="H8" i="12" s="1"/>
  <c r="G4" i="12"/>
  <c r="F4" i="12"/>
  <c r="E4" i="12"/>
  <c r="E7" i="12" s="1"/>
  <c r="E10" i="12" s="1"/>
  <c r="E8" i="12" s="1"/>
  <c r="D4" i="12"/>
  <c r="C4" i="12"/>
  <c r="AZ2" i="12"/>
  <c r="AZ80" i="12" s="1"/>
  <c r="AY2" i="12"/>
  <c r="AY80" i="12" s="1"/>
  <c r="AX2" i="12"/>
  <c r="AW2" i="12"/>
  <c r="AW80" i="12" s="1"/>
  <c r="AV2" i="12"/>
  <c r="AV16" i="12" s="1"/>
  <c r="AU2" i="12"/>
  <c r="AT2" i="12"/>
  <c r="AT64" i="12" s="1"/>
  <c r="AS2" i="12"/>
  <c r="AS64" i="12" s="1"/>
  <c r="AR2" i="12"/>
  <c r="AR64" i="12" s="1"/>
  <c r="AQ2" i="12"/>
  <c r="AQ111" i="12" s="1"/>
  <c r="AP2" i="12"/>
  <c r="AO2" i="12"/>
  <c r="AN2" i="12"/>
  <c r="AN64" i="12" s="1"/>
  <c r="AM2" i="12"/>
  <c r="AL2" i="12"/>
  <c r="AK2" i="12"/>
  <c r="AJ2" i="12"/>
  <c r="AI2" i="12"/>
  <c r="AH2" i="12"/>
  <c r="AG2" i="12"/>
  <c r="AF2" i="12"/>
  <c r="AE2" i="12"/>
  <c r="AK111" i="11"/>
  <c r="T111" i="11"/>
  <c r="S111" i="11"/>
  <c r="Q111" i="11"/>
  <c r="P111" i="11"/>
  <c r="O111" i="11"/>
  <c r="N111" i="11"/>
  <c r="M111" i="11"/>
  <c r="L111" i="11"/>
  <c r="K111" i="11"/>
  <c r="J111" i="11"/>
  <c r="H111" i="11"/>
  <c r="D111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K98" i="11"/>
  <c r="AI98" i="11"/>
  <c r="V98" i="11"/>
  <c r="U98" i="11"/>
  <c r="O98" i="11"/>
  <c r="O99" i="11" s="1"/>
  <c r="M98" i="11"/>
  <c r="L98" i="11"/>
  <c r="L99" i="11" s="1"/>
  <c r="AL97" i="11"/>
  <c r="AK97" i="11"/>
  <c r="AJ97" i="11"/>
  <c r="AI97" i="11"/>
  <c r="AH97" i="11"/>
  <c r="AD97" i="11"/>
  <c r="AB97" i="11"/>
  <c r="AA97" i="11"/>
  <c r="Z97" i="11"/>
  <c r="Y97" i="11"/>
  <c r="V97" i="11"/>
  <c r="U97" i="11"/>
  <c r="R97" i="11"/>
  <c r="Q97" i="11"/>
  <c r="P97" i="11"/>
  <c r="O97" i="11"/>
  <c r="N97" i="11"/>
  <c r="M97" i="11"/>
  <c r="L97" i="11"/>
  <c r="AK96" i="11"/>
  <c r="R96" i="11"/>
  <c r="Q96" i="11"/>
  <c r="O96" i="11"/>
  <c r="N96" i="11"/>
  <c r="L96" i="11"/>
  <c r="E96" i="11"/>
  <c r="O83" i="11"/>
  <c r="O82" i="11"/>
  <c r="M82" i="11"/>
  <c r="L82" i="11"/>
  <c r="R81" i="11"/>
  <c r="Q81" i="11"/>
  <c r="P81" i="11"/>
  <c r="O81" i="11"/>
  <c r="N81" i="11"/>
  <c r="M81" i="11"/>
  <c r="L81" i="11"/>
  <c r="AK80" i="11"/>
  <c r="V80" i="11"/>
  <c r="U80" i="11"/>
  <c r="T80" i="11"/>
  <c r="S80" i="11"/>
  <c r="R80" i="11"/>
  <c r="Q80" i="11"/>
  <c r="P80" i="11"/>
  <c r="O80" i="11"/>
  <c r="C80" i="11"/>
  <c r="B80" i="11"/>
  <c r="AL77" i="11"/>
  <c r="AK77" i="11"/>
  <c r="AJ77" i="11"/>
  <c r="AI77" i="11"/>
  <c r="AH77" i="11"/>
  <c r="AG77" i="11"/>
  <c r="AF77" i="11"/>
  <c r="AE77" i="11"/>
  <c r="AH71" i="11" s="1"/>
  <c r="AD77" i="11"/>
  <c r="AH72" i="11" s="1"/>
  <c r="AC77" i="11"/>
  <c r="AB77" i="11"/>
  <c r="AA77" i="11"/>
  <c r="Z77" i="11"/>
  <c r="Y77" i="11"/>
  <c r="X77" i="11"/>
  <c r="W77" i="11"/>
  <c r="V77" i="11"/>
  <c r="V9" i="11" s="1"/>
  <c r="U77" i="11"/>
  <c r="U9" i="11" s="1"/>
  <c r="T77" i="11"/>
  <c r="T9" i="11" s="1"/>
  <c r="S77" i="11"/>
  <c r="R77" i="11"/>
  <c r="Q77" i="11"/>
  <c r="Q9" i="11" s="1"/>
  <c r="P77" i="11"/>
  <c r="O77" i="11"/>
  <c r="N77" i="11"/>
  <c r="M77" i="11"/>
  <c r="L77" i="11"/>
  <c r="K77" i="11"/>
  <c r="J77" i="11"/>
  <c r="I77" i="11"/>
  <c r="I9" i="11" s="1"/>
  <c r="H77" i="11"/>
  <c r="G77" i="11"/>
  <c r="F77" i="11"/>
  <c r="E77" i="11"/>
  <c r="D77" i="11"/>
  <c r="C77" i="11"/>
  <c r="B77" i="11"/>
  <c r="AH75" i="11"/>
  <c r="AG75" i="11"/>
  <c r="AI75" i="11" s="1"/>
  <c r="AG71" i="11"/>
  <c r="AI71" i="11" s="1"/>
  <c r="AH68" i="11"/>
  <c r="AG68" i="11"/>
  <c r="AI68" i="11" s="1"/>
  <c r="AI67" i="11"/>
  <c r="AH67" i="11"/>
  <c r="AC64" i="11"/>
  <c r="AB64" i="11"/>
  <c r="AA64" i="11"/>
  <c r="Z64" i="11"/>
  <c r="R64" i="11"/>
  <c r="Q64" i="11"/>
  <c r="P64" i="11"/>
  <c r="N64" i="11"/>
  <c r="M64" i="11"/>
  <c r="L64" i="11"/>
  <c r="K64" i="11"/>
  <c r="J64" i="11"/>
  <c r="H64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Y6" i="11" s="1"/>
  <c r="X61" i="11"/>
  <c r="X6" i="11" s="1"/>
  <c r="W61" i="11"/>
  <c r="V61" i="11"/>
  <c r="V6" i="11" s="1"/>
  <c r="U61" i="11"/>
  <c r="U6" i="11" s="1"/>
  <c r="T61" i="11"/>
  <c r="T6" i="11" s="1"/>
  <c r="S61" i="11"/>
  <c r="S6" i="11" s="1"/>
  <c r="R61" i="11"/>
  <c r="Q61" i="11"/>
  <c r="P61" i="11"/>
  <c r="O61" i="11"/>
  <c r="N61" i="11"/>
  <c r="M61" i="11"/>
  <c r="L61" i="11"/>
  <c r="K61" i="11"/>
  <c r="J61" i="11"/>
  <c r="I61" i="11"/>
  <c r="H61" i="11"/>
  <c r="G61" i="11"/>
  <c r="G6" i="11" s="1"/>
  <c r="F61" i="11"/>
  <c r="F6" i="11" s="1"/>
  <c r="E61" i="11"/>
  <c r="E6" i="11" s="1"/>
  <c r="D61" i="11"/>
  <c r="D6" i="11" s="1"/>
  <c r="C61" i="11"/>
  <c r="C6" i="11" s="1"/>
  <c r="B61" i="11"/>
  <c r="B6" i="11" s="1"/>
  <c r="AK48" i="11"/>
  <c r="Y48" i="11"/>
  <c r="X48" i="11"/>
  <c r="W48" i="11"/>
  <c r="V48" i="11"/>
  <c r="U48" i="11"/>
  <c r="T48" i="11"/>
  <c r="S48" i="11"/>
  <c r="R48" i="11"/>
  <c r="Q48" i="11"/>
  <c r="P48" i="11"/>
  <c r="O48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AF44" i="11"/>
  <c r="AD44" i="11"/>
  <c r="AC44" i="11"/>
  <c r="AB44" i="11"/>
  <c r="AG44" i="11" s="1"/>
  <c r="AA44" i="11"/>
  <c r="Z44" i="11"/>
  <c r="X44" i="11"/>
  <c r="W44" i="11"/>
  <c r="AF43" i="11"/>
  <c r="Z43" i="11"/>
  <c r="AF42" i="11"/>
  <c r="AE42" i="11"/>
  <c r="AD42" i="11"/>
  <c r="AF41" i="11"/>
  <c r="AE41" i="11"/>
  <c r="AD41" i="11"/>
  <c r="AC41" i="11"/>
  <c r="AB41" i="11"/>
  <c r="AG41" i="11" s="1"/>
  <c r="AA41" i="11"/>
  <c r="Z41" i="11"/>
  <c r="Y41" i="11"/>
  <c r="X41" i="11"/>
  <c r="AA40" i="11"/>
  <c r="Z40" i="11"/>
  <c r="Y40" i="11"/>
  <c r="X40" i="11"/>
  <c r="W40" i="11"/>
  <c r="X39" i="11"/>
  <c r="W39" i="11"/>
  <c r="AF38" i="11"/>
  <c r="AE38" i="11"/>
  <c r="AF37" i="11"/>
  <c r="AE37" i="11"/>
  <c r="AD37" i="11"/>
  <c r="Z37" i="11"/>
  <c r="Z36" i="11"/>
  <c r="Y36" i="11"/>
  <c r="X36" i="11"/>
  <c r="AH35" i="11"/>
  <c r="AG35" i="11"/>
  <c r="AF35" i="11"/>
  <c r="AE35" i="11"/>
  <c r="AE34" i="11"/>
  <c r="AD34" i="11"/>
  <c r="AC34" i="11"/>
  <c r="AB34" i="11"/>
  <c r="AA34" i="11"/>
  <c r="Z34" i="11"/>
  <c r="Y34" i="11"/>
  <c r="X34" i="11"/>
  <c r="AB33" i="11"/>
  <c r="AA33" i="11"/>
  <c r="Z33" i="11"/>
  <c r="Y33" i="11"/>
  <c r="X33" i="11"/>
  <c r="AK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S29" i="11"/>
  <c r="R29" i="11"/>
  <c r="Q29" i="11"/>
  <c r="P29" i="11"/>
  <c r="O29" i="11"/>
  <c r="O5" i="11" s="1"/>
  <c r="N29" i="11"/>
  <c r="N5" i="11" s="1"/>
  <c r="M29" i="11"/>
  <c r="M5" i="11" s="1"/>
  <c r="L29" i="11"/>
  <c r="L5" i="11" s="1"/>
  <c r="K29" i="11"/>
  <c r="K5" i="11" s="1"/>
  <c r="J29" i="11"/>
  <c r="J5" i="11" s="1"/>
  <c r="I29" i="11"/>
  <c r="I5" i="11" s="1"/>
  <c r="H29" i="11"/>
  <c r="H5" i="11" s="1"/>
  <c r="H7" i="11" s="1"/>
  <c r="H10" i="11" s="1"/>
  <c r="H8" i="11" s="1"/>
  <c r="G29" i="11"/>
  <c r="G5" i="11" s="1"/>
  <c r="F29" i="11"/>
  <c r="E29" i="11"/>
  <c r="E5" i="11" s="1"/>
  <c r="E7" i="11" s="1"/>
  <c r="E10" i="11" s="1"/>
  <c r="E8" i="11" s="1"/>
  <c r="D29" i="11"/>
  <c r="D5" i="11" s="1"/>
  <c r="D7" i="11" s="1"/>
  <c r="D10" i="11" s="1"/>
  <c r="D8" i="11" s="1"/>
  <c r="C29" i="11"/>
  <c r="B29" i="11"/>
  <c r="AF28" i="11"/>
  <c r="AE28" i="11"/>
  <c r="AE44" i="11" s="1"/>
  <c r="AD28" i="11"/>
  <c r="AC28" i="11"/>
  <c r="AB28" i="11"/>
  <c r="AA28" i="11"/>
  <c r="Z28" i="11"/>
  <c r="Y28" i="11"/>
  <c r="Y44" i="11" s="1"/>
  <c r="X28" i="11"/>
  <c r="W28" i="11"/>
  <c r="AF27" i="11"/>
  <c r="AE27" i="11"/>
  <c r="AE43" i="11" s="1"/>
  <c r="AD27" i="11"/>
  <c r="AD43" i="11" s="1"/>
  <c r="AC27" i="11"/>
  <c r="AC43" i="11" s="1"/>
  <c r="AB27" i="11"/>
  <c r="AB43" i="11" s="1"/>
  <c r="AA27" i="11"/>
  <c r="AA43" i="11" s="1"/>
  <c r="Z27" i="11"/>
  <c r="Y27" i="11"/>
  <c r="Y43" i="11" s="1"/>
  <c r="X27" i="11"/>
  <c r="X43" i="11" s="1"/>
  <c r="W27" i="11"/>
  <c r="W43" i="11" s="1"/>
  <c r="AF26" i="11"/>
  <c r="AE26" i="11"/>
  <c r="AD26" i="11"/>
  <c r="AC26" i="11"/>
  <c r="AC42" i="11" s="1"/>
  <c r="AB26" i="11"/>
  <c r="AB42" i="11" s="1"/>
  <c r="AG42" i="11" s="1"/>
  <c r="AA26" i="11"/>
  <c r="AA42" i="11" s="1"/>
  <c r="Z26" i="11"/>
  <c r="Z42" i="11" s="1"/>
  <c r="Y26" i="11"/>
  <c r="Y42" i="11" s="1"/>
  <c r="X26" i="11"/>
  <c r="X42" i="11" s="1"/>
  <c r="W26" i="11"/>
  <c r="W42" i="11" s="1"/>
  <c r="AF25" i="11"/>
  <c r="AE25" i="11"/>
  <c r="AD25" i="11"/>
  <c r="AC25" i="11"/>
  <c r="AB25" i="11"/>
  <c r="AA25" i="11"/>
  <c r="Z25" i="11"/>
  <c r="Y25" i="11"/>
  <c r="X25" i="11"/>
  <c r="W25" i="11"/>
  <c r="W41" i="11" s="1"/>
  <c r="AF24" i="11"/>
  <c r="AF40" i="11" s="1"/>
  <c r="AE24" i="11"/>
  <c r="AE40" i="11" s="1"/>
  <c r="AD24" i="11"/>
  <c r="AD40" i="11" s="1"/>
  <c r="AC24" i="11"/>
  <c r="AC40" i="11" s="1"/>
  <c r="AB24" i="11"/>
  <c r="AB40" i="11" s="1"/>
  <c r="AA24" i="11"/>
  <c r="Z24" i="11"/>
  <c r="Y24" i="11"/>
  <c r="X24" i="11"/>
  <c r="W24" i="11"/>
  <c r="AF23" i="11"/>
  <c r="AF39" i="11" s="1"/>
  <c r="AE23" i="11"/>
  <c r="AE39" i="11" s="1"/>
  <c r="AD23" i="11"/>
  <c r="AD39" i="11" s="1"/>
  <c r="AC23" i="11"/>
  <c r="AC39" i="11" s="1"/>
  <c r="AB23" i="11"/>
  <c r="AB39" i="11" s="1"/>
  <c r="AA23" i="11"/>
  <c r="AA39" i="11" s="1"/>
  <c r="Z23" i="11"/>
  <c r="Z39" i="11" s="1"/>
  <c r="Y23" i="11"/>
  <c r="Y39" i="11" s="1"/>
  <c r="X23" i="11"/>
  <c r="W23" i="11"/>
  <c r="AF22" i="11"/>
  <c r="AE22" i="11"/>
  <c r="AD22" i="11"/>
  <c r="AD38" i="11" s="1"/>
  <c r="AC22" i="11"/>
  <c r="AC38" i="11" s="1"/>
  <c r="AB22" i="11"/>
  <c r="AB38" i="11" s="1"/>
  <c r="AA22" i="11"/>
  <c r="AA38" i="11" s="1"/>
  <c r="Z22" i="11"/>
  <c r="Z38" i="11" s="1"/>
  <c r="Y22" i="11"/>
  <c r="Y38" i="11" s="1"/>
  <c r="X22" i="11"/>
  <c r="X38" i="11" s="1"/>
  <c r="W22" i="11"/>
  <c r="W38" i="11" s="1"/>
  <c r="AG21" i="11"/>
  <c r="AG37" i="11" s="1"/>
  <c r="AF21" i="11"/>
  <c r="AE21" i="11"/>
  <c r="AD21" i="11"/>
  <c r="AC21" i="11"/>
  <c r="AC37" i="11" s="1"/>
  <c r="AH37" i="11" s="1"/>
  <c r="AB21" i="11"/>
  <c r="AB29" i="11" s="1"/>
  <c r="AB5" i="11" s="1"/>
  <c r="AA21" i="11"/>
  <c r="AA29" i="11" s="1"/>
  <c r="AA5" i="11" s="1"/>
  <c r="Z21" i="11"/>
  <c r="Y21" i="11"/>
  <c r="Y37" i="11" s="1"/>
  <c r="X21" i="11"/>
  <c r="X37" i="11" s="1"/>
  <c r="W21" i="11"/>
  <c r="W37" i="11" s="1"/>
  <c r="W45" i="11" s="1"/>
  <c r="AG20" i="11"/>
  <c r="AG36" i="11" s="1"/>
  <c r="AF20" i="11"/>
  <c r="AF36" i="11" s="1"/>
  <c r="AE20" i="11"/>
  <c r="AE36" i="11" s="1"/>
  <c r="AD20" i="11"/>
  <c r="AD36" i="11" s="1"/>
  <c r="AC20" i="11"/>
  <c r="AC36" i="11" s="1"/>
  <c r="AB20" i="11"/>
  <c r="AB36" i="11" s="1"/>
  <c r="AA20" i="11"/>
  <c r="AA36" i="11" s="1"/>
  <c r="Z20" i="11"/>
  <c r="Z29" i="11" s="1"/>
  <c r="Z5" i="11" s="1"/>
  <c r="Y20" i="11"/>
  <c r="X20" i="11"/>
  <c r="AG19" i="11"/>
  <c r="AF19" i="11"/>
  <c r="AE19" i="11"/>
  <c r="AD19" i="11"/>
  <c r="AD35" i="11" s="1"/>
  <c r="AC19" i="11"/>
  <c r="AC35" i="11" s="1"/>
  <c r="AB19" i="11"/>
  <c r="AB35" i="11" s="1"/>
  <c r="AA19" i="11"/>
  <c r="AA35" i="11" s="1"/>
  <c r="Z19" i="11"/>
  <c r="Z35" i="11" s="1"/>
  <c r="Y19" i="11"/>
  <c r="Y35" i="11" s="1"/>
  <c r="X19" i="11"/>
  <c r="X35" i="11" s="1"/>
  <c r="AG18" i="11"/>
  <c r="AF18" i="11"/>
  <c r="AE18" i="11"/>
  <c r="AD18" i="11"/>
  <c r="AC18" i="11"/>
  <c r="AB18" i="11"/>
  <c r="AA18" i="11"/>
  <c r="Z18" i="11"/>
  <c r="Y18" i="11"/>
  <c r="X18" i="11"/>
  <c r="V81" i="11"/>
  <c r="AG17" i="11"/>
  <c r="AG33" i="11" s="1"/>
  <c r="AF17" i="11"/>
  <c r="AF33" i="11" s="1"/>
  <c r="AE17" i="11"/>
  <c r="AD17" i="11"/>
  <c r="AC17" i="11"/>
  <c r="AB17" i="11"/>
  <c r="AA17" i="11"/>
  <c r="Z17" i="11"/>
  <c r="Y17" i="11"/>
  <c r="X17" i="11"/>
  <c r="X29" i="11" s="1"/>
  <c r="X5" i="11" s="1"/>
  <c r="X7" i="11" s="1"/>
  <c r="X10" i="11" s="1"/>
  <c r="X8" i="11" s="1"/>
  <c r="W29" i="11"/>
  <c r="W5" i="11" s="1"/>
  <c r="AD16" i="11"/>
  <c r="AC16" i="11"/>
  <c r="AB16" i="11"/>
  <c r="AA16" i="11"/>
  <c r="Z16" i="11"/>
  <c r="V16" i="11"/>
  <c r="R16" i="11"/>
  <c r="Q16" i="11"/>
  <c r="P16" i="11"/>
  <c r="N16" i="11"/>
  <c r="M16" i="11"/>
  <c r="L16" i="11"/>
  <c r="H16" i="11"/>
  <c r="G16" i="11"/>
  <c r="F16" i="11"/>
  <c r="E16" i="11"/>
  <c r="AF9" i="11"/>
  <c r="AE9" i="11"/>
  <c r="AD9" i="11"/>
  <c r="AC9" i="11"/>
  <c r="AB9" i="11"/>
  <c r="AA9" i="11"/>
  <c r="Z9" i="11"/>
  <c r="Y9" i="11"/>
  <c r="X9" i="11"/>
  <c r="W9" i="11"/>
  <c r="S9" i="11"/>
  <c r="R9" i="11"/>
  <c r="P9" i="11"/>
  <c r="O9" i="11"/>
  <c r="N9" i="11"/>
  <c r="M9" i="11"/>
  <c r="L9" i="11"/>
  <c r="K9" i="11"/>
  <c r="J9" i="11"/>
  <c r="H9" i="11"/>
  <c r="G9" i="11"/>
  <c r="F9" i="11"/>
  <c r="E9" i="11"/>
  <c r="D9" i="11"/>
  <c r="C9" i="11"/>
  <c r="B9" i="11"/>
  <c r="O7" i="11"/>
  <c r="O10" i="11" s="1"/>
  <c r="AF6" i="11"/>
  <c r="AE6" i="11"/>
  <c r="AD6" i="11"/>
  <c r="Z6" i="11"/>
  <c r="W6" i="11"/>
  <c r="R6" i="11"/>
  <c r="Q6" i="11"/>
  <c r="P6" i="11"/>
  <c r="O6" i="11"/>
  <c r="N6" i="11"/>
  <c r="M6" i="11"/>
  <c r="L6" i="11"/>
  <c r="K6" i="11"/>
  <c r="J6" i="11"/>
  <c r="I6" i="11"/>
  <c r="H6" i="11"/>
  <c r="S5" i="11"/>
  <c r="S7" i="11" s="1"/>
  <c r="S10" i="11" s="1"/>
  <c r="S8" i="11" s="1"/>
  <c r="R5" i="11"/>
  <c r="R7" i="11" s="1"/>
  <c r="R10" i="11" s="1"/>
  <c r="Q5" i="11"/>
  <c r="Q7" i="11" s="1"/>
  <c r="Q10" i="11" s="1"/>
  <c r="Q8" i="11" s="1"/>
  <c r="P5" i="11"/>
  <c r="P7" i="11" s="1"/>
  <c r="P10" i="11" s="1"/>
  <c r="F5" i="11"/>
  <c r="F7" i="11" s="1"/>
  <c r="F10" i="11" s="1"/>
  <c r="F8" i="11" s="1"/>
  <c r="C5" i="11"/>
  <c r="B5" i="11"/>
  <c r="B7" i="11" s="1"/>
  <c r="B10" i="11" s="1"/>
  <c r="B8" i="11" s="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N7" i="11" s="1"/>
  <c r="N10" i="11" s="1"/>
  <c r="N8" i="11" s="1"/>
  <c r="M4" i="11"/>
  <c r="L4" i="11"/>
  <c r="K4" i="11"/>
  <c r="J4" i="11"/>
  <c r="I4" i="11"/>
  <c r="H4" i="11"/>
  <c r="G4" i="11"/>
  <c r="F4" i="11"/>
  <c r="E4" i="11"/>
  <c r="D4" i="11"/>
  <c r="C4" i="11"/>
  <c r="AK2" i="11"/>
  <c r="AK64" i="11" s="1"/>
  <c r="AI2" i="11"/>
  <c r="AG2" i="11"/>
  <c r="AF2" i="11"/>
  <c r="AE2" i="11"/>
  <c r="AD2" i="11"/>
  <c r="AD64" i="11" s="1"/>
  <c r="AC2" i="11"/>
  <c r="AB2" i="11"/>
  <c r="AA2" i="11"/>
  <c r="Z2" i="11"/>
  <c r="Y2" i="11"/>
  <c r="Y80" i="11" s="1"/>
  <c r="X2" i="11"/>
  <c r="X80" i="11" s="1"/>
  <c r="W2" i="11"/>
  <c r="W80" i="11" s="1"/>
  <c r="V2" i="11"/>
  <c r="V96" i="11" s="1"/>
  <c r="U2" i="11"/>
  <c r="U111" i="11" s="1"/>
  <c r="T2" i="11"/>
  <c r="T64" i="11" s="1"/>
  <c r="S2" i="11"/>
  <c r="S64" i="11" s="1"/>
  <c r="R2" i="11"/>
  <c r="R111" i="11" s="1"/>
  <c r="Q2" i="11"/>
  <c r="P2" i="11"/>
  <c r="P96" i="11" s="1"/>
  <c r="O2" i="11"/>
  <c r="O64" i="11" s="1"/>
  <c r="N2" i="11"/>
  <c r="N80" i="11" s="1"/>
  <c r="M2" i="11"/>
  <c r="L2" i="11"/>
  <c r="L80" i="11" s="1"/>
  <c r="K2" i="11"/>
  <c r="K16" i="11" s="1"/>
  <c r="J2" i="11"/>
  <c r="I2" i="11"/>
  <c r="H2" i="11"/>
  <c r="H96" i="11" s="1"/>
  <c r="G2" i="11"/>
  <c r="G96" i="11" s="1"/>
  <c r="F2" i="11"/>
  <c r="F96" i="11" s="1"/>
  <c r="E2" i="11"/>
  <c r="D2" i="11"/>
  <c r="D16" i="11" s="1"/>
  <c r="C2" i="11"/>
  <c r="B2" i="11"/>
  <c r="V401" i="10"/>
  <c r="U401" i="10"/>
  <c r="T401" i="10" s="1"/>
  <c r="P401" i="10"/>
  <c r="O401" i="10"/>
  <c r="N401" i="10"/>
  <c r="K401" i="10"/>
  <c r="H401" i="10"/>
  <c r="V400" i="10"/>
  <c r="U400" i="10"/>
  <c r="T400" i="10"/>
  <c r="P400" i="10"/>
  <c r="O400" i="10"/>
  <c r="N400" i="10"/>
  <c r="K400" i="10"/>
  <c r="H400" i="10"/>
  <c r="V399" i="10"/>
  <c r="U399" i="10"/>
  <c r="T399" i="10"/>
  <c r="P399" i="10"/>
  <c r="O399" i="10"/>
  <c r="N399" i="10"/>
  <c r="K399" i="10"/>
  <c r="H399" i="10"/>
  <c r="V398" i="10"/>
  <c r="U398" i="10"/>
  <c r="T398" i="10"/>
  <c r="P398" i="10"/>
  <c r="O398" i="10"/>
  <c r="N398" i="10"/>
  <c r="K398" i="10"/>
  <c r="H398" i="10"/>
  <c r="V397" i="10"/>
  <c r="U397" i="10"/>
  <c r="T397" i="10"/>
  <c r="P397" i="10"/>
  <c r="O397" i="10"/>
  <c r="N397" i="10"/>
  <c r="K397" i="10"/>
  <c r="H397" i="10"/>
  <c r="V396" i="10"/>
  <c r="U396" i="10"/>
  <c r="T396" i="10"/>
  <c r="P396" i="10"/>
  <c r="O396" i="10"/>
  <c r="N396" i="10"/>
  <c r="K396" i="10"/>
  <c r="H396" i="10"/>
  <c r="V395" i="10"/>
  <c r="U395" i="10"/>
  <c r="T395" i="10"/>
  <c r="P395" i="10"/>
  <c r="O395" i="10"/>
  <c r="N395" i="10"/>
  <c r="K395" i="10"/>
  <c r="H395" i="10"/>
  <c r="V394" i="10"/>
  <c r="U394" i="10"/>
  <c r="T394" i="10"/>
  <c r="P394" i="10"/>
  <c r="O394" i="10"/>
  <c r="N394" i="10"/>
  <c r="K394" i="10"/>
  <c r="H394" i="10"/>
  <c r="V393" i="10"/>
  <c r="U393" i="10"/>
  <c r="T393" i="10" s="1"/>
  <c r="P393" i="10"/>
  <c r="O393" i="10"/>
  <c r="N393" i="10"/>
  <c r="K393" i="10"/>
  <c r="H393" i="10"/>
  <c r="V392" i="10"/>
  <c r="U392" i="10"/>
  <c r="T392" i="10"/>
  <c r="P392" i="10"/>
  <c r="O392" i="10"/>
  <c r="N392" i="10"/>
  <c r="K392" i="10"/>
  <c r="H392" i="10"/>
  <c r="V391" i="10"/>
  <c r="U391" i="10"/>
  <c r="T391" i="10" s="1"/>
  <c r="P391" i="10"/>
  <c r="O391" i="10"/>
  <c r="N391" i="10"/>
  <c r="K391" i="10"/>
  <c r="H391" i="10"/>
  <c r="V390" i="10"/>
  <c r="U390" i="10"/>
  <c r="T390" i="10" s="1"/>
  <c r="P390" i="10"/>
  <c r="O390" i="10"/>
  <c r="N390" i="10"/>
  <c r="K390" i="10"/>
  <c r="H390" i="10"/>
  <c r="V389" i="10"/>
  <c r="U389" i="10"/>
  <c r="T389" i="10"/>
  <c r="P389" i="10"/>
  <c r="O389" i="10"/>
  <c r="N389" i="10"/>
  <c r="K389" i="10"/>
  <c r="H389" i="10"/>
  <c r="V388" i="10"/>
  <c r="U388" i="10"/>
  <c r="T388" i="10" s="1"/>
  <c r="P388" i="10"/>
  <c r="O388" i="10"/>
  <c r="N388" i="10"/>
  <c r="K388" i="10"/>
  <c r="H388" i="10"/>
  <c r="V387" i="10"/>
  <c r="U387" i="10"/>
  <c r="T387" i="10"/>
  <c r="P387" i="10"/>
  <c r="O387" i="10"/>
  <c r="N387" i="10"/>
  <c r="K387" i="10"/>
  <c r="H387" i="10"/>
  <c r="V386" i="10"/>
  <c r="U386" i="10"/>
  <c r="T386" i="10"/>
  <c r="P386" i="10"/>
  <c r="O386" i="10"/>
  <c r="N386" i="10"/>
  <c r="K386" i="10"/>
  <c r="H386" i="10"/>
  <c r="V385" i="10"/>
  <c r="U385" i="10"/>
  <c r="T385" i="10"/>
  <c r="P385" i="10"/>
  <c r="O385" i="10"/>
  <c r="N385" i="10"/>
  <c r="K385" i="10"/>
  <c r="H385" i="10"/>
  <c r="V384" i="10"/>
  <c r="U384" i="10"/>
  <c r="T384" i="10"/>
  <c r="P384" i="10"/>
  <c r="O384" i="10"/>
  <c r="N384" i="10"/>
  <c r="K384" i="10"/>
  <c r="H384" i="10"/>
  <c r="V383" i="10"/>
  <c r="U383" i="10"/>
  <c r="T383" i="10" s="1"/>
  <c r="P383" i="10"/>
  <c r="O383" i="10"/>
  <c r="N383" i="10"/>
  <c r="K383" i="10"/>
  <c r="H383" i="10"/>
  <c r="V382" i="10"/>
  <c r="U382" i="10"/>
  <c r="T382" i="10" s="1"/>
  <c r="P382" i="10"/>
  <c r="O382" i="10"/>
  <c r="N382" i="10"/>
  <c r="K382" i="10"/>
  <c r="H382" i="10"/>
  <c r="V381" i="10"/>
  <c r="U381" i="10"/>
  <c r="T381" i="10"/>
  <c r="P381" i="10"/>
  <c r="O381" i="10"/>
  <c r="N381" i="10"/>
  <c r="K381" i="10"/>
  <c r="H381" i="10"/>
  <c r="V380" i="10"/>
  <c r="U380" i="10"/>
  <c r="T380" i="10"/>
  <c r="P380" i="10"/>
  <c r="O380" i="10"/>
  <c r="N380" i="10"/>
  <c r="K380" i="10"/>
  <c r="H380" i="10"/>
  <c r="V379" i="10"/>
  <c r="U379" i="10"/>
  <c r="T379" i="10" s="1"/>
  <c r="P379" i="10"/>
  <c r="O379" i="10"/>
  <c r="N379" i="10"/>
  <c r="K379" i="10"/>
  <c r="H379" i="10"/>
  <c r="V378" i="10"/>
  <c r="U378" i="10"/>
  <c r="T378" i="10"/>
  <c r="P378" i="10"/>
  <c r="O378" i="10"/>
  <c r="N378" i="10"/>
  <c r="K378" i="10"/>
  <c r="H378" i="10"/>
  <c r="V377" i="10"/>
  <c r="U377" i="10"/>
  <c r="T377" i="10" s="1"/>
  <c r="P377" i="10"/>
  <c r="O377" i="10"/>
  <c r="N377" i="10"/>
  <c r="K377" i="10"/>
  <c r="H377" i="10"/>
  <c r="V376" i="10"/>
  <c r="U376" i="10"/>
  <c r="T376" i="10"/>
  <c r="P376" i="10"/>
  <c r="O376" i="10"/>
  <c r="N376" i="10"/>
  <c r="K376" i="10"/>
  <c r="H376" i="10"/>
  <c r="V375" i="10"/>
  <c r="U375" i="10"/>
  <c r="T375" i="10"/>
  <c r="P375" i="10"/>
  <c r="O375" i="10"/>
  <c r="N375" i="10"/>
  <c r="K375" i="10"/>
  <c r="H375" i="10"/>
  <c r="V374" i="10"/>
  <c r="U374" i="10"/>
  <c r="T374" i="10"/>
  <c r="P374" i="10"/>
  <c r="O374" i="10"/>
  <c r="N374" i="10"/>
  <c r="K374" i="10"/>
  <c r="H374" i="10"/>
  <c r="V373" i="10"/>
  <c r="U373" i="10"/>
  <c r="T373" i="10"/>
  <c r="P373" i="10"/>
  <c r="O373" i="10"/>
  <c r="N373" i="10"/>
  <c r="K373" i="10"/>
  <c r="H373" i="10"/>
  <c r="V372" i="10"/>
  <c r="U372" i="10"/>
  <c r="T372" i="10" s="1"/>
  <c r="P372" i="10"/>
  <c r="O372" i="10"/>
  <c r="N372" i="10"/>
  <c r="K372" i="10"/>
  <c r="H372" i="10"/>
  <c r="V371" i="10"/>
  <c r="U371" i="10"/>
  <c r="T371" i="10"/>
  <c r="P371" i="10"/>
  <c r="O371" i="10"/>
  <c r="N371" i="10"/>
  <c r="K371" i="10"/>
  <c r="H371" i="10"/>
  <c r="V370" i="10"/>
  <c r="U370" i="10"/>
  <c r="T370" i="10"/>
  <c r="P370" i="10"/>
  <c r="O370" i="10"/>
  <c r="N370" i="10"/>
  <c r="K370" i="10"/>
  <c r="H370" i="10"/>
  <c r="V369" i="10"/>
  <c r="U369" i="10"/>
  <c r="T369" i="10"/>
  <c r="P369" i="10"/>
  <c r="O369" i="10"/>
  <c r="N369" i="10"/>
  <c r="K369" i="10"/>
  <c r="H369" i="10"/>
  <c r="V368" i="10"/>
  <c r="U368" i="10"/>
  <c r="T368" i="10" s="1"/>
  <c r="P368" i="10"/>
  <c r="O368" i="10"/>
  <c r="N368" i="10"/>
  <c r="K368" i="10"/>
  <c r="H368" i="10"/>
  <c r="V367" i="10"/>
  <c r="U367" i="10"/>
  <c r="T367" i="10"/>
  <c r="P367" i="10"/>
  <c r="O367" i="10"/>
  <c r="N367" i="10"/>
  <c r="K367" i="10"/>
  <c r="H367" i="10"/>
  <c r="V366" i="10"/>
  <c r="U366" i="10"/>
  <c r="T366" i="10" s="1"/>
  <c r="P366" i="10"/>
  <c r="O366" i="10"/>
  <c r="N366" i="10"/>
  <c r="K366" i="10"/>
  <c r="H366" i="10"/>
  <c r="V365" i="10"/>
  <c r="U365" i="10"/>
  <c r="T365" i="10"/>
  <c r="P365" i="10"/>
  <c r="O365" i="10"/>
  <c r="N365" i="10"/>
  <c r="K365" i="10"/>
  <c r="H365" i="10"/>
  <c r="V364" i="10"/>
  <c r="U364" i="10"/>
  <c r="T364" i="10"/>
  <c r="P364" i="10"/>
  <c r="O364" i="10"/>
  <c r="N364" i="10"/>
  <c r="K364" i="10"/>
  <c r="H364" i="10"/>
  <c r="V363" i="10"/>
  <c r="U363" i="10"/>
  <c r="T363" i="10" s="1"/>
  <c r="P363" i="10"/>
  <c r="O363" i="10"/>
  <c r="N363" i="10"/>
  <c r="K363" i="10"/>
  <c r="H363" i="10"/>
  <c r="V362" i="10"/>
  <c r="U362" i="10"/>
  <c r="T362" i="10" s="1"/>
  <c r="P362" i="10"/>
  <c r="O362" i="10"/>
  <c r="N362" i="10"/>
  <c r="K362" i="10"/>
  <c r="H362" i="10"/>
  <c r="V361" i="10"/>
  <c r="U361" i="10"/>
  <c r="T361" i="10"/>
  <c r="P361" i="10"/>
  <c r="O361" i="10"/>
  <c r="N361" i="10"/>
  <c r="K361" i="10"/>
  <c r="H361" i="10"/>
  <c r="V360" i="10"/>
  <c r="U360" i="10"/>
  <c r="T360" i="10"/>
  <c r="P360" i="10"/>
  <c r="O360" i="10"/>
  <c r="N360" i="10"/>
  <c r="K360" i="10"/>
  <c r="H360" i="10"/>
  <c r="V359" i="10"/>
  <c r="U359" i="10"/>
  <c r="T359" i="10"/>
  <c r="P359" i="10"/>
  <c r="O359" i="10"/>
  <c r="N359" i="10"/>
  <c r="K359" i="10"/>
  <c r="H359" i="10"/>
  <c r="V358" i="10"/>
  <c r="U358" i="10"/>
  <c r="T358" i="10"/>
  <c r="P358" i="10"/>
  <c r="O358" i="10"/>
  <c r="N358" i="10"/>
  <c r="K358" i="10"/>
  <c r="H358" i="10"/>
  <c r="V357" i="10"/>
  <c r="U357" i="10"/>
  <c r="T357" i="10" s="1"/>
  <c r="P357" i="10"/>
  <c r="O357" i="10"/>
  <c r="N357" i="10"/>
  <c r="K357" i="10"/>
  <c r="H357" i="10"/>
  <c r="V356" i="10"/>
  <c r="U356" i="10"/>
  <c r="T356" i="10"/>
  <c r="P356" i="10"/>
  <c r="O356" i="10"/>
  <c r="N356" i="10"/>
  <c r="K356" i="10"/>
  <c r="H356" i="10"/>
  <c r="V355" i="10"/>
  <c r="U355" i="10"/>
  <c r="T355" i="10" s="1"/>
  <c r="P355" i="10"/>
  <c r="O355" i="10"/>
  <c r="N355" i="10"/>
  <c r="K355" i="10"/>
  <c r="H355" i="10"/>
  <c r="V354" i="10"/>
  <c r="U354" i="10"/>
  <c r="T354" i="10"/>
  <c r="P354" i="10"/>
  <c r="O354" i="10"/>
  <c r="N354" i="10"/>
  <c r="K354" i="10"/>
  <c r="H354" i="10"/>
  <c r="V353" i="10"/>
  <c r="U353" i="10"/>
  <c r="T353" i="10"/>
  <c r="P353" i="10"/>
  <c r="O353" i="10"/>
  <c r="N353" i="10"/>
  <c r="K353" i="10"/>
  <c r="H353" i="10"/>
  <c r="V352" i="10"/>
  <c r="U352" i="10"/>
  <c r="T352" i="10"/>
  <c r="P352" i="10"/>
  <c r="O352" i="10"/>
  <c r="N352" i="10"/>
  <c r="K352" i="10"/>
  <c r="H352" i="10"/>
  <c r="V351" i="10"/>
  <c r="U351" i="10"/>
  <c r="T351" i="10" s="1"/>
  <c r="P351" i="10"/>
  <c r="O351" i="10"/>
  <c r="N351" i="10"/>
  <c r="K351" i="10"/>
  <c r="H351" i="10"/>
  <c r="V350" i="10"/>
  <c r="U350" i="10"/>
  <c r="T350" i="10"/>
  <c r="P350" i="10"/>
  <c r="O350" i="10"/>
  <c r="N350" i="10"/>
  <c r="K350" i="10"/>
  <c r="H350" i="10"/>
  <c r="V349" i="10"/>
  <c r="U349" i="10"/>
  <c r="T349" i="10" s="1"/>
  <c r="P349" i="10"/>
  <c r="O349" i="10"/>
  <c r="N349" i="10"/>
  <c r="K349" i="10"/>
  <c r="H349" i="10"/>
  <c r="V348" i="10"/>
  <c r="U348" i="10"/>
  <c r="T348" i="10"/>
  <c r="P348" i="10"/>
  <c r="O348" i="10"/>
  <c r="N348" i="10"/>
  <c r="K348" i="10"/>
  <c r="H348" i="10"/>
  <c r="V347" i="10"/>
  <c r="U347" i="10"/>
  <c r="T347" i="10" s="1"/>
  <c r="P347" i="10"/>
  <c r="O347" i="10"/>
  <c r="N347" i="10"/>
  <c r="K347" i="10"/>
  <c r="H347" i="10"/>
  <c r="V346" i="10"/>
  <c r="U346" i="10"/>
  <c r="T346" i="10" s="1"/>
  <c r="P346" i="10"/>
  <c r="O346" i="10"/>
  <c r="N346" i="10"/>
  <c r="K346" i="10"/>
  <c r="H346" i="10"/>
  <c r="V345" i="10"/>
  <c r="U345" i="10"/>
  <c r="T345" i="10"/>
  <c r="P345" i="10"/>
  <c r="O345" i="10"/>
  <c r="N345" i="10"/>
  <c r="K345" i="10"/>
  <c r="H345" i="10"/>
  <c r="V344" i="10"/>
  <c r="U344" i="10"/>
  <c r="T344" i="10"/>
  <c r="P344" i="10"/>
  <c r="O344" i="10"/>
  <c r="N344" i="10"/>
  <c r="K344" i="10"/>
  <c r="H344" i="10"/>
  <c r="V343" i="10"/>
  <c r="U343" i="10"/>
  <c r="T343" i="10"/>
  <c r="P343" i="10"/>
  <c r="O343" i="10"/>
  <c r="N343" i="10"/>
  <c r="K343" i="10"/>
  <c r="H343" i="10"/>
  <c r="V342" i="10"/>
  <c r="U342" i="10"/>
  <c r="T342" i="10"/>
  <c r="P342" i="10"/>
  <c r="O342" i="10"/>
  <c r="N342" i="10"/>
  <c r="K342" i="10"/>
  <c r="H342" i="10"/>
  <c r="V341" i="10"/>
  <c r="U341" i="10"/>
  <c r="T341" i="10"/>
  <c r="P341" i="10"/>
  <c r="O341" i="10"/>
  <c r="N341" i="10"/>
  <c r="K341" i="10"/>
  <c r="H341" i="10"/>
  <c r="V340" i="10"/>
  <c r="U340" i="10"/>
  <c r="T340" i="10" s="1"/>
  <c r="P340" i="10"/>
  <c r="O340" i="10"/>
  <c r="N340" i="10"/>
  <c r="K340" i="10"/>
  <c r="H340" i="10"/>
  <c r="V339" i="10"/>
  <c r="U339" i="10"/>
  <c r="T339" i="10"/>
  <c r="P339" i="10"/>
  <c r="O339" i="10"/>
  <c r="N339" i="10"/>
  <c r="K339" i="10"/>
  <c r="H339" i="10"/>
  <c r="V338" i="10"/>
  <c r="U338" i="10"/>
  <c r="T338" i="10" s="1"/>
  <c r="P338" i="10"/>
  <c r="O338" i="10"/>
  <c r="N338" i="10"/>
  <c r="K338" i="10"/>
  <c r="H338" i="10"/>
  <c r="V337" i="10"/>
  <c r="U337" i="10"/>
  <c r="T337" i="10"/>
  <c r="P337" i="10"/>
  <c r="O337" i="10"/>
  <c r="N337" i="10"/>
  <c r="K337" i="10"/>
  <c r="H337" i="10"/>
  <c r="V336" i="10"/>
  <c r="U336" i="10"/>
  <c r="T336" i="10"/>
  <c r="P336" i="10"/>
  <c r="O336" i="10"/>
  <c r="N336" i="10"/>
  <c r="K336" i="10"/>
  <c r="H336" i="10"/>
  <c r="V335" i="10"/>
  <c r="U335" i="10"/>
  <c r="T335" i="10" s="1"/>
  <c r="P335" i="10"/>
  <c r="O335" i="10"/>
  <c r="N335" i="10"/>
  <c r="K335" i="10"/>
  <c r="H335" i="10"/>
  <c r="V334" i="10"/>
  <c r="U334" i="10"/>
  <c r="T334" i="10"/>
  <c r="P334" i="10"/>
  <c r="O334" i="10"/>
  <c r="N334" i="10"/>
  <c r="K334" i="10"/>
  <c r="H334" i="10"/>
  <c r="V333" i="10"/>
  <c r="U333" i="10"/>
  <c r="T333" i="10"/>
  <c r="P333" i="10"/>
  <c r="O333" i="10"/>
  <c r="N333" i="10"/>
  <c r="K333" i="10"/>
  <c r="H333" i="10"/>
  <c r="V332" i="10"/>
  <c r="U332" i="10"/>
  <c r="T332" i="10" s="1"/>
  <c r="P332" i="10"/>
  <c r="O332" i="10"/>
  <c r="N332" i="10"/>
  <c r="K332" i="10"/>
  <c r="H332" i="10"/>
  <c r="V331" i="10"/>
  <c r="U331" i="10"/>
  <c r="T331" i="10"/>
  <c r="P331" i="10"/>
  <c r="O331" i="10"/>
  <c r="N331" i="10"/>
  <c r="K331" i="10"/>
  <c r="H331" i="10"/>
  <c r="V330" i="10"/>
  <c r="U330" i="10"/>
  <c r="T330" i="10" s="1"/>
  <c r="P330" i="10"/>
  <c r="O330" i="10"/>
  <c r="N330" i="10"/>
  <c r="K330" i="10"/>
  <c r="H330" i="10"/>
  <c r="V329" i="10"/>
  <c r="U329" i="10"/>
  <c r="T329" i="10" s="1"/>
  <c r="P329" i="10"/>
  <c r="O329" i="10"/>
  <c r="N329" i="10"/>
  <c r="K329" i="10"/>
  <c r="H329" i="10"/>
  <c r="V328" i="10"/>
  <c r="U328" i="10"/>
  <c r="T328" i="10"/>
  <c r="P328" i="10"/>
  <c r="O328" i="10"/>
  <c r="N328" i="10"/>
  <c r="K328" i="10"/>
  <c r="H328" i="10"/>
  <c r="V327" i="10"/>
  <c r="U327" i="10"/>
  <c r="T327" i="10"/>
  <c r="P327" i="10"/>
  <c r="O327" i="10"/>
  <c r="N327" i="10"/>
  <c r="K327" i="10"/>
  <c r="H327" i="10"/>
  <c r="V326" i="10"/>
  <c r="U326" i="10"/>
  <c r="T326" i="10"/>
  <c r="P326" i="10"/>
  <c r="O326" i="10"/>
  <c r="N326" i="10"/>
  <c r="K326" i="10"/>
  <c r="H326" i="10"/>
  <c r="V325" i="10"/>
  <c r="U325" i="10"/>
  <c r="T325" i="10"/>
  <c r="P325" i="10"/>
  <c r="O325" i="10"/>
  <c r="N325" i="10"/>
  <c r="K325" i="10"/>
  <c r="H325" i="10"/>
  <c r="V324" i="10"/>
  <c r="U324" i="10"/>
  <c r="T324" i="10" s="1"/>
  <c r="P324" i="10"/>
  <c r="O324" i="10"/>
  <c r="N324" i="10"/>
  <c r="K324" i="10"/>
  <c r="H324" i="10"/>
  <c r="V323" i="10"/>
  <c r="U323" i="10"/>
  <c r="T323" i="10"/>
  <c r="P323" i="10"/>
  <c r="O323" i="10"/>
  <c r="N323" i="10"/>
  <c r="K323" i="10"/>
  <c r="H323" i="10"/>
  <c r="V322" i="10"/>
  <c r="U322" i="10"/>
  <c r="T322" i="10"/>
  <c r="P322" i="10"/>
  <c r="O322" i="10"/>
  <c r="N322" i="10"/>
  <c r="K322" i="10"/>
  <c r="H322" i="10"/>
  <c r="V321" i="10"/>
  <c r="U321" i="10"/>
  <c r="T321" i="10" s="1"/>
  <c r="P321" i="10"/>
  <c r="O321" i="10"/>
  <c r="N321" i="10"/>
  <c r="K321" i="10"/>
  <c r="H321" i="10"/>
  <c r="V320" i="10"/>
  <c r="U320" i="10"/>
  <c r="T320" i="10"/>
  <c r="P320" i="10"/>
  <c r="O320" i="10"/>
  <c r="N320" i="10"/>
  <c r="K320" i="10"/>
  <c r="H320" i="10"/>
  <c r="V319" i="10"/>
  <c r="U319" i="10"/>
  <c r="T319" i="10" s="1"/>
  <c r="P319" i="10"/>
  <c r="O319" i="10"/>
  <c r="N319" i="10"/>
  <c r="K319" i="10"/>
  <c r="H319" i="10"/>
  <c r="V318" i="10"/>
  <c r="U318" i="10"/>
  <c r="T318" i="10" s="1"/>
  <c r="P318" i="10"/>
  <c r="O318" i="10"/>
  <c r="N318" i="10"/>
  <c r="K318" i="10"/>
  <c r="H318" i="10"/>
  <c r="V317" i="10"/>
  <c r="U317" i="10"/>
  <c r="T317" i="10" s="1"/>
  <c r="P317" i="10"/>
  <c r="O317" i="10"/>
  <c r="N317" i="10"/>
  <c r="K317" i="10"/>
  <c r="H317" i="10"/>
  <c r="V316" i="10"/>
  <c r="U316" i="10"/>
  <c r="T316" i="10" s="1"/>
  <c r="P316" i="10"/>
  <c r="O316" i="10"/>
  <c r="N316" i="10"/>
  <c r="K316" i="10"/>
  <c r="H316" i="10"/>
  <c r="V315" i="10"/>
  <c r="U315" i="10"/>
  <c r="T315" i="10"/>
  <c r="P315" i="10"/>
  <c r="O315" i="10"/>
  <c r="N315" i="10"/>
  <c r="K315" i="10"/>
  <c r="H315" i="10"/>
  <c r="V314" i="10"/>
  <c r="U314" i="10"/>
  <c r="T314" i="10"/>
  <c r="P314" i="10"/>
  <c r="O314" i="10"/>
  <c r="N314" i="10"/>
  <c r="K314" i="10"/>
  <c r="H314" i="10"/>
  <c r="V313" i="10"/>
  <c r="U313" i="10"/>
  <c r="T313" i="10" s="1"/>
  <c r="P313" i="10"/>
  <c r="O313" i="10"/>
  <c r="N313" i="10"/>
  <c r="K313" i="10"/>
  <c r="H313" i="10"/>
  <c r="V312" i="10"/>
  <c r="U312" i="10"/>
  <c r="T312" i="10"/>
  <c r="P312" i="10"/>
  <c r="O312" i="10"/>
  <c r="N312" i="10"/>
  <c r="K312" i="10"/>
  <c r="H312" i="10"/>
  <c r="V311" i="10"/>
  <c r="U311" i="10"/>
  <c r="T311" i="10"/>
  <c r="P311" i="10"/>
  <c r="O311" i="10"/>
  <c r="N311" i="10"/>
  <c r="K311" i="10"/>
  <c r="H311" i="10"/>
  <c r="V310" i="10"/>
  <c r="U310" i="10"/>
  <c r="T310" i="10" s="1"/>
  <c r="P310" i="10"/>
  <c r="O310" i="10"/>
  <c r="N310" i="10"/>
  <c r="K310" i="10"/>
  <c r="H310" i="10"/>
  <c r="V309" i="10"/>
  <c r="U309" i="10"/>
  <c r="T309" i="10"/>
  <c r="P309" i="10"/>
  <c r="O309" i="10"/>
  <c r="N309" i="10"/>
  <c r="K309" i="10"/>
  <c r="H309" i="10"/>
  <c r="V308" i="10"/>
  <c r="U308" i="10"/>
  <c r="T308" i="10" s="1"/>
  <c r="P308" i="10"/>
  <c r="O308" i="10"/>
  <c r="N308" i="10"/>
  <c r="K308" i="10"/>
  <c r="H308" i="10"/>
  <c r="V307" i="10"/>
  <c r="U307" i="10"/>
  <c r="T307" i="10" s="1"/>
  <c r="P307" i="10"/>
  <c r="O307" i="10"/>
  <c r="N307" i="10"/>
  <c r="K307" i="10"/>
  <c r="H307" i="10"/>
  <c r="V306" i="10"/>
  <c r="U306" i="10"/>
  <c r="T306" i="10"/>
  <c r="P306" i="10"/>
  <c r="O306" i="10"/>
  <c r="N306" i="10"/>
  <c r="K306" i="10"/>
  <c r="H306" i="10"/>
  <c r="V305" i="10"/>
  <c r="U305" i="10"/>
  <c r="T305" i="10"/>
  <c r="P305" i="10"/>
  <c r="O305" i="10"/>
  <c r="N305" i="10"/>
  <c r="K305" i="10"/>
  <c r="H305" i="10"/>
  <c r="V304" i="10"/>
  <c r="U304" i="10"/>
  <c r="T304" i="10"/>
  <c r="P304" i="10"/>
  <c r="O304" i="10"/>
  <c r="N304" i="10"/>
  <c r="K304" i="10"/>
  <c r="H304" i="10"/>
  <c r="V303" i="10"/>
  <c r="U303" i="10"/>
  <c r="T303" i="10" s="1"/>
  <c r="P303" i="10"/>
  <c r="O303" i="10"/>
  <c r="N303" i="10"/>
  <c r="K303" i="10"/>
  <c r="H303" i="10"/>
  <c r="V302" i="10"/>
  <c r="U302" i="10"/>
  <c r="T302" i="10" s="1"/>
  <c r="P302" i="10"/>
  <c r="O302" i="10"/>
  <c r="N302" i="10"/>
  <c r="K302" i="10"/>
  <c r="H302" i="10"/>
  <c r="V301" i="10"/>
  <c r="U301" i="10"/>
  <c r="T301" i="10"/>
  <c r="P301" i="10"/>
  <c r="O301" i="10"/>
  <c r="N301" i="10"/>
  <c r="K301" i="10"/>
  <c r="H301" i="10"/>
  <c r="V300" i="10"/>
  <c r="U300" i="10"/>
  <c r="T300" i="10" s="1"/>
  <c r="P300" i="10"/>
  <c r="O300" i="10"/>
  <c r="N300" i="10"/>
  <c r="K300" i="10"/>
  <c r="H300" i="10"/>
  <c r="V299" i="10"/>
  <c r="U299" i="10"/>
  <c r="T299" i="10" s="1"/>
  <c r="P299" i="10"/>
  <c r="O299" i="10"/>
  <c r="N299" i="10"/>
  <c r="K299" i="10"/>
  <c r="H299" i="10"/>
  <c r="V298" i="10"/>
  <c r="U298" i="10"/>
  <c r="T298" i="10"/>
  <c r="P298" i="10"/>
  <c r="O298" i="10"/>
  <c r="N298" i="10"/>
  <c r="K298" i="10"/>
  <c r="H298" i="10"/>
  <c r="V297" i="10"/>
  <c r="U297" i="10"/>
  <c r="T297" i="10" s="1"/>
  <c r="P297" i="10"/>
  <c r="O297" i="10"/>
  <c r="N297" i="10"/>
  <c r="K297" i="10"/>
  <c r="H297" i="10"/>
  <c r="V296" i="10"/>
  <c r="U296" i="10"/>
  <c r="T296" i="10" s="1"/>
  <c r="P296" i="10"/>
  <c r="O296" i="10"/>
  <c r="N296" i="10"/>
  <c r="K296" i="10"/>
  <c r="H296" i="10"/>
  <c r="V295" i="10"/>
  <c r="U295" i="10"/>
  <c r="T295" i="10" s="1"/>
  <c r="P295" i="10"/>
  <c r="O295" i="10"/>
  <c r="N295" i="10"/>
  <c r="K295" i="10"/>
  <c r="H295" i="10"/>
  <c r="V294" i="10"/>
  <c r="U294" i="10"/>
  <c r="T294" i="10"/>
  <c r="P294" i="10"/>
  <c r="O294" i="10"/>
  <c r="N294" i="10"/>
  <c r="K294" i="10"/>
  <c r="H294" i="10"/>
  <c r="V293" i="10"/>
  <c r="U293" i="10"/>
  <c r="T293" i="10"/>
  <c r="P293" i="10"/>
  <c r="O293" i="10"/>
  <c r="N293" i="10"/>
  <c r="K293" i="10"/>
  <c r="H293" i="10"/>
  <c r="V292" i="10"/>
  <c r="U292" i="10"/>
  <c r="T292" i="10"/>
  <c r="P292" i="10"/>
  <c r="O292" i="10"/>
  <c r="N292" i="10"/>
  <c r="K292" i="10"/>
  <c r="H292" i="10"/>
  <c r="V291" i="10"/>
  <c r="U291" i="10"/>
  <c r="T291" i="10" s="1"/>
  <c r="P291" i="10"/>
  <c r="O291" i="10"/>
  <c r="N291" i="10"/>
  <c r="K291" i="10"/>
  <c r="H291" i="10"/>
  <c r="V290" i="10"/>
  <c r="U290" i="10"/>
  <c r="T290" i="10"/>
  <c r="P290" i="10"/>
  <c r="O290" i="10"/>
  <c r="N290" i="10"/>
  <c r="K290" i="10"/>
  <c r="H290" i="10"/>
  <c r="V289" i="10"/>
  <c r="U289" i="10"/>
  <c r="T289" i="10"/>
  <c r="P289" i="10"/>
  <c r="O289" i="10"/>
  <c r="N289" i="10"/>
  <c r="K289" i="10"/>
  <c r="H289" i="10"/>
  <c r="V288" i="10"/>
  <c r="U288" i="10"/>
  <c r="T288" i="10" s="1"/>
  <c r="P288" i="10"/>
  <c r="O288" i="10"/>
  <c r="N288" i="10"/>
  <c r="K288" i="10"/>
  <c r="H288" i="10"/>
  <c r="V287" i="10"/>
  <c r="U287" i="10"/>
  <c r="T287" i="10"/>
  <c r="P287" i="10"/>
  <c r="O287" i="10"/>
  <c r="N287" i="10"/>
  <c r="K287" i="10"/>
  <c r="H287" i="10"/>
  <c r="V286" i="10"/>
  <c r="U286" i="10"/>
  <c r="T286" i="10"/>
  <c r="P286" i="10"/>
  <c r="O286" i="10"/>
  <c r="N286" i="10"/>
  <c r="K286" i="10"/>
  <c r="H286" i="10"/>
  <c r="V285" i="10"/>
  <c r="U285" i="10"/>
  <c r="T285" i="10" s="1"/>
  <c r="P285" i="10"/>
  <c r="O285" i="10"/>
  <c r="N285" i="10"/>
  <c r="K285" i="10"/>
  <c r="H285" i="10"/>
  <c r="V284" i="10"/>
  <c r="U284" i="10"/>
  <c r="T284" i="10" s="1"/>
  <c r="P284" i="10"/>
  <c r="O284" i="10"/>
  <c r="N284" i="10"/>
  <c r="K284" i="10"/>
  <c r="H284" i="10"/>
  <c r="V283" i="10"/>
  <c r="U283" i="10"/>
  <c r="T283" i="10" s="1"/>
  <c r="P283" i="10"/>
  <c r="O283" i="10"/>
  <c r="N283" i="10"/>
  <c r="K283" i="10"/>
  <c r="H283" i="10"/>
  <c r="V282" i="10"/>
  <c r="U282" i="10"/>
  <c r="T282" i="10"/>
  <c r="P282" i="10"/>
  <c r="O282" i="10"/>
  <c r="N282" i="10"/>
  <c r="K282" i="10"/>
  <c r="H282" i="10"/>
  <c r="V281" i="10"/>
  <c r="U281" i="10"/>
  <c r="T281" i="10"/>
  <c r="P281" i="10"/>
  <c r="O281" i="10"/>
  <c r="N281" i="10"/>
  <c r="K281" i="10"/>
  <c r="H281" i="10"/>
  <c r="V280" i="10"/>
  <c r="U280" i="10"/>
  <c r="T280" i="10" s="1"/>
  <c r="P280" i="10"/>
  <c r="O280" i="10"/>
  <c r="N280" i="10"/>
  <c r="K280" i="10"/>
  <c r="H280" i="10"/>
  <c r="V279" i="10"/>
  <c r="U279" i="10"/>
  <c r="T279" i="10"/>
  <c r="P279" i="10"/>
  <c r="O279" i="10"/>
  <c r="N279" i="10"/>
  <c r="K279" i="10"/>
  <c r="H279" i="10"/>
  <c r="V278" i="10"/>
  <c r="U278" i="10"/>
  <c r="T278" i="10" s="1"/>
  <c r="P278" i="10"/>
  <c r="O278" i="10"/>
  <c r="N278" i="10"/>
  <c r="K278" i="10"/>
  <c r="H278" i="10"/>
  <c r="V277" i="10"/>
  <c r="U277" i="10"/>
  <c r="T277" i="10" s="1"/>
  <c r="P277" i="10"/>
  <c r="O277" i="10"/>
  <c r="N277" i="10"/>
  <c r="K277" i="10"/>
  <c r="H277" i="10"/>
  <c r="V276" i="10"/>
  <c r="U276" i="10"/>
  <c r="T276" i="10"/>
  <c r="P276" i="10"/>
  <c r="O276" i="10"/>
  <c r="N276" i="10"/>
  <c r="K276" i="10"/>
  <c r="H276" i="10"/>
  <c r="V275" i="10"/>
  <c r="U275" i="10"/>
  <c r="T275" i="10" s="1"/>
  <c r="P275" i="10"/>
  <c r="O275" i="10"/>
  <c r="N275" i="10"/>
  <c r="K275" i="10"/>
  <c r="H275" i="10"/>
  <c r="V274" i="10"/>
  <c r="U274" i="10"/>
  <c r="T274" i="10" s="1"/>
  <c r="P274" i="10"/>
  <c r="O274" i="10"/>
  <c r="N274" i="10"/>
  <c r="K274" i="10"/>
  <c r="H274" i="10"/>
  <c r="V273" i="10"/>
  <c r="U273" i="10"/>
  <c r="T273" i="10"/>
  <c r="P273" i="10"/>
  <c r="O273" i="10"/>
  <c r="N273" i="10"/>
  <c r="K273" i="10"/>
  <c r="H273" i="10"/>
  <c r="V272" i="10"/>
  <c r="U272" i="10"/>
  <c r="T272" i="10"/>
  <c r="P272" i="10"/>
  <c r="O272" i="10"/>
  <c r="N272" i="10"/>
  <c r="K272" i="10"/>
  <c r="H272" i="10"/>
  <c r="V271" i="10"/>
  <c r="U271" i="10"/>
  <c r="T271" i="10"/>
  <c r="P271" i="10"/>
  <c r="O271" i="10"/>
  <c r="N271" i="10"/>
  <c r="K271" i="10"/>
  <c r="H271" i="10"/>
  <c r="V270" i="10"/>
  <c r="U270" i="10"/>
  <c r="T270" i="10"/>
  <c r="P270" i="10"/>
  <c r="O270" i="10"/>
  <c r="N270" i="10"/>
  <c r="K270" i="10"/>
  <c r="H270" i="10"/>
  <c r="V269" i="10"/>
  <c r="U269" i="10"/>
  <c r="T269" i="10" s="1"/>
  <c r="P269" i="10"/>
  <c r="O269" i="10"/>
  <c r="N269" i="10"/>
  <c r="K269" i="10"/>
  <c r="H269" i="10"/>
  <c r="V268" i="10"/>
  <c r="U268" i="10"/>
  <c r="T268" i="10"/>
  <c r="P268" i="10"/>
  <c r="O268" i="10"/>
  <c r="N268" i="10"/>
  <c r="K268" i="10"/>
  <c r="H268" i="10"/>
  <c r="V267" i="10"/>
  <c r="U267" i="10"/>
  <c r="T267" i="10"/>
  <c r="P267" i="10"/>
  <c r="O267" i="10"/>
  <c r="N267" i="10"/>
  <c r="K267" i="10"/>
  <c r="H267" i="10"/>
  <c r="V266" i="10"/>
  <c r="U266" i="10"/>
  <c r="T266" i="10" s="1"/>
  <c r="P266" i="10"/>
  <c r="O266" i="10"/>
  <c r="N266" i="10"/>
  <c r="K266" i="10"/>
  <c r="H266" i="10"/>
  <c r="V265" i="10"/>
  <c r="U265" i="10"/>
  <c r="T265" i="10"/>
  <c r="P265" i="10"/>
  <c r="O265" i="10"/>
  <c r="N265" i="10"/>
  <c r="K265" i="10"/>
  <c r="H265" i="10"/>
  <c r="V264" i="10"/>
  <c r="U264" i="10"/>
  <c r="T264" i="10"/>
  <c r="P264" i="10"/>
  <c r="O264" i="10"/>
  <c r="N264" i="10"/>
  <c r="K264" i="10"/>
  <c r="H264" i="10"/>
  <c r="V263" i="10"/>
  <c r="U263" i="10"/>
  <c r="T263" i="10" s="1"/>
  <c r="P263" i="10"/>
  <c r="O263" i="10"/>
  <c r="N263" i="10"/>
  <c r="K263" i="10"/>
  <c r="H263" i="10"/>
  <c r="V262" i="10"/>
  <c r="U262" i="10"/>
  <c r="T262" i="10" s="1"/>
  <c r="P262" i="10"/>
  <c r="O262" i="10"/>
  <c r="N262" i="10"/>
  <c r="K262" i="10"/>
  <c r="H262" i="10"/>
  <c r="V261" i="10"/>
  <c r="U261" i="10"/>
  <c r="T261" i="10"/>
  <c r="P261" i="10"/>
  <c r="O261" i="10"/>
  <c r="N261" i="10"/>
  <c r="K261" i="10"/>
  <c r="H261" i="10"/>
  <c r="V260" i="10"/>
  <c r="U260" i="10"/>
  <c r="T260" i="10"/>
  <c r="P260" i="10"/>
  <c r="O260" i="10"/>
  <c r="N260" i="10"/>
  <c r="K260" i="10"/>
  <c r="H260" i="10"/>
  <c r="V259" i="10"/>
  <c r="U259" i="10"/>
  <c r="T259" i="10"/>
  <c r="P259" i="10"/>
  <c r="O259" i="10"/>
  <c r="N259" i="10"/>
  <c r="K259" i="10"/>
  <c r="H259" i="10"/>
  <c r="V258" i="10"/>
  <c r="U258" i="10"/>
  <c r="T258" i="10" s="1"/>
  <c r="P258" i="10"/>
  <c r="O258" i="10"/>
  <c r="N258" i="10"/>
  <c r="K258" i="10"/>
  <c r="H258" i="10"/>
  <c r="V257" i="10"/>
  <c r="U257" i="10"/>
  <c r="T257" i="10"/>
  <c r="P257" i="10"/>
  <c r="O257" i="10"/>
  <c r="N257" i="10"/>
  <c r="K257" i="10"/>
  <c r="H257" i="10"/>
  <c r="V256" i="10"/>
  <c r="U256" i="10"/>
  <c r="T256" i="10" s="1"/>
  <c r="P256" i="10"/>
  <c r="O256" i="10"/>
  <c r="N256" i="10"/>
  <c r="K256" i="10"/>
  <c r="H256" i="10"/>
  <c r="V255" i="10"/>
  <c r="U255" i="10"/>
  <c r="T255" i="10" s="1"/>
  <c r="P255" i="10"/>
  <c r="O255" i="10"/>
  <c r="N255" i="10"/>
  <c r="K255" i="10"/>
  <c r="H255" i="10"/>
  <c r="V254" i="10"/>
  <c r="U254" i="10"/>
  <c r="T254" i="10"/>
  <c r="P254" i="10"/>
  <c r="O254" i="10"/>
  <c r="N254" i="10"/>
  <c r="K254" i="10"/>
  <c r="H254" i="10"/>
  <c r="V253" i="10"/>
  <c r="U253" i="10"/>
  <c r="T253" i="10"/>
  <c r="P253" i="10"/>
  <c r="O253" i="10"/>
  <c r="N253" i="10"/>
  <c r="K253" i="10"/>
  <c r="H253" i="10"/>
  <c r="V252" i="10"/>
  <c r="U252" i="10"/>
  <c r="T252" i="10" s="1"/>
  <c r="P252" i="10"/>
  <c r="O252" i="10"/>
  <c r="N252" i="10"/>
  <c r="K252" i="10"/>
  <c r="H252" i="10"/>
  <c r="V251" i="10"/>
  <c r="U251" i="10"/>
  <c r="T251" i="10" s="1"/>
  <c r="P251" i="10"/>
  <c r="O251" i="10"/>
  <c r="N251" i="10"/>
  <c r="K251" i="10"/>
  <c r="H251" i="10"/>
  <c r="V250" i="10"/>
  <c r="U250" i="10"/>
  <c r="T250" i="10"/>
  <c r="P250" i="10"/>
  <c r="O250" i="10"/>
  <c r="N250" i="10"/>
  <c r="K250" i="10"/>
  <c r="H250" i="10"/>
  <c r="V249" i="10"/>
  <c r="U249" i="10"/>
  <c r="T249" i="10"/>
  <c r="P249" i="10"/>
  <c r="O249" i="10"/>
  <c r="N249" i="10"/>
  <c r="K249" i="10"/>
  <c r="H249" i="10"/>
  <c r="V248" i="10"/>
  <c r="U248" i="10"/>
  <c r="T248" i="10"/>
  <c r="P248" i="10"/>
  <c r="O248" i="10"/>
  <c r="N248" i="10"/>
  <c r="K248" i="10"/>
  <c r="H248" i="10"/>
  <c r="V247" i="10"/>
  <c r="U247" i="10"/>
  <c r="T247" i="10" s="1"/>
  <c r="P247" i="10"/>
  <c r="O247" i="10"/>
  <c r="N247" i="10"/>
  <c r="K247" i="10"/>
  <c r="H247" i="10"/>
  <c r="V246" i="10"/>
  <c r="U246" i="10"/>
  <c r="T246" i="10"/>
  <c r="P246" i="10"/>
  <c r="O246" i="10"/>
  <c r="N246" i="10"/>
  <c r="K246" i="10"/>
  <c r="H246" i="10"/>
  <c r="V245" i="10"/>
  <c r="U245" i="10"/>
  <c r="T245" i="10"/>
  <c r="P245" i="10"/>
  <c r="O245" i="10"/>
  <c r="N245" i="10"/>
  <c r="K245" i="10"/>
  <c r="H245" i="10"/>
  <c r="V244" i="10"/>
  <c r="U244" i="10"/>
  <c r="T244" i="10" s="1"/>
  <c r="P244" i="10"/>
  <c r="O244" i="10"/>
  <c r="N244" i="10"/>
  <c r="K244" i="10"/>
  <c r="H244" i="10"/>
  <c r="V243" i="10"/>
  <c r="U243" i="10"/>
  <c r="T243" i="10"/>
  <c r="P243" i="10"/>
  <c r="O243" i="10"/>
  <c r="N243" i="10"/>
  <c r="K243" i="10"/>
  <c r="H243" i="10"/>
  <c r="V242" i="10"/>
  <c r="U242" i="10"/>
  <c r="T242" i="10" s="1"/>
  <c r="P242" i="10"/>
  <c r="O242" i="10"/>
  <c r="N242" i="10"/>
  <c r="K242" i="10"/>
  <c r="H242" i="10"/>
  <c r="V241" i="10"/>
  <c r="U241" i="10"/>
  <c r="T241" i="10" s="1"/>
  <c r="P241" i="10"/>
  <c r="O241" i="10"/>
  <c r="N241" i="10"/>
  <c r="K241" i="10"/>
  <c r="H241" i="10"/>
  <c r="V240" i="10"/>
  <c r="U240" i="10"/>
  <c r="T240" i="10" s="1"/>
  <c r="P240" i="10"/>
  <c r="O240" i="10"/>
  <c r="N240" i="10"/>
  <c r="K240" i="10"/>
  <c r="H240" i="10"/>
  <c r="V239" i="10"/>
  <c r="U239" i="10"/>
  <c r="T239" i="10" s="1"/>
  <c r="P239" i="10"/>
  <c r="O239" i="10"/>
  <c r="N239" i="10"/>
  <c r="K239" i="10"/>
  <c r="H239" i="10"/>
  <c r="V238" i="10"/>
  <c r="U238" i="10"/>
  <c r="T238" i="10"/>
  <c r="P238" i="10"/>
  <c r="O238" i="10"/>
  <c r="N238" i="10"/>
  <c r="K238" i="10"/>
  <c r="H238" i="10"/>
  <c r="V237" i="10"/>
  <c r="U237" i="10"/>
  <c r="T237" i="10"/>
  <c r="P237" i="10"/>
  <c r="O237" i="10"/>
  <c r="N237" i="10"/>
  <c r="K237" i="10"/>
  <c r="H237" i="10"/>
  <c r="V236" i="10"/>
  <c r="U236" i="10"/>
  <c r="T236" i="10" s="1"/>
  <c r="P236" i="10"/>
  <c r="O236" i="10"/>
  <c r="N236" i="10"/>
  <c r="K236" i="10"/>
  <c r="H236" i="10"/>
  <c r="V235" i="10"/>
  <c r="U235" i="10"/>
  <c r="T235" i="10"/>
  <c r="P235" i="10"/>
  <c r="O235" i="10"/>
  <c r="N235" i="10"/>
  <c r="K235" i="10"/>
  <c r="H235" i="10"/>
  <c r="V234" i="10"/>
  <c r="U234" i="10"/>
  <c r="T234" i="10" s="1"/>
  <c r="P234" i="10"/>
  <c r="O234" i="10"/>
  <c r="N234" i="10"/>
  <c r="K234" i="10"/>
  <c r="H234" i="10"/>
  <c r="V233" i="10"/>
  <c r="U233" i="10"/>
  <c r="T233" i="10" s="1"/>
  <c r="P233" i="10"/>
  <c r="O233" i="10"/>
  <c r="N233" i="10"/>
  <c r="K233" i="10"/>
  <c r="H233" i="10"/>
  <c r="V232" i="10"/>
  <c r="U232" i="10"/>
  <c r="T232" i="10"/>
  <c r="P232" i="10"/>
  <c r="O232" i="10"/>
  <c r="N232" i="10"/>
  <c r="K232" i="10"/>
  <c r="H232" i="10"/>
  <c r="V231" i="10"/>
  <c r="U231" i="10"/>
  <c r="T231" i="10"/>
  <c r="P231" i="10"/>
  <c r="O231" i="10"/>
  <c r="N231" i="10"/>
  <c r="K231" i="10"/>
  <c r="H231" i="10"/>
  <c r="V230" i="10"/>
  <c r="U230" i="10"/>
  <c r="T230" i="10"/>
  <c r="P230" i="10"/>
  <c r="O230" i="10"/>
  <c r="N230" i="10"/>
  <c r="K230" i="10"/>
  <c r="H230" i="10"/>
  <c r="V229" i="10"/>
  <c r="U229" i="10"/>
  <c r="T229" i="10" s="1"/>
  <c r="P229" i="10"/>
  <c r="O229" i="10"/>
  <c r="N229" i="10"/>
  <c r="K229" i="10"/>
  <c r="H229" i="10"/>
  <c r="V228" i="10"/>
  <c r="U228" i="10"/>
  <c r="T228" i="10"/>
  <c r="P228" i="10"/>
  <c r="O228" i="10"/>
  <c r="N228" i="10"/>
  <c r="K228" i="10"/>
  <c r="H228" i="10"/>
  <c r="V227" i="10"/>
  <c r="U227" i="10"/>
  <c r="T227" i="10"/>
  <c r="P227" i="10"/>
  <c r="O227" i="10"/>
  <c r="N227" i="10"/>
  <c r="K227" i="10"/>
  <c r="H227" i="10"/>
  <c r="V226" i="10"/>
  <c r="U226" i="10"/>
  <c r="T226" i="10"/>
  <c r="P226" i="10"/>
  <c r="O226" i="10"/>
  <c r="N226" i="10"/>
  <c r="K226" i="10"/>
  <c r="H226" i="10"/>
  <c r="V225" i="10"/>
  <c r="U225" i="10"/>
  <c r="T225" i="10" s="1"/>
  <c r="P225" i="10"/>
  <c r="O225" i="10"/>
  <c r="N225" i="10"/>
  <c r="K225" i="10"/>
  <c r="H225" i="10"/>
  <c r="V224" i="10"/>
  <c r="U224" i="10"/>
  <c r="T224" i="10"/>
  <c r="P224" i="10"/>
  <c r="O224" i="10"/>
  <c r="N224" i="10"/>
  <c r="K224" i="10"/>
  <c r="H224" i="10"/>
  <c r="V223" i="10"/>
  <c r="U223" i="10"/>
  <c r="T223" i="10"/>
  <c r="P223" i="10"/>
  <c r="O223" i="10"/>
  <c r="N223" i="10"/>
  <c r="K223" i="10"/>
  <c r="H223" i="10"/>
  <c r="V222" i="10"/>
  <c r="U222" i="10"/>
  <c r="T222" i="10" s="1"/>
  <c r="P222" i="10"/>
  <c r="O222" i="10"/>
  <c r="N222" i="10"/>
  <c r="K222" i="10"/>
  <c r="H222" i="10"/>
  <c r="V221" i="10"/>
  <c r="U221" i="10"/>
  <c r="T221" i="10"/>
  <c r="P221" i="10"/>
  <c r="O221" i="10"/>
  <c r="N221" i="10"/>
  <c r="K221" i="10"/>
  <c r="H221" i="10"/>
  <c r="V220" i="10"/>
  <c r="U220" i="10"/>
  <c r="T220" i="10"/>
  <c r="P220" i="10"/>
  <c r="O220" i="10"/>
  <c r="N220" i="10"/>
  <c r="K220" i="10"/>
  <c r="H220" i="10"/>
  <c r="V219" i="10"/>
  <c r="U219" i="10"/>
  <c r="T219" i="10"/>
  <c r="P219" i="10"/>
  <c r="O219" i="10"/>
  <c r="N219" i="10"/>
  <c r="K219" i="10"/>
  <c r="H219" i="10"/>
  <c r="V218" i="10"/>
  <c r="U218" i="10"/>
  <c r="T218" i="10"/>
  <c r="P218" i="10"/>
  <c r="O218" i="10"/>
  <c r="N218" i="10"/>
  <c r="K218" i="10"/>
  <c r="H218" i="10"/>
  <c r="V217" i="10"/>
  <c r="U217" i="10"/>
  <c r="T217" i="10"/>
  <c r="P217" i="10"/>
  <c r="O217" i="10"/>
  <c r="N217" i="10"/>
  <c r="K217" i="10"/>
  <c r="H217" i="10"/>
  <c r="V216" i="10"/>
  <c r="U216" i="10"/>
  <c r="T216" i="10"/>
  <c r="P216" i="10"/>
  <c r="O216" i="10"/>
  <c r="N216" i="10"/>
  <c r="K216" i="10"/>
  <c r="H216" i="10"/>
  <c r="V215" i="10"/>
  <c r="U215" i="10"/>
  <c r="T215" i="10" s="1"/>
  <c r="P215" i="10"/>
  <c r="O215" i="10"/>
  <c r="N215" i="10"/>
  <c r="K215" i="10"/>
  <c r="H215" i="10"/>
  <c r="V214" i="10"/>
  <c r="U214" i="10"/>
  <c r="T214" i="10" s="1"/>
  <c r="P214" i="10"/>
  <c r="O214" i="10"/>
  <c r="N214" i="10"/>
  <c r="K214" i="10"/>
  <c r="H214" i="10"/>
  <c r="V213" i="10"/>
  <c r="U213" i="10"/>
  <c r="T213" i="10"/>
  <c r="P213" i="10"/>
  <c r="O213" i="10"/>
  <c r="N213" i="10"/>
  <c r="K213" i="10"/>
  <c r="H213" i="10"/>
  <c r="V212" i="10"/>
  <c r="U212" i="10"/>
  <c r="T212" i="10" s="1"/>
  <c r="P212" i="10"/>
  <c r="O212" i="10"/>
  <c r="N212" i="10"/>
  <c r="K212" i="10"/>
  <c r="H212" i="10"/>
  <c r="V211" i="10"/>
  <c r="U211" i="10"/>
  <c r="T211" i="10"/>
  <c r="P211" i="10"/>
  <c r="O211" i="10"/>
  <c r="N211" i="10"/>
  <c r="K211" i="10"/>
  <c r="H211" i="10"/>
  <c r="V210" i="10"/>
  <c r="U210" i="10"/>
  <c r="T210" i="10"/>
  <c r="P210" i="10"/>
  <c r="O210" i="10"/>
  <c r="N210" i="10"/>
  <c r="K210" i="10"/>
  <c r="H210" i="10"/>
  <c r="V209" i="10"/>
  <c r="U209" i="10"/>
  <c r="T209" i="10" s="1"/>
  <c r="P209" i="10"/>
  <c r="O209" i="10"/>
  <c r="N209" i="10"/>
  <c r="K209" i="10"/>
  <c r="H209" i="10"/>
  <c r="V208" i="10"/>
  <c r="U208" i="10"/>
  <c r="T208" i="10"/>
  <c r="P208" i="10"/>
  <c r="O208" i="10"/>
  <c r="N208" i="10"/>
  <c r="K208" i="10"/>
  <c r="H208" i="10"/>
  <c r="V207" i="10"/>
  <c r="U207" i="10"/>
  <c r="T207" i="10"/>
  <c r="P207" i="10"/>
  <c r="O207" i="10"/>
  <c r="N207" i="10"/>
  <c r="K207" i="10"/>
  <c r="H207" i="10"/>
  <c r="V206" i="10"/>
  <c r="U206" i="10"/>
  <c r="T206" i="10" s="1"/>
  <c r="P206" i="10"/>
  <c r="O206" i="10"/>
  <c r="N206" i="10"/>
  <c r="K206" i="10"/>
  <c r="H206" i="10"/>
  <c r="V205" i="10"/>
  <c r="U205" i="10"/>
  <c r="T205" i="10"/>
  <c r="P205" i="10"/>
  <c r="O205" i="10"/>
  <c r="N205" i="10"/>
  <c r="K205" i="10"/>
  <c r="H205" i="10"/>
  <c r="V204" i="10"/>
  <c r="U204" i="10"/>
  <c r="T204" i="10"/>
  <c r="P204" i="10"/>
  <c r="O204" i="10"/>
  <c r="N204" i="10"/>
  <c r="K204" i="10"/>
  <c r="H204" i="10"/>
  <c r="V203" i="10"/>
  <c r="U203" i="10"/>
  <c r="T203" i="10" s="1"/>
  <c r="P203" i="10"/>
  <c r="O203" i="10"/>
  <c r="N203" i="10"/>
  <c r="K203" i="10"/>
  <c r="H203" i="10"/>
  <c r="V202" i="10"/>
  <c r="U202" i="10"/>
  <c r="T202" i="10"/>
  <c r="P202" i="10"/>
  <c r="O202" i="10"/>
  <c r="N202" i="10"/>
  <c r="K202" i="10"/>
  <c r="H202" i="10"/>
  <c r="V201" i="10"/>
  <c r="U201" i="10"/>
  <c r="T201" i="10" s="1"/>
  <c r="P201" i="10"/>
  <c r="O201" i="10"/>
  <c r="N201" i="10"/>
  <c r="K201" i="10"/>
  <c r="H201" i="10"/>
  <c r="V200" i="10"/>
  <c r="U200" i="10"/>
  <c r="T200" i="10" s="1"/>
  <c r="P200" i="10"/>
  <c r="O200" i="10"/>
  <c r="N200" i="10"/>
  <c r="K200" i="10"/>
  <c r="H200" i="10"/>
  <c r="V199" i="10"/>
  <c r="U199" i="10"/>
  <c r="T199" i="10"/>
  <c r="P199" i="10"/>
  <c r="O199" i="10"/>
  <c r="N199" i="10"/>
  <c r="K199" i="10"/>
  <c r="H199" i="10"/>
  <c r="V198" i="10"/>
  <c r="U198" i="10"/>
  <c r="T198" i="10" s="1"/>
  <c r="P198" i="10"/>
  <c r="O198" i="10"/>
  <c r="N198" i="10"/>
  <c r="K198" i="10"/>
  <c r="H198" i="10"/>
  <c r="V197" i="10"/>
  <c r="U197" i="10"/>
  <c r="T197" i="10"/>
  <c r="P197" i="10"/>
  <c r="O197" i="10"/>
  <c r="N197" i="10"/>
  <c r="K197" i="10"/>
  <c r="H197" i="10"/>
  <c r="V196" i="10"/>
  <c r="U196" i="10"/>
  <c r="T196" i="10" s="1"/>
  <c r="P196" i="10"/>
  <c r="O196" i="10"/>
  <c r="N196" i="10"/>
  <c r="K196" i="10"/>
  <c r="H196" i="10"/>
  <c r="V195" i="10"/>
  <c r="U195" i="10"/>
  <c r="T195" i="10" s="1"/>
  <c r="P195" i="10"/>
  <c r="O195" i="10"/>
  <c r="N195" i="10"/>
  <c r="K195" i="10"/>
  <c r="H195" i="10"/>
  <c r="V194" i="10"/>
  <c r="U194" i="10"/>
  <c r="T194" i="10"/>
  <c r="P194" i="10"/>
  <c r="O194" i="10"/>
  <c r="N194" i="10"/>
  <c r="K194" i="10"/>
  <c r="H194" i="10"/>
  <c r="V193" i="10"/>
  <c r="U193" i="10"/>
  <c r="T193" i="10"/>
  <c r="P193" i="10"/>
  <c r="O193" i="10"/>
  <c r="N193" i="10"/>
  <c r="K193" i="10"/>
  <c r="H193" i="10"/>
  <c r="V192" i="10"/>
  <c r="U192" i="10"/>
  <c r="T192" i="10" s="1"/>
  <c r="P192" i="10"/>
  <c r="O192" i="10"/>
  <c r="N192" i="10"/>
  <c r="K192" i="10"/>
  <c r="H192" i="10"/>
  <c r="V191" i="10"/>
  <c r="U191" i="10"/>
  <c r="T191" i="10"/>
  <c r="P191" i="10"/>
  <c r="O191" i="10"/>
  <c r="N191" i="10"/>
  <c r="K191" i="10"/>
  <c r="H191" i="10"/>
  <c r="V190" i="10"/>
  <c r="U190" i="10"/>
  <c r="T190" i="10"/>
  <c r="P190" i="10"/>
  <c r="O190" i="10"/>
  <c r="N190" i="10"/>
  <c r="K190" i="10"/>
  <c r="H190" i="10"/>
  <c r="V189" i="10"/>
  <c r="U189" i="10"/>
  <c r="T189" i="10" s="1"/>
  <c r="P189" i="10"/>
  <c r="O189" i="10"/>
  <c r="N189" i="10"/>
  <c r="K189" i="10"/>
  <c r="H189" i="10"/>
  <c r="V188" i="10"/>
  <c r="U188" i="10"/>
  <c r="T188" i="10"/>
  <c r="P188" i="10"/>
  <c r="O188" i="10"/>
  <c r="N188" i="10"/>
  <c r="K188" i="10"/>
  <c r="H188" i="10"/>
  <c r="V187" i="10"/>
  <c r="U187" i="10"/>
  <c r="T187" i="10"/>
  <c r="P187" i="10"/>
  <c r="O187" i="10"/>
  <c r="N187" i="10"/>
  <c r="K187" i="10"/>
  <c r="H187" i="10"/>
  <c r="V186" i="10"/>
  <c r="U186" i="10"/>
  <c r="T186" i="10"/>
  <c r="P186" i="10"/>
  <c r="O186" i="10"/>
  <c r="N186" i="10"/>
  <c r="K186" i="10"/>
  <c r="H186" i="10"/>
  <c r="V185" i="10"/>
  <c r="U185" i="10"/>
  <c r="T185" i="10"/>
  <c r="P185" i="10"/>
  <c r="O185" i="10"/>
  <c r="N185" i="10"/>
  <c r="K185" i="10"/>
  <c r="H185" i="10"/>
  <c r="V184" i="10"/>
  <c r="U184" i="10"/>
  <c r="T184" i="10" s="1"/>
  <c r="P184" i="10"/>
  <c r="O184" i="10"/>
  <c r="N184" i="10"/>
  <c r="K184" i="10"/>
  <c r="H184" i="10"/>
  <c r="V183" i="10"/>
  <c r="U183" i="10"/>
  <c r="T183" i="10"/>
  <c r="P183" i="10"/>
  <c r="O183" i="10"/>
  <c r="N183" i="10"/>
  <c r="K183" i="10"/>
  <c r="H183" i="10"/>
  <c r="V182" i="10"/>
  <c r="U182" i="10"/>
  <c r="T182" i="10" s="1"/>
  <c r="P182" i="10"/>
  <c r="O182" i="10"/>
  <c r="N182" i="10"/>
  <c r="K182" i="10"/>
  <c r="H182" i="10"/>
  <c r="V181" i="10"/>
  <c r="U181" i="10"/>
  <c r="T181" i="10" s="1"/>
  <c r="P181" i="10"/>
  <c r="O181" i="10"/>
  <c r="N181" i="10"/>
  <c r="K181" i="10"/>
  <c r="H181" i="10"/>
  <c r="V180" i="10"/>
  <c r="U180" i="10"/>
  <c r="T180" i="10"/>
  <c r="P180" i="10"/>
  <c r="O180" i="10"/>
  <c r="N180" i="10"/>
  <c r="K180" i="10"/>
  <c r="H180" i="10"/>
  <c r="V179" i="10"/>
  <c r="U179" i="10"/>
  <c r="T179" i="10" s="1"/>
  <c r="P179" i="10"/>
  <c r="O179" i="10"/>
  <c r="N179" i="10"/>
  <c r="K179" i="10"/>
  <c r="H179" i="10"/>
  <c r="V178" i="10"/>
  <c r="U178" i="10"/>
  <c r="T178" i="10" s="1"/>
  <c r="P178" i="10"/>
  <c r="O178" i="10"/>
  <c r="N178" i="10"/>
  <c r="K178" i="10"/>
  <c r="H178" i="10"/>
  <c r="V177" i="10"/>
  <c r="U177" i="10"/>
  <c r="T177" i="10"/>
  <c r="P177" i="10"/>
  <c r="O177" i="10"/>
  <c r="N177" i="10"/>
  <c r="K177" i="10"/>
  <c r="H177" i="10"/>
  <c r="V176" i="10"/>
  <c r="U176" i="10"/>
  <c r="T176" i="10"/>
  <c r="P176" i="10"/>
  <c r="O176" i="10"/>
  <c r="N176" i="10"/>
  <c r="K176" i="10"/>
  <c r="H176" i="10"/>
  <c r="V175" i="10"/>
  <c r="U175" i="10"/>
  <c r="T175" i="10"/>
  <c r="P175" i="10"/>
  <c r="O175" i="10"/>
  <c r="N175" i="10"/>
  <c r="K175" i="10"/>
  <c r="H175" i="10"/>
  <c r="V174" i="10"/>
  <c r="U174" i="10"/>
  <c r="T174" i="10" s="1"/>
  <c r="P174" i="10"/>
  <c r="O174" i="10"/>
  <c r="N174" i="10"/>
  <c r="K174" i="10"/>
  <c r="H174" i="10"/>
  <c r="V173" i="10"/>
  <c r="U173" i="10"/>
  <c r="T173" i="10"/>
  <c r="P173" i="10"/>
  <c r="O173" i="10"/>
  <c r="N173" i="10"/>
  <c r="K173" i="10"/>
  <c r="H173" i="10"/>
  <c r="V172" i="10"/>
  <c r="U172" i="10"/>
  <c r="T172" i="10"/>
  <c r="P172" i="10"/>
  <c r="O172" i="10"/>
  <c r="N172" i="10"/>
  <c r="K172" i="10"/>
  <c r="H172" i="10"/>
  <c r="V171" i="10"/>
  <c r="U171" i="10"/>
  <c r="T171" i="10"/>
  <c r="P171" i="10"/>
  <c r="O171" i="10"/>
  <c r="N171" i="10"/>
  <c r="K171" i="10"/>
  <c r="H171" i="10"/>
  <c r="V170" i="10"/>
  <c r="U170" i="10"/>
  <c r="T170" i="10" s="1"/>
  <c r="P170" i="10"/>
  <c r="O170" i="10"/>
  <c r="N170" i="10"/>
  <c r="K170" i="10"/>
  <c r="H170" i="10"/>
  <c r="V169" i="10"/>
  <c r="U169" i="10"/>
  <c r="T169" i="10"/>
  <c r="P169" i="10"/>
  <c r="O169" i="10"/>
  <c r="N169" i="10"/>
  <c r="K169" i="10"/>
  <c r="H169" i="10"/>
  <c r="V168" i="10"/>
  <c r="U168" i="10"/>
  <c r="T168" i="10"/>
  <c r="P168" i="10"/>
  <c r="O168" i="10"/>
  <c r="N168" i="10"/>
  <c r="K168" i="10"/>
  <c r="H168" i="10"/>
  <c r="V167" i="10"/>
  <c r="U167" i="10"/>
  <c r="T167" i="10" s="1"/>
  <c r="P167" i="10"/>
  <c r="O167" i="10"/>
  <c r="N167" i="10"/>
  <c r="K167" i="10"/>
  <c r="H167" i="10"/>
  <c r="V166" i="10"/>
  <c r="U166" i="10"/>
  <c r="T166" i="10"/>
  <c r="P166" i="10"/>
  <c r="O166" i="10"/>
  <c r="N166" i="10"/>
  <c r="K166" i="10"/>
  <c r="H166" i="10"/>
  <c r="V165" i="10"/>
  <c r="U165" i="10"/>
  <c r="T165" i="10" s="1"/>
  <c r="P165" i="10"/>
  <c r="O165" i="10"/>
  <c r="N165" i="10"/>
  <c r="K165" i="10"/>
  <c r="H165" i="10"/>
  <c r="V164" i="10"/>
  <c r="U164" i="10"/>
  <c r="T164" i="10" s="1"/>
  <c r="P164" i="10"/>
  <c r="O164" i="10"/>
  <c r="N164" i="10"/>
  <c r="K164" i="10"/>
  <c r="H164" i="10"/>
  <c r="V163" i="10"/>
  <c r="U163" i="10"/>
  <c r="T163" i="10" s="1"/>
  <c r="P163" i="10"/>
  <c r="O163" i="10"/>
  <c r="N163" i="10"/>
  <c r="K163" i="10"/>
  <c r="H163" i="10"/>
  <c r="V162" i="10"/>
  <c r="U162" i="10"/>
  <c r="T162" i="10" s="1"/>
  <c r="P162" i="10"/>
  <c r="O162" i="10"/>
  <c r="N162" i="10"/>
  <c r="K162" i="10"/>
  <c r="H162" i="10"/>
  <c r="V161" i="10"/>
  <c r="U161" i="10"/>
  <c r="T161" i="10"/>
  <c r="P161" i="10"/>
  <c r="O161" i="10"/>
  <c r="N161" i="10"/>
  <c r="K161" i="10"/>
  <c r="H161" i="10"/>
  <c r="V160" i="10"/>
  <c r="U160" i="10"/>
  <c r="T160" i="10"/>
  <c r="P160" i="10"/>
  <c r="O160" i="10"/>
  <c r="N160" i="10"/>
  <c r="K160" i="10"/>
  <c r="H160" i="10"/>
  <c r="V159" i="10"/>
  <c r="U159" i="10"/>
  <c r="T159" i="10" s="1"/>
  <c r="P159" i="10"/>
  <c r="O159" i="10"/>
  <c r="N159" i="10"/>
  <c r="K159" i="10"/>
  <c r="H159" i="10"/>
  <c r="V158" i="10"/>
  <c r="U158" i="10"/>
  <c r="T158" i="10"/>
  <c r="P158" i="10"/>
  <c r="O158" i="10"/>
  <c r="N158" i="10"/>
  <c r="K158" i="10"/>
  <c r="H158" i="10"/>
  <c r="V157" i="10"/>
  <c r="U157" i="10"/>
  <c r="T157" i="10"/>
  <c r="P157" i="10"/>
  <c r="O157" i="10"/>
  <c r="N157" i="10"/>
  <c r="K157" i="10"/>
  <c r="H157" i="10"/>
  <c r="V156" i="10"/>
  <c r="U156" i="10"/>
  <c r="T156" i="10" s="1"/>
  <c r="P156" i="10"/>
  <c r="O156" i="10"/>
  <c r="N156" i="10"/>
  <c r="K156" i="10"/>
  <c r="H156" i="10"/>
  <c r="V155" i="10"/>
  <c r="U155" i="10"/>
  <c r="T155" i="10"/>
  <c r="P155" i="10"/>
  <c r="O155" i="10"/>
  <c r="N155" i="10"/>
  <c r="K155" i="10"/>
  <c r="H155" i="10"/>
  <c r="V154" i="10"/>
  <c r="U154" i="10"/>
  <c r="T154" i="10"/>
  <c r="P154" i="10"/>
  <c r="O154" i="10"/>
  <c r="N154" i="10"/>
  <c r="K154" i="10"/>
  <c r="H154" i="10"/>
  <c r="V153" i="10"/>
  <c r="U153" i="10"/>
  <c r="T153" i="10"/>
  <c r="P153" i="10"/>
  <c r="O153" i="10"/>
  <c r="N153" i="10"/>
  <c r="K153" i="10"/>
  <c r="H153" i="10"/>
  <c r="V152" i="10"/>
  <c r="U152" i="10"/>
  <c r="T152" i="10"/>
  <c r="P152" i="10"/>
  <c r="O152" i="10"/>
  <c r="N152" i="10"/>
  <c r="K152" i="10"/>
  <c r="H152" i="10"/>
  <c r="V151" i="10"/>
  <c r="U151" i="10"/>
  <c r="T151" i="10"/>
  <c r="P151" i="10"/>
  <c r="O151" i="10"/>
  <c r="N151" i="10"/>
  <c r="K151" i="10"/>
  <c r="H151" i="10"/>
  <c r="V150" i="10"/>
  <c r="U150" i="10"/>
  <c r="T150" i="10"/>
  <c r="P150" i="10"/>
  <c r="O150" i="10"/>
  <c r="N150" i="10"/>
  <c r="K150" i="10"/>
  <c r="H150" i="10"/>
  <c r="V149" i="10"/>
  <c r="U149" i="10"/>
  <c r="T149" i="10"/>
  <c r="P149" i="10"/>
  <c r="O149" i="10"/>
  <c r="N149" i="10"/>
  <c r="K149" i="10"/>
  <c r="H149" i="10"/>
  <c r="V148" i="10"/>
  <c r="U148" i="10"/>
  <c r="T148" i="10" s="1"/>
  <c r="P148" i="10"/>
  <c r="O148" i="10"/>
  <c r="N148" i="10"/>
  <c r="K148" i="10"/>
  <c r="H148" i="10"/>
  <c r="V147" i="10"/>
  <c r="U147" i="10"/>
  <c r="T147" i="10"/>
  <c r="P147" i="10"/>
  <c r="O147" i="10"/>
  <c r="N147" i="10"/>
  <c r="K147" i="10"/>
  <c r="H147" i="10"/>
  <c r="V146" i="10"/>
  <c r="U146" i="10"/>
  <c r="T146" i="10" s="1"/>
  <c r="P146" i="10"/>
  <c r="O146" i="10"/>
  <c r="N146" i="10"/>
  <c r="K146" i="10"/>
  <c r="H146" i="10"/>
  <c r="V145" i="10"/>
  <c r="U145" i="10"/>
  <c r="T145" i="10" s="1"/>
  <c r="P145" i="10"/>
  <c r="O145" i="10"/>
  <c r="N145" i="10"/>
  <c r="K145" i="10"/>
  <c r="H145" i="10"/>
  <c r="V144" i="10"/>
  <c r="U144" i="10"/>
  <c r="T144" i="10"/>
  <c r="P144" i="10"/>
  <c r="O144" i="10"/>
  <c r="N144" i="10"/>
  <c r="K144" i="10"/>
  <c r="H144" i="10"/>
  <c r="V143" i="10"/>
  <c r="U143" i="10"/>
  <c r="T143" i="10"/>
  <c r="P143" i="10"/>
  <c r="O143" i="10"/>
  <c r="N143" i="10"/>
  <c r="K143" i="10"/>
  <c r="H143" i="10"/>
  <c r="V142" i="10"/>
  <c r="U142" i="10"/>
  <c r="T142" i="10"/>
  <c r="P142" i="10"/>
  <c r="O142" i="10"/>
  <c r="N142" i="10"/>
  <c r="K142" i="10"/>
  <c r="H142" i="10"/>
  <c r="V141" i="10"/>
  <c r="U141" i="10"/>
  <c r="T141" i="10"/>
  <c r="P141" i="10"/>
  <c r="O141" i="10"/>
  <c r="N141" i="10"/>
  <c r="K141" i="10"/>
  <c r="H141" i="10"/>
  <c r="V140" i="10"/>
  <c r="U140" i="10"/>
  <c r="T140" i="10"/>
  <c r="P140" i="10"/>
  <c r="O140" i="10"/>
  <c r="N140" i="10"/>
  <c r="K140" i="10"/>
  <c r="H140" i="10"/>
  <c r="V139" i="10"/>
  <c r="U139" i="10"/>
  <c r="T139" i="10"/>
  <c r="P139" i="10"/>
  <c r="O139" i="10"/>
  <c r="N139" i="10"/>
  <c r="K139" i="10"/>
  <c r="H139" i="10"/>
  <c r="V138" i="10"/>
  <c r="U138" i="10"/>
  <c r="T138" i="10"/>
  <c r="P138" i="10"/>
  <c r="O138" i="10"/>
  <c r="N138" i="10"/>
  <c r="K138" i="10"/>
  <c r="H138" i="10"/>
  <c r="V137" i="10"/>
  <c r="U137" i="10"/>
  <c r="T137" i="10" s="1"/>
  <c r="P137" i="10"/>
  <c r="O137" i="10"/>
  <c r="N137" i="10"/>
  <c r="K137" i="10"/>
  <c r="H137" i="10"/>
  <c r="V136" i="10"/>
  <c r="U136" i="10"/>
  <c r="T136" i="10"/>
  <c r="P136" i="10"/>
  <c r="O136" i="10"/>
  <c r="N136" i="10"/>
  <c r="K136" i="10"/>
  <c r="H136" i="10"/>
  <c r="V135" i="10"/>
  <c r="U135" i="10"/>
  <c r="T135" i="10" s="1"/>
  <c r="P135" i="10"/>
  <c r="O135" i="10"/>
  <c r="N135" i="10"/>
  <c r="K135" i="10"/>
  <c r="H135" i="10"/>
  <c r="V134" i="10"/>
  <c r="U134" i="10"/>
  <c r="T134" i="10" s="1"/>
  <c r="P134" i="10"/>
  <c r="O134" i="10"/>
  <c r="N134" i="10"/>
  <c r="K134" i="10"/>
  <c r="H134" i="10"/>
  <c r="V133" i="10"/>
  <c r="U133" i="10"/>
  <c r="T133" i="10"/>
  <c r="P133" i="10"/>
  <c r="O133" i="10"/>
  <c r="N133" i="10"/>
  <c r="K133" i="10"/>
  <c r="H133" i="10"/>
  <c r="V132" i="10"/>
  <c r="U132" i="10"/>
  <c r="T132" i="10"/>
  <c r="P132" i="10"/>
  <c r="O132" i="10"/>
  <c r="N132" i="10"/>
  <c r="K132" i="10"/>
  <c r="H132" i="10"/>
  <c r="V131" i="10"/>
  <c r="U131" i="10"/>
  <c r="T131" i="10" s="1"/>
  <c r="P131" i="10"/>
  <c r="O131" i="10"/>
  <c r="N131" i="10"/>
  <c r="K131" i="10"/>
  <c r="H131" i="10"/>
  <c r="V130" i="10"/>
  <c r="U130" i="10"/>
  <c r="T130" i="10" s="1"/>
  <c r="P130" i="10"/>
  <c r="O130" i="10"/>
  <c r="N130" i="10"/>
  <c r="K130" i="10"/>
  <c r="H130" i="10"/>
  <c r="V129" i="10"/>
  <c r="U129" i="10"/>
  <c r="T129" i="10"/>
  <c r="P129" i="10"/>
  <c r="O129" i="10"/>
  <c r="N129" i="10"/>
  <c r="K129" i="10"/>
  <c r="H129" i="10"/>
  <c r="V128" i="10"/>
  <c r="U128" i="10"/>
  <c r="T128" i="10"/>
  <c r="P128" i="10"/>
  <c r="O128" i="10"/>
  <c r="N128" i="10"/>
  <c r="K128" i="10"/>
  <c r="H128" i="10"/>
  <c r="V127" i="10"/>
  <c r="U127" i="10"/>
  <c r="T127" i="10" s="1"/>
  <c r="P127" i="10"/>
  <c r="O127" i="10"/>
  <c r="N127" i="10"/>
  <c r="K127" i="10"/>
  <c r="H127" i="10"/>
  <c r="V126" i="10"/>
  <c r="U126" i="10"/>
  <c r="T126" i="10" s="1"/>
  <c r="P126" i="10"/>
  <c r="O126" i="10"/>
  <c r="N126" i="10"/>
  <c r="K126" i="10"/>
  <c r="H126" i="10"/>
  <c r="V125" i="10"/>
  <c r="U125" i="10"/>
  <c r="T125" i="10"/>
  <c r="P125" i="10"/>
  <c r="O125" i="10"/>
  <c r="N125" i="10"/>
  <c r="K125" i="10"/>
  <c r="H125" i="10"/>
  <c r="V124" i="10"/>
  <c r="U124" i="10"/>
  <c r="T124" i="10"/>
  <c r="P124" i="10"/>
  <c r="O124" i="10"/>
  <c r="N124" i="10"/>
  <c r="K124" i="10"/>
  <c r="H124" i="10"/>
  <c r="V123" i="10"/>
  <c r="U123" i="10"/>
  <c r="T123" i="10" s="1"/>
  <c r="P123" i="10"/>
  <c r="O123" i="10"/>
  <c r="N123" i="10"/>
  <c r="K123" i="10"/>
  <c r="H123" i="10"/>
  <c r="V122" i="10"/>
  <c r="U122" i="10"/>
  <c r="T122" i="10"/>
  <c r="P122" i="10"/>
  <c r="O122" i="10"/>
  <c r="N122" i="10"/>
  <c r="K122" i="10"/>
  <c r="H122" i="10"/>
  <c r="V121" i="10"/>
  <c r="U121" i="10"/>
  <c r="T121" i="10"/>
  <c r="P121" i="10"/>
  <c r="O121" i="10"/>
  <c r="N121" i="10"/>
  <c r="K121" i="10"/>
  <c r="H121" i="10"/>
  <c r="V120" i="10"/>
  <c r="U120" i="10"/>
  <c r="T120" i="10" s="1"/>
  <c r="P120" i="10"/>
  <c r="O120" i="10"/>
  <c r="N120" i="10"/>
  <c r="K120" i="10"/>
  <c r="H120" i="10"/>
  <c r="V119" i="10"/>
  <c r="U119" i="10"/>
  <c r="T119" i="10" s="1"/>
  <c r="P119" i="10"/>
  <c r="O119" i="10"/>
  <c r="N119" i="10"/>
  <c r="K119" i="10"/>
  <c r="H119" i="10"/>
  <c r="V118" i="10"/>
  <c r="U118" i="10"/>
  <c r="T118" i="10"/>
  <c r="P118" i="10"/>
  <c r="O118" i="10"/>
  <c r="N118" i="10"/>
  <c r="K118" i="10"/>
  <c r="H118" i="10"/>
  <c r="V117" i="10"/>
  <c r="U117" i="10"/>
  <c r="T117" i="10"/>
  <c r="P117" i="10"/>
  <c r="O117" i="10"/>
  <c r="N117" i="10"/>
  <c r="K117" i="10"/>
  <c r="H117" i="10"/>
  <c r="V116" i="10"/>
  <c r="U116" i="10"/>
  <c r="T116" i="10"/>
  <c r="P116" i="10"/>
  <c r="O116" i="10"/>
  <c r="N116" i="10"/>
  <c r="K116" i="10"/>
  <c r="H116" i="10"/>
  <c r="V115" i="10"/>
  <c r="U115" i="10"/>
  <c r="T115" i="10" s="1"/>
  <c r="P115" i="10"/>
  <c r="O115" i="10"/>
  <c r="N115" i="10"/>
  <c r="K115" i="10"/>
  <c r="H115" i="10"/>
  <c r="V114" i="10"/>
  <c r="U114" i="10"/>
  <c r="T114" i="10"/>
  <c r="P114" i="10"/>
  <c r="O114" i="10"/>
  <c r="N114" i="10"/>
  <c r="K114" i="10"/>
  <c r="H114" i="10"/>
  <c r="V113" i="10"/>
  <c r="U113" i="10"/>
  <c r="T113" i="10"/>
  <c r="P113" i="10"/>
  <c r="O113" i="10"/>
  <c r="N113" i="10"/>
  <c r="K113" i="10"/>
  <c r="H113" i="10"/>
  <c r="V112" i="10"/>
  <c r="U112" i="10"/>
  <c r="T112" i="10" s="1"/>
  <c r="P112" i="10"/>
  <c r="O112" i="10"/>
  <c r="N112" i="10"/>
  <c r="K112" i="10"/>
  <c r="H112" i="10"/>
  <c r="V111" i="10"/>
  <c r="U111" i="10"/>
  <c r="T111" i="10"/>
  <c r="P111" i="10"/>
  <c r="O111" i="10"/>
  <c r="N111" i="10"/>
  <c r="K111" i="10"/>
  <c r="H111" i="10"/>
  <c r="V110" i="10"/>
  <c r="U110" i="10"/>
  <c r="T110" i="10"/>
  <c r="P110" i="10"/>
  <c r="O110" i="10"/>
  <c r="N110" i="10"/>
  <c r="K110" i="10"/>
  <c r="H110" i="10"/>
  <c r="V109" i="10"/>
  <c r="U109" i="10"/>
  <c r="T109" i="10" s="1"/>
  <c r="P109" i="10"/>
  <c r="O109" i="10"/>
  <c r="N109" i="10"/>
  <c r="K109" i="10"/>
  <c r="H109" i="10"/>
  <c r="V108" i="10"/>
  <c r="U108" i="10"/>
  <c r="T108" i="10"/>
  <c r="P108" i="10"/>
  <c r="O108" i="10"/>
  <c r="N108" i="10"/>
  <c r="K108" i="10"/>
  <c r="H108" i="10"/>
  <c r="V107" i="10"/>
  <c r="U107" i="10"/>
  <c r="T107" i="10" s="1"/>
  <c r="P107" i="10"/>
  <c r="O107" i="10"/>
  <c r="N107" i="10"/>
  <c r="K107" i="10"/>
  <c r="H107" i="10"/>
  <c r="V106" i="10"/>
  <c r="U106" i="10"/>
  <c r="T106" i="10"/>
  <c r="P106" i="10"/>
  <c r="O106" i="10"/>
  <c r="N106" i="10"/>
  <c r="K106" i="10"/>
  <c r="H106" i="10"/>
  <c r="V105" i="10"/>
  <c r="U105" i="10"/>
  <c r="T105" i="10"/>
  <c r="P105" i="10"/>
  <c r="O105" i="10"/>
  <c r="N105" i="10"/>
  <c r="K105" i="10"/>
  <c r="H105" i="10"/>
  <c r="V104" i="10"/>
  <c r="U104" i="10"/>
  <c r="T104" i="10" s="1"/>
  <c r="P104" i="10"/>
  <c r="O104" i="10"/>
  <c r="N104" i="10"/>
  <c r="K104" i="10"/>
  <c r="H104" i="10"/>
  <c r="V103" i="10"/>
  <c r="U103" i="10"/>
  <c r="T103" i="10"/>
  <c r="P103" i="10"/>
  <c r="O103" i="10"/>
  <c r="N103" i="10"/>
  <c r="K103" i="10"/>
  <c r="H103" i="10"/>
  <c r="V102" i="10"/>
  <c r="U102" i="10"/>
  <c r="T102" i="10" s="1"/>
  <c r="P102" i="10"/>
  <c r="O102" i="10"/>
  <c r="N102" i="10"/>
  <c r="K102" i="10"/>
  <c r="H102" i="10"/>
  <c r="V101" i="10"/>
  <c r="U101" i="10"/>
  <c r="T101" i="10"/>
  <c r="P101" i="10"/>
  <c r="O101" i="10"/>
  <c r="N101" i="10"/>
  <c r="K101" i="10"/>
  <c r="H101" i="10"/>
  <c r="V100" i="10"/>
  <c r="U100" i="10"/>
  <c r="T100" i="10"/>
  <c r="P100" i="10"/>
  <c r="O100" i="10"/>
  <c r="N100" i="10"/>
  <c r="K100" i="10"/>
  <c r="H100" i="10"/>
  <c r="V99" i="10"/>
  <c r="U99" i="10"/>
  <c r="T99" i="10"/>
  <c r="P99" i="10"/>
  <c r="O99" i="10"/>
  <c r="N99" i="10"/>
  <c r="K99" i="10"/>
  <c r="H99" i="10"/>
  <c r="V98" i="10"/>
  <c r="U98" i="10"/>
  <c r="T98" i="10" s="1"/>
  <c r="P98" i="10"/>
  <c r="O98" i="10"/>
  <c r="N98" i="10"/>
  <c r="K98" i="10"/>
  <c r="H98" i="10"/>
  <c r="V97" i="10"/>
  <c r="U97" i="10"/>
  <c r="T97" i="10" s="1"/>
  <c r="P97" i="10"/>
  <c r="O97" i="10"/>
  <c r="N97" i="10"/>
  <c r="K97" i="10"/>
  <c r="H97" i="10"/>
  <c r="V96" i="10"/>
  <c r="U96" i="10"/>
  <c r="T96" i="10"/>
  <c r="P96" i="10"/>
  <c r="O96" i="10"/>
  <c r="N96" i="10"/>
  <c r="K96" i="10"/>
  <c r="H96" i="10"/>
  <c r="V95" i="10"/>
  <c r="U95" i="10"/>
  <c r="T95" i="10"/>
  <c r="P95" i="10"/>
  <c r="O95" i="10"/>
  <c r="N95" i="10"/>
  <c r="K95" i="10"/>
  <c r="H95" i="10"/>
  <c r="V94" i="10"/>
  <c r="U94" i="10"/>
  <c r="T94" i="10"/>
  <c r="P94" i="10"/>
  <c r="O94" i="10"/>
  <c r="N94" i="10"/>
  <c r="K94" i="10"/>
  <c r="H94" i="10"/>
  <c r="V93" i="10"/>
  <c r="U93" i="10"/>
  <c r="T93" i="10" s="1"/>
  <c r="P93" i="10"/>
  <c r="O93" i="10"/>
  <c r="N93" i="10"/>
  <c r="K93" i="10"/>
  <c r="H93" i="10"/>
  <c r="V92" i="10"/>
  <c r="U92" i="10"/>
  <c r="T92" i="10"/>
  <c r="P92" i="10"/>
  <c r="O92" i="10"/>
  <c r="N92" i="10"/>
  <c r="K92" i="10"/>
  <c r="H92" i="10"/>
  <c r="V91" i="10"/>
  <c r="U91" i="10"/>
  <c r="T91" i="10"/>
  <c r="P91" i="10"/>
  <c r="O91" i="10"/>
  <c r="N91" i="10"/>
  <c r="K91" i="10"/>
  <c r="H91" i="10"/>
  <c r="V90" i="10"/>
  <c r="U90" i="10"/>
  <c r="T90" i="10" s="1"/>
  <c r="P90" i="10"/>
  <c r="O90" i="10"/>
  <c r="N90" i="10"/>
  <c r="K90" i="10"/>
  <c r="H90" i="10"/>
  <c r="V89" i="10"/>
  <c r="U89" i="10"/>
  <c r="T89" i="10"/>
  <c r="P89" i="10"/>
  <c r="O89" i="10"/>
  <c r="N89" i="10"/>
  <c r="K89" i="10"/>
  <c r="H89" i="10"/>
  <c r="V88" i="10"/>
  <c r="U88" i="10"/>
  <c r="T88" i="10"/>
  <c r="P88" i="10"/>
  <c r="O88" i="10"/>
  <c r="N88" i="10"/>
  <c r="K88" i="10"/>
  <c r="H88" i="10"/>
  <c r="V87" i="10"/>
  <c r="U87" i="10"/>
  <c r="T87" i="10" s="1"/>
  <c r="P87" i="10"/>
  <c r="O87" i="10"/>
  <c r="N87" i="10"/>
  <c r="K87" i="10"/>
  <c r="H87" i="10"/>
  <c r="V86" i="10"/>
  <c r="U86" i="10"/>
  <c r="T86" i="10"/>
  <c r="P86" i="10"/>
  <c r="O86" i="10"/>
  <c r="N86" i="10"/>
  <c r="K86" i="10"/>
  <c r="H86" i="10"/>
  <c r="V85" i="10"/>
  <c r="U85" i="10"/>
  <c r="T85" i="10" s="1"/>
  <c r="P85" i="10"/>
  <c r="O85" i="10"/>
  <c r="N85" i="10"/>
  <c r="K85" i="10"/>
  <c r="H85" i="10"/>
  <c r="V84" i="10"/>
  <c r="U84" i="10"/>
  <c r="T84" i="10"/>
  <c r="P84" i="10"/>
  <c r="O84" i="10"/>
  <c r="N84" i="10"/>
  <c r="K84" i="10"/>
  <c r="H84" i="10"/>
  <c r="V83" i="10"/>
  <c r="U83" i="10"/>
  <c r="T83" i="10" s="1"/>
  <c r="P83" i="10"/>
  <c r="O83" i="10"/>
  <c r="N83" i="10"/>
  <c r="K83" i="10"/>
  <c r="H83" i="10"/>
  <c r="V82" i="10"/>
  <c r="U82" i="10"/>
  <c r="T82" i="10" s="1"/>
  <c r="P82" i="10"/>
  <c r="O82" i="10"/>
  <c r="N82" i="10"/>
  <c r="K82" i="10"/>
  <c r="H82" i="10"/>
  <c r="V81" i="10"/>
  <c r="U81" i="10"/>
  <c r="T81" i="10"/>
  <c r="P81" i="10"/>
  <c r="O81" i="10"/>
  <c r="N81" i="10"/>
  <c r="K81" i="10"/>
  <c r="H81" i="10"/>
  <c r="V80" i="10"/>
  <c r="U80" i="10"/>
  <c r="T80" i="10" s="1"/>
  <c r="P80" i="10"/>
  <c r="O80" i="10"/>
  <c r="N80" i="10"/>
  <c r="K80" i="10"/>
  <c r="H80" i="10"/>
  <c r="V79" i="10"/>
  <c r="U79" i="10"/>
  <c r="T79" i="10" s="1"/>
  <c r="P79" i="10"/>
  <c r="O79" i="10"/>
  <c r="N79" i="10"/>
  <c r="K79" i="10"/>
  <c r="H79" i="10"/>
  <c r="V78" i="10"/>
  <c r="U78" i="10"/>
  <c r="T78" i="10"/>
  <c r="P78" i="10"/>
  <c r="O78" i="10"/>
  <c r="N78" i="10"/>
  <c r="K78" i="10"/>
  <c r="H78" i="10"/>
  <c r="V77" i="10"/>
  <c r="U77" i="10"/>
  <c r="T77" i="10" s="1"/>
  <c r="P77" i="10"/>
  <c r="O77" i="10"/>
  <c r="N77" i="10"/>
  <c r="K77" i="10"/>
  <c r="H77" i="10"/>
  <c r="V76" i="10"/>
  <c r="U76" i="10"/>
  <c r="T76" i="10"/>
  <c r="P76" i="10"/>
  <c r="O76" i="10"/>
  <c r="N76" i="10"/>
  <c r="K76" i="10"/>
  <c r="H76" i="10"/>
  <c r="V75" i="10"/>
  <c r="U75" i="10"/>
  <c r="T75" i="10" s="1"/>
  <c r="P75" i="10"/>
  <c r="O75" i="10"/>
  <c r="N75" i="10"/>
  <c r="K75" i="10"/>
  <c r="H75" i="10"/>
  <c r="V74" i="10"/>
  <c r="U74" i="10"/>
  <c r="T74" i="10"/>
  <c r="P74" i="10"/>
  <c r="O74" i="10"/>
  <c r="N74" i="10"/>
  <c r="K74" i="10"/>
  <c r="H74" i="10"/>
  <c r="V73" i="10"/>
  <c r="U73" i="10"/>
  <c r="T73" i="10"/>
  <c r="P73" i="10"/>
  <c r="O73" i="10"/>
  <c r="N73" i="10"/>
  <c r="K73" i="10"/>
  <c r="H73" i="10"/>
  <c r="V72" i="10"/>
  <c r="U72" i="10"/>
  <c r="T72" i="10"/>
  <c r="P72" i="10"/>
  <c r="O72" i="10"/>
  <c r="N72" i="10"/>
  <c r="K72" i="10"/>
  <c r="H72" i="10"/>
  <c r="V71" i="10"/>
  <c r="U71" i="10"/>
  <c r="T71" i="10" s="1"/>
  <c r="P71" i="10"/>
  <c r="O71" i="10"/>
  <c r="N71" i="10"/>
  <c r="K71" i="10"/>
  <c r="H71" i="10"/>
  <c r="V70" i="10"/>
  <c r="U70" i="10"/>
  <c r="T70" i="10"/>
  <c r="P70" i="10"/>
  <c r="O70" i="10"/>
  <c r="N70" i="10"/>
  <c r="K70" i="10"/>
  <c r="H70" i="10"/>
  <c r="V69" i="10"/>
  <c r="U69" i="10"/>
  <c r="T69" i="10"/>
  <c r="P69" i="10"/>
  <c r="O69" i="10"/>
  <c r="N69" i="10"/>
  <c r="K69" i="10"/>
  <c r="H69" i="10"/>
  <c r="V68" i="10"/>
  <c r="U68" i="10"/>
  <c r="T68" i="10" s="1"/>
  <c r="P68" i="10"/>
  <c r="O68" i="10"/>
  <c r="N68" i="10"/>
  <c r="K68" i="10"/>
  <c r="H68" i="10"/>
  <c r="V67" i="10"/>
  <c r="U67" i="10"/>
  <c r="T67" i="10"/>
  <c r="P67" i="10"/>
  <c r="O67" i="10"/>
  <c r="N67" i="10"/>
  <c r="K67" i="10"/>
  <c r="H67" i="10"/>
  <c r="V66" i="10"/>
  <c r="U66" i="10"/>
  <c r="T66" i="10" s="1"/>
  <c r="P66" i="10"/>
  <c r="O66" i="10"/>
  <c r="N66" i="10"/>
  <c r="K66" i="10"/>
  <c r="H66" i="10"/>
  <c r="V65" i="10"/>
  <c r="U65" i="10"/>
  <c r="T65" i="10" s="1"/>
  <c r="P65" i="10"/>
  <c r="O65" i="10"/>
  <c r="N65" i="10"/>
  <c r="K65" i="10"/>
  <c r="H65" i="10"/>
  <c r="V64" i="10"/>
  <c r="U64" i="10"/>
  <c r="T64" i="10" s="1"/>
  <c r="P64" i="10"/>
  <c r="O64" i="10"/>
  <c r="N64" i="10"/>
  <c r="K64" i="10"/>
  <c r="H64" i="10"/>
  <c r="V63" i="10"/>
  <c r="U63" i="10"/>
  <c r="T63" i="10" s="1"/>
  <c r="P63" i="10"/>
  <c r="O63" i="10"/>
  <c r="N63" i="10"/>
  <c r="K63" i="10"/>
  <c r="H63" i="10"/>
  <c r="V62" i="10"/>
  <c r="U62" i="10"/>
  <c r="T62" i="10"/>
  <c r="P62" i="10"/>
  <c r="O62" i="10"/>
  <c r="N62" i="10"/>
  <c r="K62" i="10"/>
  <c r="H62" i="10"/>
  <c r="V61" i="10"/>
  <c r="U61" i="10"/>
  <c r="T61" i="10"/>
  <c r="P61" i="10"/>
  <c r="O61" i="10"/>
  <c r="N61" i="10"/>
  <c r="K61" i="10"/>
  <c r="H61" i="10"/>
  <c r="V60" i="10"/>
  <c r="U60" i="10"/>
  <c r="T60" i="10" s="1"/>
  <c r="P60" i="10"/>
  <c r="O60" i="10"/>
  <c r="N60" i="10"/>
  <c r="K60" i="10"/>
  <c r="H60" i="10"/>
  <c r="V59" i="10"/>
  <c r="U59" i="10"/>
  <c r="T59" i="10"/>
  <c r="P59" i="10"/>
  <c r="O59" i="10"/>
  <c r="N59" i="10"/>
  <c r="K59" i="10"/>
  <c r="H59" i="10"/>
  <c r="V58" i="10"/>
  <c r="U58" i="10"/>
  <c r="T58" i="10"/>
  <c r="P58" i="10"/>
  <c r="O58" i="10"/>
  <c r="N58" i="10"/>
  <c r="K58" i="10"/>
  <c r="H58" i="10"/>
  <c r="V57" i="10"/>
  <c r="U57" i="10"/>
  <c r="T57" i="10"/>
  <c r="P57" i="10"/>
  <c r="O57" i="10"/>
  <c r="N57" i="10"/>
  <c r="K57" i="10"/>
  <c r="H57" i="10"/>
  <c r="V56" i="10"/>
  <c r="U56" i="10"/>
  <c r="T56" i="10"/>
  <c r="P56" i="10"/>
  <c r="O56" i="10"/>
  <c r="N56" i="10"/>
  <c r="K56" i="10"/>
  <c r="H56" i="10"/>
  <c r="V55" i="10"/>
  <c r="U55" i="10"/>
  <c r="T55" i="10"/>
  <c r="P55" i="10"/>
  <c r="O55" i="10"/>
  <c r="N55" i="10"/>
  <c r="K55" i="10"/>
  <c r="H55" i="10"/>
  <c r="V54" i="10"/>
  <c r="U54" i="10"/>
  <c r="T54" i="10"/>
  <c r="P54" i="10"/>
  <c r="O54" i="10"/>
  <c r="N54" i="10"/>
  <c r="K54" i="10"/>
  <c r="H54" i="10"/>
  <c r="V53" i="10"/>
  <c r="U53" i="10"/>
  <c r="T53" i="10"/>
  <c r="P53" i="10"/>
  <c r="O53" i="10"/>
  <c r="N53" i="10"/>
  <c r="K53" i="10"/>
  <c r="H53" i="10"/>
  <c r="V52" i="10"/>
  <c r="U52" i="10"/>
  <c r="T52" i="10"/>
  <c r="P52" i="10"/>
  <c r="O52" i="10"/>
  <c r="N52" i="10"/>
  <c r="K52" i="10"/>
  <c r="H52" i="10"/>
  <c r="V51" i="10"/>
  <c r="U51" i="10"/>
  <c r="T51" i="10"/>
  <c r="P51" i="10"/>
  <c r="O51" i="10"/>
  <c r="N51" i="10"/>
  <c r="K51" i="10"/>
  <c r="H51" i="10"/>
  <c r="V50" i="10"/>
  <c r="U50" i="10"/>
  <c r="T50" i="10" s="1"/>
  <c r="P50" i="10"/>
  <c r="O50" i="10"/>
  <c r="N50" i="10"/>
  <c r="K50" i="10"/>
  <c r="H50" i="10"/>
  <c r="V49" i="10"/>
  <c r="U49" i="10"/>
  <c r="T49" i="10" s="1"/>
  <c r="P49" i="10"/>
  <c r="O49" i="10"/>
  <c r="N49" i="10"/>
  <c r="K49" i="10"/>
  <c r="H49" i="10"/>
  <c r="V48" i="10"/>
  <c r="U48" i="10"/>
  <c r="T48" i="10"/>
  <c r="P48" i="10"/>
  <c r="O48" i="10"/>
  <c r="N48" i="10"/>
  <c r="K48" i="10"/>
  <c r="H48" i="10"/>
  <c r="V47" i="10"/>
  <c r="U47" i="10"/>
  <c r="T47" i="10"/>
  <c r="P47" i="10"/>
  <c r="O47" i="10"/>
  <c r="N47" i="10"/>
  <c r="K47" i="10"/>
  <c r="H47" i="10"/>
  <c r="V46" i="10"/>
  <c r="U46" i="10"/>
  <c r="T46" i="10"/>
  <c r="P46" i="10"/>
  <c r="O46" i="10"/>
  <c r="N46" i="10"/>
  <c r="K46" i="10"/>
  <c r="H46" i="10"/>
  <c r="V45" i="10"/>
  <c r="U45" i="10"/>
  <c r="T45" i="10" s="1"/>
  <c r="P45" i="10"/>
  <c r="O45" i="10"/>
  <c r="N45" i="10"/>
  <c r="K45" i="10"/>
  <c r="H45" i="10"/>
  <c r="V44" i="10"/>
  <c r="U44" i="10"/>
  <c r="T44" i="10"/>
  <c r="P44" i="10"/>
  <c r="O44" i="10"/>
  <c r="N44" i="10"/>
  <c r="K44" i="10"/>
  <c r="H44" i="10"/>
  <c r="V43" i="10"/>
  <c r="U43" i="10"/>
  <c r="T43" i="10"/>
  <c r="P43" i="10"/>
  <c r="O43" i="10"/>
  <c r="N43" i="10"/>
  <c r="K43" i="10"/>
  <c r="H43" i="10"/>
  <c r="V42" i="10"/>
  <c r="U42" i="10"/>
  <c r="T42" i="10"/>
  <c r="P42" i="10"/>
  <c r="O42" i="10"/>
  <c r="N42" i="10"/>
  <c r="K42" i="10"/>
  <c r="H42" i="10"/>
  <c r="V41" i="10"/>
  <c r="U41" i="10"/>
  <c r="T41" i="10"/>
  <c r="P41" i="10"/>
  <c r="O41" i="10"/>
  <c r="N41" i="10"/>
  <c r="K41" i="10"/>
  <c r="H41" i="10"/>
  <c r="V40" i="10"/>
  <c r="U40" i="10"/>
  <c r="T40" i="10"/>
  <c r="P40" i="10"/>
  <c r="O40" i="10"/>
  <c r="N40" i="10"/>
  <c r="K40" i="10"/>
  <c r="H40" i="10"/>
  <c r="V39" i="10"/>
  <c r="U39" i="10"/>
  <c r="T39" i="10"/>
  <c r="P39" i="10"/>
  <c r="O39" i="10"/>
  <c r="N39" i="10"/>
  <c r="K39" i="10"/>
  <c r="H39" i="10"/>
  <c r="V38" i="10"/>
  <c r="U38" i="10"/>
  <c r="T38" i="10" s="1"/>
  <c r="P38" i="10"/>
  <c r="O38" i="10"/>
  <c r="N38" i="10"/>
  <c r="K38" i="10"/>
  <c r="H38" i="10"/>
  <c r="V37" i="10"/>
  <c r="U37" i="10"/>
  <c r="T37" i="10"/>
  <c r="P37" i="10"/>
  <c r="O37" i="10"/>
  <c r="N37" i="10"/>
  <c r="K37" i="10"/>
  <c r="H37" i="10"/>
  <c r="V36" i="10"/>
  <c r="U36" i="10"/>
  <c r="T36" i="10"/>
  <c r="P36" i="10"/>
  <c r="O36" i="10"/>
  <c r="N36" i="10"/>
  <c r="K36" i="10"/>
  <c r="H36" i="10"/>
  <c r="V35" i="10"/>
  <c r="U35" i="10"/>
  <c r="T35" i="10" s="1"/>
  <c r="P35" i="10"/>
  <c r="O35" i="10"/>
  <c r="N35" i="10"/>
  <c r="K35" i="10"/>
  <c r="H35" i="10"/>
  <c r="V34" i="10"/>
  <c r="U34" i="10"/>
  <c r="T34" i="10"/>
  <c r="P34" i="10"/>
  <c r="O34" i="10"/>
  <c r="N34" i="10"/>
  <c r="K34" i="10"/>
  <c r="H34" i="10"/>
  <c r="V33" i="10"/>
  <c r="U33" i="10"/>
  <c r="T33" i="10" s="1"/>
  <c r="P33" i="10"/>
  <c r="O33" i="10"/>
  <c r="N33" i="10"/>
  <c r="K33" i="10"/>
  <c r="H33" i="10"/>
  <c r="V32" i="10"/>
  <c r="U32" i="10"/>
  <c r="T32" i="10"/>
  <c r="P32" i="10"/>
  <c r="O32" i="10"/>
  <c r="N32" i="10"/>
  <c r="K32" i="10"/>
  <c r="H32" i="10"/>
  <c r="V31" i="10"/>
  <c r="U31" i="10"/>
  <c r="T31" i="10"/>
  <c r="P31" i="10"/>
  <c r="O31" i="10"/>
  <c r="N31" i="10"/>
  <c r="K31" i="10"/>
  <c r="H31" i="10"/>
  <c r="V30" i="10"/>
  <c r="U30" i="10"/>
  <c r="T30" i="10"/>
  <c r="P30" i="10"/>
  <c r="O30" i="10"/>
  <c r="N30" i="10"/>
  <c r="K30" i="10"/>
  <c r="H30" i="10"/>
  <c r="V29" i="10"/>
  <c r="U29" i="10"/>
  <c r="T29" i="10" s="1"/>
  <c r="P29" i="10"/>
  <c r="O29" i="10"/>
  <c r="N29" i="10"/>
  <c r="K29" i="10"/>
  <c r="H29" i="10"/>
  <c r="V28" i="10"/>
  <c r="U28" i="10"/>
  <c r="T28" i="10" s="1"/>
  <c r="P28" i="10"/>
  <c r="O28" i="10"/>
  <c r="N28" i="10"/>
  <c r="K28" i="10"/>
  <c r="H28" i="10"/>
  <c r="V27" i="10"/>
  <c r="U27" i="10"/>
  <c r="T27" i="10" s="1"/>
  <c r="P27" i="10"/>
  <c r="O27" i="10"/>
  <c r="N27" i="10"/>
  <c r="K27" i="10"/>
  <c r="H27" i="10"/>
  <c r="V26" i="10"/>
  <c r="U26" i="10"/>
  <c r="T26" i="10"/>
  <c r="P26" i="10"/>
  <c r="O26" i="10"/>
  <c r="N26" i="10"/>
  <c r="K26" i="10"/>
  <c r="H26" i="10"/>
  <c r="V25" i="10"/>
  <c r="U25" i="10"/>
  <c r="T25" i="10" s="1"/>
  <c r="P25" i="10"/>
  <c r="O25" i="10"/>
  <c r="N25" i="10"/>
  <c r="K25" i="10"/>
  <c r="H25" i="10"/>
  <c r="V24" i="10"/>
  <c r="U24" i="10"/>
  <c r="T24" i="10" s="1"/>
  <c r="P24" i="10"/>
  <c r="O24" i="10"/>
  <c r="N24" i="10"/>
  <c r="K24" i="10"/>
  <c r="H24" i="10"/>
  <c r="V23" i="10"/>
  <c r="U23" i="10"/>
  <c r="T23" i="10"/>
  <c r="P23" i="10"/>
  <c r="O23" i="10"/>
  <c r="N23" i="10"/>
  <c r="K23" i="10"/>
  <c r="H23" i="10"/>
  <c r="V22" i="10"/>
  <c r="U22" i="10"/>
  <c r="T22" i="10"/>
  <c r="P22" i="10"/>
  <c r="O22" i="10"/>
  <c r="N22" i="10"/>
  <c r="K22" i="10"/>
  <c r="H22" i="10"/>
  <c r="V21" i="10"/>
  <c r="U21" i="10"/>
  <c r="T21" i="10"/>
  <c r="P21" i="10"/>
  <c r="O21" i="10"/>
  <c r="N21" i="10"/>
  <c r="K21" i="10"/>
  <c r="H21" i="10"/>
  <c r="V20" i="10"/>
  <c r="U20" i="10"/>
  <c r="T20" i="10"/>
  <c r="P20" i="10"/>
  <c r="O20" i="10"/>
  <c r="N20" i="10"/>
  <c r="K20" i="10"/>
  <c r="H20" i="10"/>
  <c r="V19" i="10"/>
  <c r="U19" i="10"/>
  <c r="T19" i="10" s="1"/>
  <c r="P19" i="10"/>
  <c r="O19" i="10"/>
  <c r="N19" i="10"/>
  <c r="K19" i="10"/>
  <c r="H19" i="10"/>
  <c r="V18" i="10"/>
  <c r="U18" i="10"/>
  <c r="T18" i="10" s="1"/>
  <c r="P18" i="10"/>
  <c r="O18" i="10"/>
  <c r="N18" i="10"/>
  <c r="K18" i="10"/>
  <c r="H18" i="10"/>
  <c r="V17" i="10"/>
  <c r="U17" i="10"/>
  <c r="T17" i="10" s="1"/>
  <c r="P17" i="10"/>
  <c r="O17" i="10"/>
  <c r="N17" i="10"/>
  <c r="K17" i="10"/>
  <c r="H17" i="10"/>
  <c r="V16" i="10"/>
  <c r="U16" i="10"/>
  <c r="T16" i="10"/>
  <c r="P16" i="10"/>
  <c r="O16" i="10"/>
  <c r="N16" i="10"/>
  <c r="K16" i="10"/>
  <c r="H16" i="10"/>
  <c r="V15" i="10"/>
  <c r="U15" i="10"/>
  <c r="T15" i="10"/>
  <c r="P15" i="10"/>
  <c r="O15" i="10"/>
  <c r="N15" i="10"/>
  <c r="K15" i="10"/>
  <c r="H15" i="10"/>
  <c r="V14" i="10"/>
  <c r="U14" i="10"/>
  <c r="T14" i="10" s="1"/>
  <c r="P14" i="10"/>
  <c r="O14" i="10"/>
  <c r="N14" i="10"/>
  <c r="K14" i="10"/>
  <c r="H14" i="10"/>
  <c r="V13" i="10"/>
  <c r="U13" i="10"/>
  <c r="T13" i="10" s="1"/>
  <c r="P13" i="10"/>
  <c r="O13" i="10"/>
  <c r="N13" i="10"/>
  <c r="K13" i="10"/>
  <c r="H13" i="10"/>
  <c r="V12" i="10"/>
  <c r="U12" i="10"/>
  <c r="T12" i="10"/>
  <c r="P12" i="10"/>
  <c r="O12" i="10"/>
  <c r="N12" i="10"/>
  <c r="K12" i="10"/>
  <c r="H12" i="10"/>
  <c r="V11" i="10"/>
  <c r="U11" i="10"/>
  <c r="T11" i="10"/>
  <c r="P11" i="10"/>
  <c r="O11" i="10"/>
  <c r="N11" i="10"/>
  <c r="K11" i="10"/>
  <c r="H11" i="10"/>
  <c r="V10" i="10"/>
  <c r="U10" i="10"/>
  <c r="T10" i="10"/>
  <c r="P10" i="10"/>
  <c r="O10" i="10"/>
  <c r="N10" i="10"/>
  <c r="K10" i="10"/>
  <c r="H10" i="10"/>
  <c r="V9" i="10"/>
  <c r="U9" i="10"/>
  <c r="T9" i="10"/>
  <c r="P9" i="10"/>
  <c r="O9" i="10"/>
  <c r="N9" i="10"/>
  <c r="K9" i="10"/>
  <c r="H9" i="10"/>
  <c r="V8" i="10"/>
  <c r="U8" i="10"/>
  <c r="T8" i="10"/>
  <c r="P8" i="10"/>
  <c r="O8" i="10"/>
  <c r="N8" i="10"/>
  <c r="K8" i="10"/>
  <c r="H8" i="10"/>
  <c r="V7" i="10"/>
  <c r="U7" i="10"/>
  <c r="T7" i="10" s="1"/>
  <c r="P7" i="10"/>
  <c r="O7" i="10"/>
  <c r="N7" i="10"/>
  <c r="K7" i="10"/>
  <c r="H7" i="10"/>
  <c r="V6" i="10"/>
  <c r="U6" i="10"/>
  <c r="T6" i="10" s="1"/>
  <c r="P6" i="10"/>
  <c r="O6" i="10"/>
  <c r="N6" i="10"/>
  <c r="K6" i="10"/>
  <c r="H6" i="10"/>
  <c r="V5" i="10"/>
  <c r="P5" i="10"/>
  <c r="O5" i="10"/>
  <c r="N5" i="10"/>
  <c r="K5" i="10"/>
  <c r="H5" i="10"/>
  <c r="K74" i="9"/>
  <c r="B74" i="9"/>
  <c r="A74" i="9"/>
  <c r="J73" i="9"/>
  <c r="I73" i="9"/>
  <c r="H73" i="9"/>
  <c r="G73" i="9"/>
  <c r="F73" i="9"/>
  <c r="E73" i="9"/>
  <c r="D73" i="9"/>
  <c r="C73" i="9"/>
  <c r="B73" i="9"/>
  <c r="A73" i="9"/>
  <c r="K72" i="9"/>
  <c r="J72" i="9"/>
  <c r="I72" i="9"/>
  <c r="H72" i="9"/>
  <c r="G72" i="9"/>
  <c r="F72" i="9"/>
  <c r="E72" i="9"/>
  <c r="D72" i="9"/>
  <c r="C72" i="9"/>
  <c r="B72" i="9"/>
  <c r="A72" i="9"/>
  <c r="K71" i="9"/>
  <c r="J71" i="9"/>
  <c r="I71" i="9"/>
  <c r="H71" i="9"/>
  <c r="G71" i="9"/>
  <c r="F71" i="9"/>
  <c r="E71" i="9"/>
  <c r="D71" i="9"/>
  <c r="C71" i="9"/>
  <c r="B71" i="9"/>
  <c r="A71" i="9"/>
  <c r="K70" i="9"/>
  <c r="J70" i="9"/>
  <c r="I70" i="9"/>
  <c r="H70" i="9"/>
  <c r="G70" i="9"/>
  <c r="F70" i="9"/>
  <c r="E70" i="9"/>
  <c r="D70" i="9"/>
  <c r="C70" i="9"/>
  <c r="B70" i="9"/>
  <c r="A70" i="9"/>
  <c r="K69" i="9"/>
  <c r="J69" i="9"/>
  <c r="I69" i="9"/>
  <c r="H69" i="9"/>
  <c r="G69" i="9"/>
  <c r="F69" i="9"/>
  <c r="E69" i="9"/>
  <c r="D69" i="9"/>
  <c r="C69" i="9"/>
  <c r="B69" i="9"/>
  <c r="A69" i="9"/>
  <c r="K68" i="9"/>
  <c r="J68" i="9"/>
  <c r="I68" i="9"/>
  <c r="H68" i="9"/>
  <c r="G68" i="9"/>
  <c r="F68" i="9"/>
  <c r="E68" i="9"/>
  <c r="D68" i="9"/>
  <c r="C68" i="9"/>
  <c r="B68" i="9"/>
  <c r="A68" i="9"/>
  <c r="K67" i="9"/>
  <c r="J67" i="9"/>
  <c r="I67" i="9"/>
  <c r="H67" i="9"/>
  <c r="G67" i="9"/>
  <c r="F67" i="9"/>
  <c r="E67" i="9"/>
  <c r="D67" i="9"/>
  <c r="C67" i="9"/>
  <c r="B67" i="9"/>
  <c r="A67" i="9"/>
  <c r="K66" i="9"/>
  <c r="J66" i="9"/>
  <c r="I66" i="9"/>
  <c r="H66" i="9"/>
  <c r="G66" i="9"/>
  <c r="F66" i="9"/>
  <c r="E66" i="9"/>
  <c r="D66" i="9"/>
  <c r="C66" i="9"/>
  <c r="B66" i="9"/>
  <c r="A66" i="9"/>
  <c r="K65" i="9"/>
  <c r="J65" i="9"/>
  <c r="I65" i="9"/>
  <c r="H65" i="9"/>
  <c r="G65" i="9"/>
  <c r="F65" i="9"/>
  <c r="E65" i="9"/>
  <c r="D65" i="9"/>
  <c r="C65" i="9"/>
  <c r="B65" i="9"/>
  <c r="A65" i="9"/>
  <c r="K64" i="9"/>
  <c r="J64" i="9"/>
  <c r="I64" i="9"/>
  <c r="H64" i="9"/>
  <c r="G64" i="9"/>
  <c r="F64" i="9"/>
  <c r="E64" i="9"/>
  <c r="E74" i="9" s="1"/>
  <c r="D64" i="9"/>
  <c r="C64" i="9"/>
  <c r="A64" i="9"/>
  <c r="K63" i="9"/>
  <c r="J63" i="9"/>
  <c r="I63" i="9"/>
  <c r="H63" i="9"/>
  <c r="G63" i="9"/>
  <c r="F63" i="9"/>
  <c r="F74" i="9" s="1"/>
  <c r="E63" i="9"/>
  <c r="D63" i="9"/>
  <c r="C63" i="9"/>
  <c r="A63" i="9"/>
  <c r="K62" i="9"/>
  <c r="J62" i="9"/>
  <c r="I62" i="9"/>
  <c r="H62" i="9"/>
  <c r="G62" i="9"/>
  <c r="F62" i="9"/>
  <c r="E62" i="9"/>
  <c r="D62" i="9"/>
  <c r="C62" i="9"/>
  <c r="A62" i="9"/>
  <c r="P61" i="9"/>
  <c r="M61" i="9"/>
  <c r="L61" i="9"/>
  <c r="K61" i="9"/>
  <c r="J61" i="9"/>
  <c r="I61" i="9"/>
  <c r="H61" i="9"/>
  <c r="G61" i="9"/>
  <c r="F61" i="9"/>
  <c r="E61" i="9"/>
  <c r="D61" i="9"/>
  <c r="K58" i="9"/>
  <c r="J57" i="9"/>
  <c r="I57" i="9"/>
  <c r="H57" i="9"/>
  <c r="G57" i="9"/>
  <c r="F57" i="9"/>
  <c r="E57" i="9"/>
  <c r="D57" i="9"/>
  <c r="C57" i="9"/>
  <c r="B57" i="9"/>
  <c r="K56" i="9"/>
  <c r="J56" i="9"/>
  <c r="I56" i="9"/>
  <c r="H56" i="9"/>
  <c r="G56" i="9"/>
  <c r="F56" i="9"/>
  <c r="E56" i="9"/>
  <c r="D56" i="9"/>
  <c r="D24" i="9" s="1"/>
  <c r="C56" i="9"/>
  <c r="B56" i="9"/>
  <c r="K55" i="9"/>
  <c r="J55" i="9"/>
  <c r="I55" i="9"/>
  <c r="H55" i="9"/>
  <c r="G55" i="9"/>
  <c r="F55" i="9"/>
  <c r="E55" i="9"/>
  <c r="E23" i="9" s="1"/>
  <c r="D55" i="9"/>
  <c r="D23" i="9" s="1"/>
  <c r="C55" i="9"/>
  <c r="C23" i="9" s="1"/>
  <c r="B55" i="9"/>
  <c r="B23" i="9" s="1"/>
  <c r="K54" i="9"/>
  <c r="J54" i="9"/>
  <c r="I54" i="9"/>
  <c r="H54" i="9"/>
  <c r="G54" i="9"/>
  <c r="F54" i="9"/>
  <c r="E54" i="9"/>
  <c r="D54" i="9"/>
  <c r="C54" i="9"/>
  <c r="B54" i="9"/>
  <c r="K53" i="9"/>
  <c r="J53" i="9"/>
  <c r="I53" i="9"/>
  <c r="H53" i="9"/>
  <c r="G53" i="9"/>
  <c r="F53" i="9"/>
  <c r="E53" i="9"/>
  <c r="D53" i="9"/>
  <c r="C53" i="9"/>
  <c r="B53" i="9"/>
  <c r="K52" i="9"/>
  <c r="J52" i="9"/>
  <c r="I52" i="9"/>
  <c r="I20" i="9" s="1"/>
  <c r="H52" i="9"/>
  <c r="G52" i="9"/>
  <c r="F52" i="9"/>
  <c r="E52" i="9"/>
  <c r="D52" i="9"/>
  <c r="C52" i="9"/>
  <c r="B52" i="9"/>
  <c r="K51" i="9"/>
  <c r="J51" i="9"/>
  <c r="I51" i="9"/>
  <c r="H51" i="9"/>
  <c r="G51" i="9"/>
  <c r="F51" i="9"/>
  <c r="E51" i="9"/>
  <c r="E19" i="9" s="1"/>
  <c r="D51" i="9"/>
  <c r="D19" i="9" s="1"/>
  <c r="C51" i="9"/>
  <c r="C19" i="9" s="1"/>
  <c r="B51" i="9"/>
  <c r="B19" i="9" s="1"/>
  <c r="K50" i="9"/>
  <c r="J50" i="9"/>
  <c r="I50" i="9"/>
  <c r="H50" i="9"/>
  <c r="G50" i="9"/>
  <c r="F50" i="9"/>
  <c r="E50" i="9"/>
  <c r="D50" i="9"/>
  <c r="C50" i="9"/>
  <c r="B50" i="9"/>
  <c r="K49" i="9"/>
  <c r="J49" i="9"/>
  <c r="I49" i="9"/>
  <c r="H49" i="9"/>
  <c r="G49" i="9"/>
  <c r="F49" i="9"/>
  <c r="E49" i="9"/>
  <c r="D49" i="9"/>
  <c r="C49" i="9"/>
  <c r="B49" i="9"/>
  <c r="K48" i="9"/>
  <c r="J48" i="9"/>
  <c r="I48" i="9"/>
  <c r="I16" i="9" s="1"/>
  <c r="H48" i="9"/>
  <c r="G48" i="9"/>
  <c r="F48" i="9"/>
  <c r="E48" i="9"/>
  <c r="D48" i="9"/>
  <c r="C48" i="9"/>
  <c r="K47" i="9"/>
  <c r="J47" i="9"/>
  <c r="I47" i="9"/>
  <c r="H47" i="9"/>
  <c r="G47" i="9"/>
  <c r="F47" i="9"/>
  <c r="E47" i="9"/>
  <c r="D47" i="9"/>
  <c r="C47" i="9"/>
  <c r="K46" i="9"/>
  <c r="J46" i="9"/>
  <c r="I46" i="9"/>
  <c r="H46" i="9"/>
  <c r="G46" i="9"/>
  <c r="F46" i="9"/>
  <c r="E46" i="9"/>
  <c r="D46" i="9"/>
  <c r="C46" i="9"/>
  <c r="R45" i="9"/>
  <c r="Q45" i="9"/>
  <c r="P45" i="9"/>
  <c r="O45" i="9"/>
  <c r="N45" i="9"/>
  <c r="M45" i="9"/>
  <c r="L45" i="9"/>
  <c r="B45" i="9"/>
  <c r="H42" i="9"/>
  <c r="J41" i="9"/>
  <c r="I41" i="9"/>
  <c r="H41" i="9"/>
  <c r="H25" i="9" s="1"/>
  <c r="G41" i="9"/>
  <c r="G25" i="9" s="1"/>
  <c r="F41" i="9"/>
  <c r="F25" i="9" s="1"/>
  <c r="E41" i="9"/>
  <c r="E25" i="9" s="1"/>
  <c r="D41" i="9"/>
  <c r="D25" i="9" s="1"/>
  <c r="C41" i="9"/>
  <c r="C25" i="9" s="1"/>
  <c r="B41" i="9"/>
  <c r="B25" i="9" s="1"/>
  <c r="K40" i="9"/>
  <c r="J40" i="9"/>
  <c r="I40" i="9"/>
  <c r="H40" i="9"/>
  <c r="G40" i="9"/>
  <c r="F40" i="9"/>
  <c r="E40" i="9"/>
  <c r="D40" i="9"/>
  <c r="C40" i="9"/>
  <c r="C24" i="9" s="1"/>
  <c r="B40" i="9"/>
  <c r="B24" i="9" s="1"/>
  <c r="K39" i="9"/>
  <c r="K23" i="9" s="1"/>
  <c r="J39" i="9"/>
  <c r="J23" i="9" s="1"/>
  <c r="I39" i="9"/>
  <c r="I23" i="9" s="1"/>
  <c r="H39" i="9"/>
  <c r="H23" i="9" s="1"/>
  <c r="G39" i="9"/>
  <c r="F39" i="9"/>
  <c r="E39" i="9"/>
  <c r="D39" i="9"/>
  <c r="C39" i="9"/>
  <c r="B39" i="9"/>
  <c r="K38" i="9"/>
  <c r="K22" i="9" s="1"/>
  <c r="J38" i="9"/>
  <c r="J22" i="9" s="1"/>
  <c r="I38" i="9"/>
  <c r="I22" i="9" s="1"/>
  <c r="H38" i="9"/>
  <c r="H22" i="9" s="1"/>
  <c r="G38" i="9"/>
  <c r="G22" i="9" s="1"/>
  <c r="F38" i="9"/>
  <c r="E38" i="9"/>
  <c r="E22" i="9" s="1"/>
  <c r="D38" i="9"/>
  <c r="D22" i="9" s="1"/>
  <c r="C38" i="9"/>
  <c r="B38" i="9"/>
  <c r="K37" i="9"/>
  <c r="J37" i="9"/>
  <c r="J21" i="9" s="1"/>
  <c r="I37" i="9"/>
  <c r="I21" i="9" s="1"/>
  <c r="H37" i="9"/>
  <c r="H21" i="9" s="1"/>
  <c r="G37" i="9"/>
  <c r="G21" i="9" s="1"/>
  <c r="F37" i="9"/>
  <c r="F21" i="9" s="1"/>
  <c r="E37" i="9"/>
  <c r="D37" i="9"/>
  <c r="C37" i="9"/>
  <c r="C21" i="9" s="1"/>
  <c r="B37" i="9"/>
  <c r="B21" i="9" s="1"/>
  <c r="K36" i="9"/>
  <c r="J36" i="9"/>
  <c r="I36" i="9"/>
  <c r="H36" i="9"/>
  <c r="G36" i="9"/>
  <c r="F36" i="9"/>
  <c r="E36" i="9"/>
  <c r="E20" i="9" s="1"/>
  <c r="D36" i="9"/>
  <c r="D20" i="9" s="1"/>
  <c r="C36" i="9"/>
  <c r="C20" i="9" s="1"/>
  <c r="B36" i="9"/>
  <c r="B20" i="9" s="1"/>
  <c r="K35" i="9"/>
  <c r="K19" i="9" s="1"/>
  <c r="J35" i="9"/>
  <c r="I35" i="9"/>
  <c r="H35" i="9"/>
  <c r="G35" i="9"/>
  <c r="F35" i="9"/>
  <c r="E35" i="9"/>
  <c r="D35" i="9"/>
  <c r="C35" i="9"/>
  <c r="B35" i="9"/>
  <c r="K34" i="9"/>
  <c r="K18" i="9" s="1"/>
  <c r="J34" i="9"/>
  <c r="J18" i="9" s="1"/>
  <c r="I34" i="9"/>
  <c r="I18" i="9" s="1"/>
  <c r="H34" i="9"/>
  <c r="G34" i="9"/>
  <c r="G18" i="9" s="1"/>
  <c r="F34" i="9"/>
  <c r="F18" i="9" s="1"/>
  <c r="E34" i="9"/>
  <c r="D34" i="9"/>
  <c r="C34" i="9"/>
  <c r="C18" i="9" s="1"/>
  <c r="B34" i="9"/>
  <c r="K33" i="9"/>
  <c r="K17" i="9" s="1"/>
  <c r="J33" i="9"/>
  <c r="J17" i="9" s="1"/>
  <c r="I33" i="9"/>
  <c r="I17" i="9" s="1"/>
  <c r="H33" i="9"/>
  <c r="H17" i="9" s="1"/>
  <c r="G33" i="9"/>
  <c r="G17" i="9" s="1"/>
  <c r="F33" i="9"/>
  <c r="F17" i="9" s="1"/>
  <c r="E33" i="9"/>
  <c r="E17" i="9" s="1"/>
  <c r="D33" i="9"/>
  <c r="D17" i="9" s="1"/>
  <c r="C33" i="9"/>
  <c r="B33" i="9"/>
  <c r="B17" i="9" s="1"/>
  <c r="K32" i="9"/>
  <c r="J32" i="9"/>
  <c r="I32" i="9"/>
  <c r="H32" i="9"/>
  <c r="G32" i="9"/>
  <c r="G16" i="9" s="1"/>
  <c r="F32" i="9"/>
  <c r="F16" i="9" s="1"/>
  <c r="E32" i="9"/>
  <c r="E16" i="9" s="1"/>
  <c r="D32" i="9"/>
  <c r="D16" i="9" s="1"/>
  <c r="C32" i="9"/>
  <c r="C16" i="9" s="1"/>
  <c r="K31" i="9"/>
  <c r="K15" i="9" s="1"/>
  <c r="J31" i="9"/>
  <c r="I31" i="9"/>
  <c r="H31" i="9"/>
  <c r="G31" i="9"/>
  <c r="F31" i="9"/>
  <c r="E31" i="9"/>
  <c r="D31" i="9"/>
  <c r="C31" i="9"/>
  <c r="K30" i="9"/>
  <c r="J30" i="9"/>
  <c r="I30" i="9"/>
  <c r="H30" i="9"/>
  <c r="H14" i="9" s="1"/>
  <c r="G30" i="9"/>
  <c r="F30" i="9"/>
  <c r="F14" i="9" s="1"/>
  <c r="E30" i="9"/>
  <c r="D30" i="9"/>
  <c r="D14" i="9" s="1"/>
  <c r="C30" i="9"/>
  <c r="R29" i="9"/>
  <c r="Q29" i="9"/>
  <c r="P29" i="9"/>
  <c r="O29" i="9"/>
  <c r="N29" i="9"/>
  <c r="M29" i="9"/>
  <c r="L29" i="9"/>
  <c r="K29" i="9"/>
  <c r="K45" i="9" s="1"/>
  <c r="J29" i="9"/>
  <c r="J45" i="9" s="1"/>
  <c r="I29" i="9"/>
  <c r="I45" i="9" s="1"/>
  <c r="H29" i="9"/>
  <c r="H45" i="9" s="1"/>
  <c r="G29" i="9"/>
  <c r="G45" i="9" s="1"/>
  <c r="F29" i="9"/>
  <c r="F45" i="9" s="1"/>
  <c r="E29" i="9"/>
  <c r="E45" i="9" s="1"/>
  <c r="D29" i="9"/>
  <c r="D45" i="9" s="1"/>
  <c r="C29" i="9"/>
  <c r="C45" i="9" s="1"/>
  <c r="B29" i="9"/>
  <c r="J25" i="9"/>
  <c r="I25" i="9"/>
  <c r="K24" i="9"/>
  <c r="I24" i="9"/>
  <c r="G24" i="9"/>
  <c r="F24" i="9"/>
  <c r="E24" i="9"/>
  <c r="F22" i="9"/>
  <c r="C22" i="9"/>
  <c r="B22" i="9"/>
  <c r="K20" i="9"/>
  <c r="J20" i="9"/>
  <c r="H20" i="9"/>
  <c r="G20" i="9"/>
  <c r="F20" i="9"/>
  <c r="J19" i="9"/>
  <c r="I19" i="9"/>
  <c r="H19" i="9"/>
  <c r="F19" i="9"/>
  <c r="D18" i="9"/>
  <c r="B18" i="9"/>
  <c r="K16" i="9"/>
  <c r="J16" i="9"/>
  <c r="H16" i="9"/>
  <c r="B16" i="9"/>
  <c r="I15" i="9"/>
  <c r="H15" i="9"/>
  <c r="G15" i="9"/>
  <c r="F15" i="9"/>
  <c r="E15" i="9"/>
  <c r="D15" i="9"/>
  <c r="C15" i="9"/>
  <c r="B15" i="9"/>
  <c r="G14" i="9"/>
  <c r="C14" i="9"/>
  <c r="B14" i="9"/>
  <c r="I13" i="9"/>
  <c r="H13" i="9"/>
  <c r="G13" i="9"/>
  <c r="F13" i="9"/>
  <c r="E13" i="9"/>
  <c r="D13" i="9"/>
  <c r="C13" i="9"/>
  <c r="B13" i="9"/>
  <c r="R1" i="9"/>
  <c r="Q1" i="9"/>
  <c r="P1" i="9"/>
  <c r="P13" i="9" s="1"/>
  <c r="O1" i="9"/>
  <c r="N1" i="9"/>
  <c r="M1" i="9"/>
  <c r="M13" i="9" s="1"/>
  <c r="L1" i="9"/>
  <c r="L13" i="9" s="1"/>
  <c r="K1" i="9"/>
  <c r="K13" i="9" s="1"/>
  <c r="J1" i="9"/>
  <c r="J13" i="9" s="1"/>
  <c r="I1" i="9"/>
  <c r="H1" i="9"/>
  <c r="G1" i="9"/>
  <c r="F1" i="9"/>
  <c r="E1" i="9"/>
  <c r="D1" i="9"/>
  <c r="C1" i="9"/>
  <c r="C61" i="9" s="1"/>
  <c r="B1" i="9"/>
  <c r="B61" i="9" s="1"/>
  <c r="B194" i="7"/>
  <c r="B193" i="7"/>
  <c r="B192" i="7"/>
  <c r="AG168" i="7"/>
  <c r="AE168" i="7"/>
  <c r="AB168" i="7"/>
  <c r="AA168" i="7"/>
  <c r="Z168" i="7"/>
  <c r="Y168" i="7"/>
  <c r="W168" i="7"/>
  <c r="V168" i="7"/>
  <c r="U168" i="7"/>
  <c r="T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AA167" i="7"/>
  <c r="Z167" i="7"/>
  <c r="Y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AG166" i="7"/>
  <c r="AF166" i="7"/>
  <c r="AB166" i="7"/>
  <c r="AA166" i="7"/>
  <c r="Z166" i="7"/>
  <c r="Y166" i="7"/>
  <c r="W166" i="7"/>
  <c r="V166" i="7"/>
  <c r="U166" i="7"/>
  <c r="T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A165" i="7"/>
  <c r="AE164" i="7"/>
  <c r="AB164" i="7"/>
  <c r="Z164" i="7"/>
  <c r="Y164" i="7"/>
  <c r="W164" i="7"/>
  <c r="V164" i="7"/>
  <c r="U164" i="7"/>
  <c r="T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AB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A163" i="7"/>
  <c r="AF162" i="7"/>
  <c r="AE162" i="7"/>
  <c r="Z162" i="7"/>
  <c r="Y162" i="7"/>
  <c r="W162" i="7"/>
  <c r="V162" i="7"/>
  <c r="U162" i="7"/>
  <c r="T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AC161" i="7"/>
  <c r="AB161" i="7"/>
  <c r="Z161" i="7"/>
  <c r="Y161" i="7"/>
  <c r="X161" i="7"/>
  <c r="W161" i="7"/>
  <c r="V161" i="7"/>
  <c r="U161" i="7"/>
  <c r="T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A161" i="7"/>
  <c r="AG160" i="7"/>
  <c r="AA160" i="7"/>
  <c r="Z160" i="7"/>
  <c r="Y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AE159" i="7"/>
  <c r="AC159" i="7"/>
  <c r="AB159" i="7"/>
  <c r="AA159" i="7"/>
  <c r="Z159" i="7"/>
  <c r="Y159" i="7"/>
  <c r="X159" i="7"/>
  <c r="W159" i="7"/>
  <c r="V159" i="7"/>
  <c r="U159" i="7"/>
  <c r="T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A159" i="7"/>
  <c r="AA158" i="7"/>
  <c r="Z158" i="7"/>
  <c r="Y158" i="7"/>
  <c r="X158" i="7"/>
  <c r="W158" i="7"/>
  <c r="V158" i="7"/>
  <c r="U158" i="7"/>
  <c r="T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Y157" i="7"/>
  <c r="X157" i="7"/>
  <c r="W157" i="7"/>
  <c r="V157" i="7"/>
  <c r="U157" i="7"/>
  <c r="T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B157" i="7"/>
  <c r="A157" i="7"/>
  <c r="AA156" i="7"/>
  <c r="Z156" i="7"/>
  <c r="Y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AF155" i="7"/>
  <c r="AE155" i="7"/>
  <c r="AA155" i="7"/>
  <c r="Z155" i="7"/>
  <c r="Y155" i="7"/>
  <c r="W155" i="7"/>
  <c r="V155" i="7"/>
  <c r="U155" i="7"/>
  <c r="T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A154" i="7"/>
  <c r="AG153" i="7"/>
  <c r="AF153" i="7"/>
  <c r="AE153" i="7"/>
  <c r="AC153" i="7"/>
  <c r="AB153" i="7"/>
  <c r="AA153" i="7"/>
  <c r="Z153" i="7"/>
  <c r="Y153" i="7"/>
  <c r="W153" i="7"/>
  <c r="V153" i="7"/>
  <c r="U153" i="7"/>
  <c r="T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AE152" i="7"/>
  <c r="AB152" i="7"/>
  <c r="AA152" i="7"/>
  <c r="Z152" i="7"/>
  <c r="Y152" i="7"/>
  <c r="X152" i="7"/>
  <c r="W152" i="7"/>
  <c r="V152" i="7"/>
  <c r="U152" i="7"/>
  <c r="T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A152" i="7"/>
  <c r="AA151" i="7"/>
  <c r="Z151" i="7"/>
  <c r="Y151" i="7"/>
  <c r="W151" i="7"/>
  <c r="V151" i="7"/>
  <c r="U151" i="7"/>
  <c r="T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AG150" i="7"/>
  <c r="AE150" i="7"/>
  <c r="AC150" i="7"/>
  <c r="AB150" i="7"/>
  <c r="AA150" i="7"/>
  <c r="Z150" i="7"/>
  <c r="Y150" i="7"/>
  <c r="X150" i="7"/>
  <c r="W150" i="7"/>
  <c r="V150" i="7"/>
  <c r="U150" i="7"/>
  <c r="T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A150" i="7"/>
  <c r="AG149" i="7"/>
  <c r="AA149" i="7"/>
  <c r="Z149" i="7"/>
  <c r="Y149" i="7"/>
  <c r="W149" i="7"/>
  <c r="V149" i="7"/>
  <c r="U149" i="7"/>
  <c r="T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AJ148" i="7"/>
  <c r="AF148" i="7"/>
  <c r="AE148" i="7"/>
  <c r="AC148" i="7"/>
  <c r="AB148" i="7"/>
  <c r="AA148" i="7"/>
  <c r="Z148" i="7"/>
  <c r="Y148" i="7"/>
  <c r="X148" i="7"/>
  <c r="W148" i="7"/>
  <c r="V148" i="7"/>
  <c r="U148" i="7"/>
  <c r="T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A148" i="7"/>
  <c r="AA147" i="7"/>
  <c r="Z147" i="7"/>
  <c r="Y147" i="7"/>
  <c r="X147" i="7"/>
  <c r="W147" i="7"/>
  <c r="V147" i="7"/>
  <c r="U147" i="7"/>
  <c r="T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A147" i="7"/>
  <c r="AI146" i="7"/>
  <c r="AG146" i="7"/>
  <c r="AF146" i="7"/>
  <c r="AE146" i="7"/>
  <c r="AC146" i="7"/>
  <c r="AB146" i="7"/>
  <c r="AA146" i="7"/>
  <c r="Z146" i="7"/>
  <c r="Y146" i="7"/>
  <c r="X146" i="7"/>
  <c r="W146" i="7"/>
  <c r="V146" i="7"/>
  <c r="U146" i="7"/>
  <c r="T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A146" i="7"/>
  <c r="AA145" i="7"/>
  <c r="Z145" i="7"/>
  <c r="Y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AF144" i="7"/>
  <c r="AE144" i="7"/>
  <c r="AC144" i="7"/>
  <c r="AB144" i="7"/>
  <c r="AA144" i="7"/>
  <c r="Z144" i="7"/>
  <c r="Y144" i="7"/>
  <c r="W144" i="7"/>
  <c r="V144" i="7"/>
  <c r="U144" i="7"/>
  <c r="T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AA142" i="7"/>
  <c r="Z142" i="7"/>
  <c r="Y142" i="7"/>
  <c r="W142" i="7"/>
  <c r="V142" i="7"/>
  <c r="U142" i="7"/>
  <c r="T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AE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A141" i="7"/>
  <c r="AG140" i="7"/>
  <c r="AF140" i="7"/>
  <c r="AE140" i="7"/>
  <c r="AA140" i="7"/>
  <c r="Z140" i="7"/>
  <c r="Y140" i="7"/>
  <c r="W140" i="7"/>
  <c r="V140" i="7"/>
  <c r="U140" i="7"/>
  <c r="T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A139" i="7"/>
  <c r="AG138" i="7"/>
  <c r="AF138" i="7"/>
  <c r="AE138" i="7"/>
  <c r="AC138" i="7"/>
  <c r="AB138" i="7"/>
  <c r="AA138" i="7"/>
  <c r="Z138" i="7"/>
  <c r="Y138" i="7"/>
  <c r="W138" i="7"/>
  <c r="V138" i="7"/>
  <c r="U138" i="7"/>
  <c r="T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A137" i="7"/>
  <c r="AG136" i="7"/>
  <c r="AF136" i="7"/>
  <c r="AE136" i="7"/>
  <c r="AA136" i="7"/>
  <c r="Z136" i="7"/>
  <c r="Y136" i="7"/>
  <c r="W136" i="7"/>
  <c r="V136" i="7"/>
  <c r="U136" i="7"/>
  <c r="T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A135" i="7"/>
  <c r="AG134" i="7"/>
  <c r="AF134" i="7"/>
  <c r="AB134" i="7"/>
  <c r="AA134" i="7"/>
  <c r="Z134" i="7"/>
  <c r="Y134" i="7"/>
  <c r="X134" i="7"/>
  <c r="W134" i="7"/>
  <c r="V134" i="7"/>
  <c r="U134" i="7"/>
  <c r="T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A134" i="7"/>
  <c r="AA133" i="7"/>
  <c r="Z133" i="7"/>
  <c r="Y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AG132" i="7"/>
  <c r="AA132" i="7"/>
  <c r="Z132" i="7"/>
  <c r="U132" i="7"/>
  <c r="T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AF131" i="7"/>
  <c r="AA131" i="7"/>
  <c r="Z131" i="7"/>
  <c r="U131" i="7"/>
  <c r="T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AA130" i="7"/>
  <c r="Z130" i="7"/>
  <c r="U130" i="7"/>
  <c r="T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B130" i="7"/>
  <c r="A130" i="7"/>
  <c r="B126" i="7"/>
  <c r="AF125" i="7"/>
  <c r="AE125" i="7"/>
  <c r="AB125" i="7"/>
  <c r="AC125" i="7" s="1"/>
  <c r="AI125" i="7" s="1"/>
  <c r="X125" i="7"/>
  <c r="S125" i="7"/>
  <c r="B125" i="7"/>
  <c r="AG124" i="7"/>
  <c r="AF124" i="7"/>
  <c r="AF168" i="7" s="1"/>
  <c r="AE124" i="7"/>
  <c r="AB124" i="7"/>
  <c r="X124" i="7"/>
  <c r="X168" i="7" s="1"/>
  <c r="S124" i="7"/>
  <c r="S168" i="7" s="1"/>
  <c r="B124" i="7"/>
  <c r="B168" i="7" s="1"/>
  <c r="AJ123" i="7"/>
  <c r="AJ167" i="7" s="1"/>
  <c r="AG123" i="7"/>
  <c r="AG167" i="7" s="1"/>
  <c r="AF123" i="7"/>
  <c r="AF167" i="7" s="1"/>
  <c r="AE123" i="7"/>
  <c r="AE167" i="7" s="1"/>
  <c r="AB123" i="7"/>
  <c r="AC123" i="7" s="1"/>
  <c r="AC167" i="7" s="1"/>
  <c r="X123" i="7"/>
  <c r="X167" i="7" s="1"/>
  <c r="S123" i="7"/>
  <c r="B123" i="7"/>
  <c r="B167" i="7" s="1"/>
  <c r="AI122" i="7"/>
  <c r="AI166" i="7" s="1"/>
  <c r="AG122" i="7"/>
  <c r="AF122" i="7"/>
  <c r="AE122" i="7"/>
  <c r="AE166" i="7" s="1"/>
  <c r="AC122" i="7"/>
  <c r="AC166" i="7" s="1"/>
  <c r="AB122" i="7"/>
  <c r="X122" i="7"/>
  <c r="X166" i="7" s="1"/>
  <c r="S122" i="7"/>
  <c r="S166" i="7" s="1"/>
  <c r="B122" i="7"/>
  <c r="B166" i="7" s="1"/>
  <c r="AJ121" i="7"/>
  <c r="AJ165" i="7" s="1"/>
  <c r="AI121" i="7"/>
  <c r="AI165" i="7" s="1"/>
  <c r="AF121" i="7"/>
  <c r="AF165" i="7" s="1"/>
  <c r="AE121" i="7"/>
  <c r="AE165" i="7" s="1"/>
  <c r="AB121" i="7"/>
  <c r="AC121" i="7" s="1"/>
  <c r="AC165" i="7" s="1"/>
  <c r="X121" i="7"/>
  <c r="S121" i="7"/>
  <c r="B121" i="7"/>
  <c r="AF120" i="7"/>
  <c r="AF164" i="7" s="1"/>
  <c r="AE120" i="7"/>
  <c r="AB120" i="7"/>
  <c r="X120" i="7"/>
  <c r="X164" i="7" s="1"/>
  <c r="S120" i="7"/>
  <c r="S164" i="7" s="1"/>
  <c r="B120" i="7"/>
  <c r="B164" i="7" s="1"/>
  <c r="AJ119" i="7"/>
  <c r="AJ163" i="7" s="1"/>
  <c r="AF119" i="7"/>
  <c r="AF163" i="7" s="1"/>
  <c r="AE119" i="7"/>
  <c r="AE163" i="7" s="1"/>
  <c r="AB119" i="7"/>
  <c r="AC119" i="7" s="1"/>
  <c r="AC163" i="7" s="1"/>
  <c r="X119" i="7"/>
  <c r="S119" i="7"/>
  <c r="B119" i="7"/>
  <c r="AF118" i="7"/>
  <c r="AE118" i="7"/>
  <c r="AB118" i="7"/>
  <c r="X118" i="7"/>
  <c r="X162" i="7" s="1"/>
  <c r="S118" i="7"/>
  <c r="S162" i="7" s="1"/>
  <c r="B118" i="7"/>
  <c r="B162" i="7" s="1"/>
  <c r="AJ117" i="7"/>
  <c r="AJ161" i="7" s="1"/>
  <c r="AF117" i="7"/>
  <c r="AF161" i="7" s="1"/>
  <c r="AE117" i="7"/>
  <c r="AE161" i="7" s="1"/>
  <c r="AB117" i="7"/>
  <c r="AC117" i="7" s="1"/>
  <c r="AI117" i="7" s="1"/>
  <c r="AI161" i="7" s="1"/>
  <c r="X117" i="7"/>
  <c r="S117" i="7"/>
  <c r="S161" i="7" s="1"/>
  <c r="B117" i="7"/>
  <c r="AG116" i="7"/>
  <c r="AF116" i="7"/>
  <c r="AF160" i="7" s="1"/>
  <c r="AE116" i="7"/>
  <c r="AE160" i="7" s="1"/>
  <c r="AB116" i="7"/>
  <c r="X116" i="7"/>
  <c r="X160" i="7" s="1"/>
  <c r="S116" i="7"/>
  <c r="B116" i="7"/>
  <c r="B160" i="7" s="1"/>
  <c r="AJ115" i="7"/>
  <c r="AJ159" i="7" s="1"/>
  <c r="AG115" i="7"/>
  <c r="AG159" i="7" s="1"/>
  <c r="AF115" i="7"/>
  <c r="AF159" i="7" s="1"/>
  <c r="AE115" i="7"/>
  <c r="AC115" i="7"/>
  <c r="AI115" i="7" s="1"/>
  <c r="AI159" i="7" s="1"/>
  <c r="AB115" i="7"/>
  <c r="X115" i="7"/>
  <c r="S115" i="7"/>
  <c r="S159" i="7" s="1"/>
  <c r="B115" i="7"/>
  <c r="AE114" i="7"/>
  <c r="AE158" i="7" s="1"/>
  <c r="AC114" i="7"/>
  <c r="AB114" i="7"/>
  <c r="X114" i="7"/>
  <c r="S114" i="7"/>
  <c r="S158" i="7" s="1"/>
  <c r="B114" i="7"/>
  <c r="B158" i="7" s="1"/>
  <c r="AG113" i="7"/>
  <c r="AG157" i="7" s="1"/>
  <c r="AF113" i="7"/>
  <c r="AF157" i="7" s="1"/>
  <c r="AE113" i="7"/>
  <c r="AE157" i="7" s="1"/>
  <c r="AC113" i="7"/>
  <c r="AB113" i="7"/>
  <c r="AJ113" i="7" s="1"/>
  <c r="AJ157" i="7" s="1"/>
  <c r="AA113" i="7"/>
  <c r="X113" i="7"/>
  <c r="S113" i="7"/>
  <c r="S157" i="7" s="1"/>
  <c r="B113" i="7"/>
  <c r="AG112" i="7"/>
  <c r="AG156" i="7" s="1"/>
  <c r="AE112" i="7"/>
  <c r="AE156" i="7" s="1"/>
  <c r="AC112" i="7"/>
  <c r="AB112" i="7"/>
  <c r="Z112" i="7"/>
  <c r="Z113" i="7" s="1"/>
  <c r="AF114" i="7" s="1"/>
  <c r="AF158" i="7" s="1"/>
  <c r="X112" i="7"/>
  <c r="X156" i="7" s="1"/>
  <c r="S112" i="7"/>
  <c r="B112" i="7"/>
  <c r="B156" i="7" s="1"/>
  <c r="AG111" i="7"/>
  <c r="AG155" i="7" s="1"/>
  <c r="AF111" i="7"/>
  <c r="AE111" i="7"/>
  <c r="AB111" i="7"/>
  <c r="X111" i="7"/>
  <c r="X155" i="7" s="1"/>
  <c r="S111" i="7"/>
  <c r="S155" i="7" s="1"/>
  <c r="B111" i="7"/>
  <c r="B155" i="7" s="1"/>
  <c r="AG110" i="7"/>
  <c r="AG154" i="7" s="1"/>
  <c r="AF110" i="7"/>
  <c r="AF154" i="7" s="1"/>
  <c r="AE110" i="7"/>
  <c r="AE154" i="7" s="1"/>
  <c r="AB110" i="7"/>
  <c r="X110" i="7"/>
  <c r="S110" i="7"/>
  <c r="B110" i="7"/>
  <c r="AI109" i="7"/>
  <c r="AI153" i="7" s="1"/>
  <c r="AG109" i="7"/>
  <c r="AF109" i="7"/>
  <c r="AE109" i="7"/>
  <c r="AC109" i="7"/>
  <c r="AB109" i="7"/>
  <c r="AJ109" i="7" s="1"/>
  <c r="AJ153" i="7" s="1"/>
  <c r="X109" i="7"/>
  <c r="X153" i="7" s="1"/>
  <c r="S109" i="7"/>
  <c r="S153" i="7" s="1"/>
  <c r="B109" i="7"/>
  <c r="B153" i="7" s="1"/>
  <c r="AG108" i="7"/>
  <c r="AG152" i="7" s="1"/>
  <c r="AF108" i="7"/>
  <c r="AF152" i="7" s="1"/>
  <c r="AE108" i="7"/>
  <c r="AB108" i="7"/>
  <c r="AJ108" i="7" s="1"/>
  <c r="AJ152" i="7" s="1"/>
  <c r="X108" i="7"/>
  <c r="S108" i="7"/>
  <c r="S152" i="7" s="1"/>
  <c r="B108" i="7"/>
  <c r="AG107" i="7"/>
  <c r="AG151" i="7" s="1"/>
  <c r="AF107" i="7"/>
  <c r="AF151" i="7" s="1"/>
  <c r="AE107" i="7"/>
  <c r="AE151" i="7" s="1"/>
  <c r="AB107" i="7"/>
  <c r="X107" i="7"/>
  <c r="X151" i="7" s="1"/>
  <c r="S107" i="7"/>
  <c r="S151" i="7" s="1"/>
  <c r="B107" i="7"/>
  <c r="B151" i="7" s="1"/>
  <c r="AJ106" i="7"/>
  <c r="AJ150" i="7" s="1"/>
  <c r="AG106" i="7"/>
  <c r="AF106" i="7"/>
  <c r="AF150" i="7" s="1"/>
  <c r="AE106" i="7"/>
  <c r="AB106" i="7"/>
  <c r="AC106" i="7" s="1"/>
  <c r="AI106" i="7" s="1"/>
  <c r="AI150" i="7" s="1"/>
  <c r="X106" i="7"/>
  <c r="S106" i="7"/>
  <c r="S150" i="7" s="1"/>
  <c r="B106" i="7"/>
  <c r="AG105" i="7"/>
  <c r="AF105" i="7"/>
  <c r="AF149" i="7" s="1"/>
  <c r="AE105" i="7"/>
  <c r="AE149" i="7" s="1"/>
  <c r="AB105" i="7"/>
  <c r="AB149" i="7" s="1"/>
  <c r="X105" i="7"/>
  <c r="X149" i="7" s="1"/>
  <c r="S105" i="7"/>
  <c r="S149" i="7" s="1"/>
  <c r="B105" i="7"/>
  <c r="B149" i="7" s="1"/>
  <c r="AJ104" i="7"/>
  <c r="AI104" i="7"/>
  <c r="AI148" i="7" s="1"/>
  <c r="AG104" i="7"/>
  <c r="AG148" i="7" s="1"/>
  <c r="AF104" i="7"/>
  <c r="AE104" i="7"/>
  <c r="AC104" i="7"/>
  <c r="AB104" i="7"/>
  <c r="X104" i="7"/>
  <c r="S104" i="7"/>
  <c r="S148" i="7" s="1"/>
  <c r="B104" i="7"/>
  <c r="AG103" i="7"/>
  <c r="AG147" i="7" s="1"/>
  <c r="AF103" i="7"/>
  <c r="AF147" i="7" s="1"/>
  <c r="AE103" i="7"/>
  <c r="AE147" i="7" s="1"/>
  <c r="AB103" i="7"/>
  <c r="X103" i="7"/>
  <c r="S103" i="7"/>
  <c r="S147" i="7" s="1"/>
  <c r="B103" i="7"/>
  <c r="AJ102" i="7"/>
  <c r="AJ146" i="7" s="1"/>
  <c r="AI102" i="7"/>
  <c r="AG102" i="7"/>
  <c r="AF102" i="7"/>
  <c r="AE102" i="7"/>
  <c r="AC102" i="7"/>
  <c r="AB102" i="7"/>
  <c r="X102" i="7"/>
  <c r="S102" i="7"/>
  <c r="S146" i="7" s="1"/>
  <c r="B102" i="7"/>
  <c r="AG101" i="7"/>
  <c r="AG145" i="7" s="1"/>
  <c r="AF101" i="7"/>
  <c r="AF145" i="7" s="1"/>
  <c r="AE101" i="7"/>
  <c r="AE145" i="7" s="1"/>
  <c r="AB101" i="7"/>
  <c r="X101" i="7"/>
  <c r="X145" i="7" s="1"/>
  <c r="S101" i="7"/>
  <c r="B101" i="7"/>
  <c r="B145" i="7" s="1"/>
  <c r="AG100" i="7"/>
  <c r="AG144" i="7" s="1"/>
  <c r="AF100" i="7"/>
  <c r="AE100" i="7"/>
  <c r="AC100" i="7"/>
  <c r="AI100" i="7" s="1"/>
  <c r="AI144" i="7" s="1"/>
  <c r="AB100" i="7"/>
  <c r="AJ100" i="7" s="1"/>
  <c r="AJ144" i="7" s="1"/>
  <c r="X100" i="7"/>
  <c r="X144" i="7" s="1"/>
  <c r="S100" i="7"/>
  <c r="S144" i="7" s="1"/>
  <c r="B100" i="7"/>
  <c r="B144" i="7" s="1"/>
  <c r="AG99" i="7"/>
  <c r="AG143" i="7" s="1"/>
  <c r="AF99" i="7"/>
  <c r="AF143" i="7" s="1"/>
  <c r="AE99" i="7"/>
  <c r="AE143" i="7" s="1"/>
  <c r="AB99" i="7"/>
  <c r="X99" i="7"/>
  <c r="S99" i="7"/>
  <c r="B99" i="7"/>
  <c r="B143" i="7" s="1"/>
  <c r="AJ98" i="7"/>
  <c r="AJ142" i="7" s="1"/>
  <c r="AG98" i="7"/>
  <c r="AG142" i="7" s="1"/>
  <c r="AF98" i="7"/>
  <c r="AF142" i="7" s="1"/>
  <c r="AE98" i="7"/>
  <c r="AE142" i="7" s="1"/>
  <c r="AC98" i="7"/>
  <c r="AB98" i="7"/>
  <c r="AB142" i="7" s="1"/>
  <c r="X98" i="7"/>
  <c r="X142" i="7" s="1"/>
  <c r="S98" i="7"/>
  <c r="S142" i="7" s="1"/>
  <c r="B98" i="7"/>
  <c r="B142" i="7" s="1"/>
  <c r="AG97" i="7"/>
  <c r="AG141" i="7" s="1"/>
  <c r="AF97" i="7"/>
  <c r="AF141" i="7" s="1"/>
  <c r="AE97" i="7"/>
  <c r="AB97" i="7"/>
  <c r="AJ97" i="7" s="1"/>
  <c r="AJ141" i="7" s="1"/>
  <c r="X97" i="7"/>
  <c r="S97" i="7"/>
  <c r="B97" i="7"/>
  <c r="AG96" i="7"/>
  <c r="AF96" i="7"/>
  <c r="AE96" i="7"/>
  <c r="AB96" i="7"/>
  <c r="X96" i="7"/>
  <c r="X140" i="7" s="1"/>
  <c r="S96" i="7"/>
  <c r="S140" i="7" s="1"/>
  <c r="B96" i="7"/>
  <c r="B140" i="7" s="1"/>
  <c r="AJ95" i="7"/>
  <c r="AG95" i="7"/>
  <c r="AG139" i="7" s="1"/>
  <c r="AF95" i="7"/>
  <c r="AF139" i="7" s="1"/>
  <c r="AE95" i="7"/>
  <c r="AE139" i="7" s="1"/>
  <c r="AB95" i="7"/>
  <c r="AC95" i="7" s="1"/>
  <c r="X95" i="7"/>
  <c r="S95" i="7"/>
  <c r="B95" i="7"/>
  <c r="AJ94" i="7"/>
  <c r="AG94" i="7"/>
  <c r="AF94" i="7"/>
  <c r="AE94" i="7"/>
  <c r="AC94" i="7"/>
  <c r="AI94" i="7" s="1"/>
  <c r="AB94" i="7"/>
  <c r="X94" i="7"/>
  <c r="X138" i="7" s="1"/>
  <c r="S94" i="7"/>
  <c r="S138" i="7" s="1"/>
  <c r="B94" i="7"/>
  <c r="B138" i="7" s="1"/>
  <c r="AJ93" i="7"/>
  <c r="AI93" i="7"/>
  <c r="AG93" i="7"/>
  <c r="AG137" i="7" s="1"/>
  <c r="AF93" i="7"/>
  <c r="AF137" i="7" s="1"/>
  <c r="AE93" i="7"/>
  <c r="AE137" i="7" s="1"/>
  <c r="AC93" i="7"/>
  <c r="AC137" i="7" s="1"/>
  <c r="AB93" i="7"/>
  <c r="AB137" i="7" s="1"/>
  <c r="X93" i="7"/>
  <c r="S93" i="7"/>
  <c r="B93" i="7"/>
  <c r="AG92" i="7"/>
  <c r="AF92" i="7"/>
  <c r="AE92" i="7"/>
  <c r="AC92" i="7"/>
  <c r="AB92" i="7"/>
  <c r="AB136" i="7" s="1"/>
  <c r="X92" i="7"/>
  <c r="X136" i="7" s="1"/>
  <c r="S92" i="7"/>
  <c r="S136" i="7" s="1"/>
  <c r="B92" i="7"/>
  <c r="B136" i="7" s="1"/>
  <c r="AJ91" i="7"/>
  <c r="AI91" i="7"/>
  <c r="AG91" i="7"/>
  <c r="AG135" i="7" s="1"/>
  <c r="AF91" i="7"/>
  <c r="AF135" i="7" s="1"/>
  <c r="AE91" i="7"/>
  <c r="AE135" i="7" s="1"/>
  <c r="AC91" i="7"/>
  <c r="AC135" i="7" s="1"/>
  <c r="AB91" i="7"/>
  <c r="AB135" i="7" s="1"/>
  <c r="X91" i="7"/>
  <c r="S91" i="7"/>
  <c r="B91" i="7"/>
  <c r="AG90" i="7"/>
  <c r="AF90" i="7"/>
  <c r="AE90" i="7"/>
  <c r="AE134" i="7" s="1"/>
  <c r="AB90" i="7"/>
  <c r="X90" i="7"/>
  <c r="S90" i="7"/>
  <c r="S134" i="7" s="1"/>
  <c r="B90" i="7"/>
  <c r="AJ89" i="7"/>
  <c r="AG89" i="7"/>
  <c r="AG133" i="7" s="1"/>
  <c r="AF89" i="7"/>
  <c r="AF133" i="7" s="1"/>
  <c r="AB89" i="7"/>
  <c r="AB133" i="7" s="1"/>
  <c r="X89" i="7"/>
  <c r="X133" i="7" s="1"/>
  <c r="S89" i="7"/>
  <c r="B89" i="7"/>
  <c r="B133" i="7" s="1"/>
  <c r="AG88" i="7"/>
  <c r="AF88" i="7"/>
  <c r="AF132" i="7" s="1"/>
  <c r="AB88" i="7"/>
  <c r="S88" i="7"/>
  <c r="S132" i="7" s="1"/>
  <c r="B88" i="7"/>
  <c r="B132" i="7" s="1"/>
  <c r="AJ87" i="7"/>
  <c r="AI87" i="7"/>
  <c r="AG87" i="7"/>
  <c r="AG131" i="7" s="1"/>
  <c r="AF87" i="7"/>
  <c r="AC87" i="7"/>
  <c r="AC131" i="7" s="1"/>
  <c r="AB87" i="7"/>
  <c r="AB131" i="7" s="1"/>
  <c r="S87" i="7"/>
  <c r="S131" i="7" s="1"/>
  <c r="B87" i="7"/>
  <c r="B131" i="7" s="1"/>
  <c r="AF86" i="7"/>
  <c r="AF130" i="7" s="1"/>
  <c r="AB86" i="7"/>
  <c r="S86" i="7"/>
  <c r="S130" i="7" s="1"/>
  <c r="B86" i="7"/>
  <c r="AJ85" i="7"/>
  <c r="AI85" i="7"/>
  <c r="AF85" i="7"/>
  <c r="AB85" i="7"/>
  <c r="AC85" i="7" s="1"/>
  <c r="V85" i="7"/>
  <c r="S85" i="7"/>
  <c r="B85" i="7"/>
  <c r="AJ84" i="7"/>
  <c r="AI84" i="7"/>
  <c r="AG84" i="7"/>
  <c r="AF84" i="7"/>
  <c r="AC84" i="7"/>
  <c r="AB84" i="7"/>
  <c r="W84" i="7"/>
  <c r="AE84" i="7" s="1"/>
  <c r="V84" i="7"/>
  <c r="S84" i="7"/>
  <c r="B84" i="7"/>
  <c r="AG83" i="7"/>
  <c r="AF83" i="7"/>
  <c r="AE83" i="7"/>
  <c r="AB83" i="7"/>
  <c r="X83" i="7"/>
  <c r="S83" i="7"/>
  <c r="B83" i="7"/>
  <c r="AJ82" i="7"/>
  <c r="AG82" i="7"/>
  <c r="AF82" i="7"/>
  <c r="AE82" i="7"/>
  <c r="AB82" i="7"/>
  <c r="AC82" i="7" s="1"/>
  <c r="AI82" i="7" s="1"/>
  <c r="X82" i="7"/>
  <c r="S82" i="7"/>
  <c r="B82" i="7"/>
  <c r="AG81" i="7"/>
  <c r="AF81" i="7"/>
  <c r="AE81" i="7"/>
  <c r="AC81" i="7"/>
  <c r="AI81" i="7" s="1"/>
  <c r="AB81" i="7"/>
  <c r="X81" i="7"/>
  <c r="S81" i="7"/>
  <c r="B81" i="7"/>
  <c r="AJ81" i="7" s="1"/>
  <c r="AJ80" i="7"/>
  <c r="AG80" i="7"/>
  <c r="AF80" i="7"/>
  <c r="AE80" i="7"/>
  <c r="AC80" i="7"/>
  <c r="AI80" i="7" s="1"/>
  <c r="AB80" i="7"/>
  <c r="X80" i="7"/>
  <c r="S80" i="7"/>
  <c r="B80" i="7"/>
  <c r="AG79" i="7"/>
  <c r="AF79" i="7"/>
  <c r="AE79" i="7"/>
  <c r="AC79" i="7"/>
  <c r="AI79" i="7" s="1"/>
  <c r="AB79" i="7"/>
  <c r="X79" i="7"/>
  <c r="S79" i="7"/>
  <c r="B79" i="7"/>
  <c r="AJ79" i="7" s="1"/>
  <c r="AG78" i="7"/>
  <c r="AF78" i="7"/>
  <c r="AE78" i="7"/>
  <c r="AB78" i="7"/>
  <c r="X78" i="7"/>
  <c r="S78" i="7"/>
  <c r="B78" i="7"/>
  <c r="AG77" i="7"/>
  <c r="AF77" i="7"/>
  <c r="AE77" i="7"/>
  <c r="AB77" i="7"/>
  <c r="AJ77" i="7" s="1"/>
  <c r="X77" i="7"/>
  <c r="S77" i="7"/>
  <c r="B77" i="7"/>
  <c r="AG76" i="7"/>
  <c r="AF76" i="7"/>
  <c r="AE76" i="7"/>
  <c r="AB76" i="7"/>
  <c r="AJ76" i="7" s="1"/>
  <c r="Y76" i="7"/>
  <c r="X76" i="7"/>
  <c r="S76" i="7"/>
  <c r="B76" i="7"/>
  <c r="AG75" i="7"/>
  <c r="AF75" i="7"/>
  <c r="AE75" i="7"/>
  <c r="AC75" i="7"/>
  <c r="AI75" i="7" s="1"/>
  <c r="AB75" i="7"/>
  <c r="X75" i="7"/>
  <c r="S75" i="7"/>
  <c r="B75" i="7"/>
  <c r="AJ75" i="7" s="1"/>
  <c r="AG74" i="7"/>
  <c r="AF74" i="7"/>
  <c r="AE74" i="7"/>
  <c r="AB74" i="7"/>
  <c r="X74" i="7"/>
  <c r="S74" i="7"/>
  <c r="B74" i="7"/>
  <c r="AJ73" i="7"/>
  <c r="AG73" i="7"/>
  <c r="AF73" i="7"/>
  <c r="AE73" i="7"/>
  <c r="AB73" i="7"/>
  <c r="AC73" i="7" s="1"/>
  <c r="AI73" i="7" s="1"/>
  <c r="X73" i="7"/>
  <c r="S73" i="7"/>
  <c r="B73" i="7"/>
  <c r="AG72" i="7"/>
  <c r="AF72" i="7"/>
  <c r="AE72" i="7"/>
  <c r="AB72" i="7"/>
  <c r="X72" i="7"/>
  <c r="S72" i="7"/>
  <c r="B72" i="7"/>
  <c r="AJ71" i="7"/>
  <c r="AG71" i="7"/>
  <c r="AF71" i="7"/>
  <c r="AE71" i="7"/>
  <c r="AB71" i="7"/>
  <c r="AC71" i="7" s="1"/>
  <c r="AI71" i="7" s="1"/>
  <c r="X71" i="7"/>
  <c r="S71" i="7"/>
  <c r="B71" i="7"/>
  <c r="AG70" i="7"/>
  <c r="AF70" i="7"/>
  <c r="AE70" i="7"/>
  <c r="AB70" i="7"/>
  <c r="X70" i="7"/>
  <c r="S70" i="7"/>
  <c r="B70" i="7"/>
  <c r="AJ69" i="7"/>
  <c r="AG69" i="7"/>
  <c r="AF69" i="7"/>
  <c r="AE69" i="7"/>
  <c r="AC69" i="7"/>
  <c r="AI69" i="7" s="1"/>
  <c r="AB69" i="7"/>
  <c r="Z69" i="7"/>
  <c r="X69" i="7"/>
  <c r="S69" i="7"/>
  <c r="B69" i="7"/>
  <c r="AG68" i="7"/>
  <c r="AF68" i="7"/>
  <c r="AE68" i="7"/>
  <c r="AB68" i="7"/>
  <c r="AJ68" i="7" s="1"/>
  <c r="X68" i="7"/>
  <c r="S68" i="7"/>
  <c r="B68" i="7"/>
  <c r="AJ67" i="7"/>
  <c r="AG67" i="7"/>
  <c r="AF67" i="7"/>
  <c r="AE67" i="7"/>
  <c r="AB67" i="7"/>
  <c r="AC67" i="7" s="1"/>
  <c r="AI67" i="7" s="1"/>
  <c r="X67" i="7"/>
  <c r="S67" i="7"/>
  <c r="B67" i="7"/>
  <c r="AG66" i="7"/>
  <c r="AF66" i="7"/>
  <c r="AE66" i="7"/>
  <c r="AB66" i="7"/>
  <c r="X66" i="7"/>
  <c r="S66" i="7"/>
  <c r="B66" i="7"/>
  <c r="AJ65" i="7"/>
  <c r="AG65" i="7"/>
  <c r="AF65" i="7"/>
  <c r="AE65" i="7"/>
  <c r="AC65" i="7"/>
  <c r="AI65" i="7" s="1"/>
  <c r="AB65" i="7"/>
  <c r="X65" i="7"/>
  <c r="S65" i="7"/>
  <c r="B65" i="7"/>
  <c r="AG64" i="7"/>
  <c r="AF64" i="7"/>
  <c r="AE64" i="7"/>
  <c r="AB64" i="7"/>
  <c r="AC64" i="7" s="1"/>
  <c r="AI64" i="7" s="1"/>
  <c r="X64" i="7"/>
  <c r="S64" i="7"/>
  <c r="B64" i="7"/>
  <c r="AJ64" i="7" s="1"/>
  <c r="AG63" i="7"/>
  <c r="AF63" i="7"/>
  <c r="AE63" i="7"/>
  <c r="AB63" i="7"/>
  <c r="AJ63" i="7" s="1"/>
  <c r="X63" i="7"/>
  <c r="S63" i="7"/>
  <c r="B63" i="7"/>
  <c r="AJ62" i="7"/>
  <c r="AG62" i="7"/>
  <c r="AF62" i="7"/>
  <c r="AB62" i="7"/>
  <c r="AC62" i="7" s="1"/>
  <c r="AI62" i="7" s="1"/>
  <c r="W62" i="7"/>
  <c r="AE62" i="7" s="1"/>
  <c r="S62" i="7"/>
  <c r="B62" i="7"/>
  <c r="AG61" i="7"/>
  <c r="AF61" i="7"/>
  <c r="AE61" i="7"/>
  <c r="AC61" i="7"/>
  <c r="AI61" i="7" s="1"/>
  <c r="AB61" i="7"/>
  <c r="X61" i="7"/>
  <c r="S61" i="7"/>
  <c r="B61" i="7"/>
  <c r="AJ60" i="7"/>
  <c r="AI60" i="7"/>
  <c r="AG60" i="7"/>
  <c r="AF60" i="7"/>
  <c r="AE60" i="7"/>
  <c r="AC60" i="7"/>
  <c r="AB60" i="7"/>
  <c r="X60" i="7"/>
  <c r="S60" i="7"/>
  <c r="B60" i="7"/>
  <c r="AG59" i="7"/>
  <c r="AF59" i="7"/>
  <c r="AE59" i="7"/>
  <c r="AB59" i="7"/>
  <c r="X59" i="7"/>
  <c r="S59" i="7"/>
  <c r="B59" i="7"/>
  <c r="AJ58" i="7"/>
  <c r="AI58" i="7"/>
  <c r="AG58" i="7"/>
  <c r="AF58" i="7"/>
  <c r="AE58" i="7"/>
  <c r="AC58" i="7"/>
  <c r="AB58" i="7"/>
  <c r="X58" i="7"/>
  <c r="S58" i="7"/>
  <c r="B58" i="7"/>
  <c r="AF57" i="7"/>
  <c r="AE57" i="7"/>
  <c r="AB57" i="7"/>
  <c r="X57" i="7"/>
  <c r="S57" i="7"/>
  <c r="B57" i="7"/>
  <c r="AF56" i="7"/>
  <c r="AE56" i="7"/>
  <c r="AC56" i="7"/>
  <c r="AI56" i="7" s="1"/>
  <c r="AB56" i="7"/>
  <c r="AJ56" i="7" s="1"/>
  <c r="X56" i="7"/>
  <c r="S56" i="7"/>
  <c r="B56" i="7"/>
  <c r="AF55" i="7"/>
  <c r="AE55" i="7"/>
  <c r="AC55" i="7"/>
  <c r="AI55" i="7" s="1"/>
  <c r="AB55" i="7"/>
  <c r="X55" i="7"/>
  <c r="S55" i="7"/>
  <c r="B55" i="7"/>
  <c r="AJ55" i="7" s="1"/>
  <c r="AJ54" i="7"/>
  <c r="AG54" i="7"/>
  <c r="AF54" i="7"/>
  <c r="AE54" i="7"/>
  <c r="AB54" i="7"/>
  <c r="AC54" i="7" s="1"/>
  <c r="AI54" i="7" s="1"/>
  <c r="X54" i="7"/>
  <c r="S54" i="7"/>
  <c r="B54" i="7"/>
  <c r="AG53" i="7"/>
  <c r="AF53" i="7"/>
  <c r="AE53" i="7"/>
  <c r="AC53" i="7"/>
  <c r="AI53" i="7" s="1"/>
  <c r="AB53" i="7"/>
  <c r="X53" i="7"/>
  <c r="S53" i="7"/>
  <c r="B53" i="7"/>
  <c r="AJ53" i="7" s="1"/>
  <c r="AJ52" i="7"/>
  <c r="AI52" i="7"/>
  <c r="AG52" i="7"/>
  <c r="AF52" i="7"/>
  <c r="AE52" i="7"/>
  <c r="AC52" i="7"/>
  <c r="AB52" i="7"/>
  <c r="X52" i="7"/>
  <c r="S52" i="7"/>
  <c r="B52" i="7"/>
  <c r="AG51" i="7"/>
  <c r="AF51" i="7"/>
  <c r="AE51" i="7"/>
  <c r="AC51" i="7"/>
  <c r="AI51" i="7" s="1"/>
  <c r="AB51" i="7"/>
  <c r="X51" i="7"/>
  <c r="S51" i="7"/>
  <c r="B51" i="7"/>
  <c r="AJ51" i="7" s="1"/>
  <c r="AG50" i="7"/>
  <c r="AF50" i="7"/>
  <c r="AE50" i="7"/>
  <c r="AC50" i="7"/>
  <c r="AI50" i="7" s="1"/>
  <c r="AB50" i="7"/>
  <c r="X50" i="7"/>
  <c r="S50" i="7"/>
  <c r="B50" i="7"/>
  <c r="AJ49" i="7"/>
  <c r="AI49" i="7"/>
  <c r="AG49" i="7"/>
  <c r="AF49" i="7"/>
  <c r="AE49" i="7"/>
  <c r="AB49" i="7"/>
  <c r="AC49" i="7" s="1"/>
  <c r="X49" i="7"/>
  <c r="S49" i="7"/>
  <c r="B49" i="7"/>
  <c r="AG48" i="7"/>
  <c r="AF48" i="7"/>
  <c r="AE48" i="7"/>
  <c r="AB48" i="7"/>
  <c r="X48" i="7"/>
  <c r="S48" i="7"/>
  <c r="B48" i="7"/>
  <c r="AJ47" i="7"/>
  <c r="AI47" i="7"/>
  <c r="AG47" i="7"/>
  <c r="AF47" i="7"/>
  <c r="AE47" i="7"/>
  <c r="AB47" i="7"/>
  <c r="AC47" i="7" s="1"/>
  <c r="X47" i="7"/>
  <c r="S47" i="7"/>
  <c r="B47" i="7"/>
  <c r="AG46" i="7"/>
  <c r="AF46" i="7"/>
  <c r="AE46" i="7"/>
  <c r="AB46" i="7"/>
  <c r="X46" i="7"/>
  <c r="S46" i="7"/>
  <c r="B46" i="7"/>
  <c r="AJ45" i="7"/>
  <c r="AG45" i="7"/>
  <c r="AF45" i="7"/>
  <c r="AE45" i="7"/>
  <c r="AC45" i="7"/>
  <c r="AI45" i="7" s="1"/>
  <c r="AB45" i="7"/>
  <c r="X45" i="7"/>
  <c r="S45" i="7"/>
  <c r="B45" i="7"/>
  <c r="AG44" i="7"/>
  <c r="AF44" i="7"/>
  <c r="AE44" i="7"/>
  <c r="AC44" i="7"/>
  <c r="AI44" i="7" s="1"/>
  <c r="AB44" i="7"/>
  <c r="X44" i="7"/>
  <c r="S44" i="7"/>
  <c r="B44" i="7"/>
  <c r="AJ44" i="7" s="1"/>
  <c r="AG43" i="7"/>
  <c r="AF43" i="7"/>
  <c r="AE43" i="7"/>
  <c r="AC43" i="7"/>
  <c r="AI43" i="7" s="1"/>
  <c r="AB43" i="7"/>
  <c r="AJ43" i="7" s="1"/>
  <c r="X43" i="7"/>
  <c r="S43" i="7"/>
  <c r="B43" i="7"/>
  <c r="AG42" i="7"/>
  <c r="AF42" i="7"/>
  <c r="AE42" i="7"/>
  <c r="AC42" i="7"/>
  <c r="AI42" i="7" s="1"/>
  <c r="AB42" i="7"/>
  <c r="X42" i="7"/>
  <c r="S42" i="7"/>
  <c r="B42" i="7"/>
  <c r="AJ42" i="7" s="1"/>
  <c r="AG41" i="7"/>
  <c r="AF41" i="7"/>
  <c r="AE41" i="7"/>
  <c r="AB41" i="7"/>
  <c r="X41" i="7"/>
  <c r="S41" i="7"/>
  <c r="I41" i="7"/>
  <c r="B41" i="7"/>
  <c r="AG40" i="7"/>
  <c r="AF40" i="7"/>
  <c r="AE40" i="7"/>
  <c r="AB40" i="7"/>
  <c r="AJ40" i="7" s="1"/>
  <c r="X40" i="7"/>
  <c r="S40" i="7"/>
  <c r="B40" i="7"/>
  <c r="AI39" i="7"/>
  <c r="AG39" i="7"/>
  <c r="AF39" i="7"/>
  <c r="AE39" i="7"/>
  <c r="AC39" i="7"/>
  <c r="AB39" i="7"/>
  <c r="X39" i="7"/>
  <c r="S39" i="7"/>
  <c r="B39" i="7"/>
  <c r="AJ38" i="7"/>
  <c r="AG38" i="7"/>
  <c r="AF38" i="7"/>
  <c r="AE38" i="7"/>
  <c r="AB38" i="7"/>
  <c r="AC38" i="7" s="1"/>
  <c r="AI38" i="7" s="1"/>
  <c r="X38" i="7"/>
  <c r="S38" i="7"/>
  <c r="B38" i="7"/>
  <c r="AG37" i="7"/>
  <c r="AF37" i="7"/>
  <c r="AE37" i="7"/>
  <c r="AB37" i="7"/>
  <c r="AJ37" i="7" s="1"/>
  <c r="X37" i="7"/>
  <c r="S37" i="7"/>
  <c r="B37" i="7"/>
  <c r="AJ36" i="7"/>
  <c r="AI36" i="7"/>
  <c r="AG36" i="7"/>
  <c r="AF36" i="7"/>
  <c r="AE36" i="7"/>
  <c r="AC36" i="7"/>
  <c r="AB36" i="7"/>
  <c r="X36" i="7"/>
  <c r="S36" i="7"/>
  <c r="B36" i="7"/>
  <c r="AG35" i="7"/>
  <c r="AF35" i="7"/>
  <c r="AE35" i="7"/>
  <c r="AC35" i="7"/>
  <c r="AI35" i="7" s="1"/>
  <c r="AB35" i="7"/>
  <c r="X35" i="7"/>
  <c r="S35" i="7"/>
  <c r="B35" i="7"/>
  <c r="AJ34" i="7"/>
  <c r="AI34" i="7"/>
  <c r="AG34" i="7"/>
  <c r="AF34" i="7"/>
  <c r="AE34" i="7"/>
  <c r="AC34" i="7"/>
  <c r="AB34" i="7"/>
  <c r="X34" i="7"/>
  <c r="S34" i="7"/>
  <c r="B34" i="7"/>
  <c r="AG33" i="7"/>
  <c r="AF33" i="7"/>
  <c r="AE33" i="7"/>
  <c r="AB33" i="7"/>
  <c r="X33" i="7"/>
  <c r="S33" i="7"/>
  <c r="B33" i="7"/>
  <c r="AJ32" i="7"/>
  <c r="AG32" i="7"/>
  <c r="AF32" i="7"/>
  <c r="AE32" i="7"/>
  <c r="AC32" i="7"/>
  <c r="AI32" i="7" s="1"/>
  <c r="AB32" i="7"/>
  <c r="X32" i="7"/>
  <c r="S32" i="7"/>
  <c r="B32" i="7"/>
  <c r="AG31" i="7"/>
  <c r="AF31" i="7"/>
  <c r="AE31" i="7"/>
  <c r="AB31" i="7"/>
  <c r="X31" i="7"/>
  <c r="S31" i="7"/>
  <c r="B31" i="7"/>
  <c r="AI30" i="7"/>
  <c r="AG30" i="7"/>
  <c r="AF30" i="7"/>
  <c r="AE30" i="7"/>
  <c r="AC30" i="7"/>
  <c r="AB30" i="7"/>
  <c r="AJ30" i="7" s="1"/>
  <c r="X30" i="7"/>
  <c r="S30" i="7"/>
  <c r="B30" i="7"/>
  <c r="AB29" i="7"/>
  <c r="AJ29" i="7" s="1"/>
  <c r="X29" i="7"/>
  <c r="S29" i="7"/>
  <c r="B29" i="7"/>
  <c r="V28" i="7"/>
  <c r="U28" i="7"/>
  <c r="B28" i="7"/>
  <c r="V27" i="7"/>
  <c r="U27" i="7"/>
  <c r="B27" i="7"/>
  <c r="V26" i="7"/>
  <c r="U26" i="7"/>
  <c r="AB26" i="7" s="1"/>
  <c r="B26" i="7"/>
  <c r="V25" i="7"/>
  <c r="U25" i="7"/>
  <c r="B25" i="7"/>
  <c r="AJ24" i="7"/>
  <c r="AB24" i="7"/>
  <c r="AC24" i="7" s="1"/>
  <c r="AI24" i="7" s="1"/>
  <c r="V24" i="7"/>
  <c r="U24" i="7"/>
  <c r="U13" i="7" s="1"/>
  <c r="AB13" i="7" s="1"/>
  <c r="B24" i="7"/>
  <c r="AJ23" i="7"/>
  <c r="V23" i="7"/>
  <c r="U23" i="7"/>
  <c r="AB23" i="7" s="1"/>
  <c r="AC23" i="7" s="1"/>
  <c r="AI23" i="7" s="1"/>
  <c r="B23" i="7"/>
  <c r="AB22" i="7"/>
  <c r="V22" i="7"/>
  <c r="U22" i="7"/>
  <c r="B22" i="7"/>
  <c r="V21" i="7"/>
  <c r="U21" i="7"/>
  <c r="U10" i="7" s="1"/>
  <c r="AB10" i="7" s="1"/>
  <c r="B21" i="7"/>
  <c r="AJ20" i="7"/>
  <c r="AI20" i="7"/>
  <c r="AC20" i="7"/>
  <c r="AB20" i="7"/>
  <c r="V20" i="7"/>
  <c r="U20" i="7"/>
  <c r="B20" i="7"/>
  <c r="V19" i="7"/>
  <c r="U19" i="7"/>
  <c r="AB19" i="7" s="1"/>
  <c r="B19" i="7"/>
  <c r="V18" i="7"/>
  <c r="U18" i="7"/>
  <c r="U7" i="7" s="1"/>
  <c r="AB7" i="7" s="1"/>
  <c r="B18" i="7"/>
  <c r="V17" i="7"/>
  <c r="B17" i="7"/>
  <c r="B16" i="7"/>
  <c r="U15" i="7"/>
  <c r="AB15" i="7" s="1"/>
  <c r="B15" i="7"/>
  <c r="B14" i="7"/>
  <c r="B13" i="7"/>
  <c r="B12" i="7"/>
  <c r="U11" i="7"/>
  <c r="AB11" i="7" s="1"/>
  <c r="B11" i="7"/>
  <c r="AJ10" i="7"/>
  <c r="AC10" i="7"/>
  <c r="AI10" i="7" s="1"/>
  <c r="B10" i="7"/>
  <c r="AB9" i="7"/>
  <c r="AJ9" i="7" s="1"/>
  <c r="U9" i="7"/>
  <c r="B9" i="7"/>
  <c r="U8" i="7"/>
  <c r="AB8" i="7" s="1"/>
  <c r="B8" i="7"/>
  <c r="B7" i="7"/>
  <c r="B6" i="7"/>
  <c r="B5" i="7"/>
  <c r="N58" i="6"/>
  <c r="M58" i="6"/>
  <c r="S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E54" i="6"/>
  <c r="Z54" i="6"/>
  <c r="T54" i="6"/>
  <c r="L54" i="6"/>
  <c r="K54" i="6"/>
  <c r="J54" i="6"/>
  <c r="I54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R53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R52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R51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R50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R49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R48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R47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R46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R45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R44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R43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R42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R41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R40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R39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R38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R37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R36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R35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R34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R33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R32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R31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R30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R29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R28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R27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R26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R25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R24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R23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R22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R21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R20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R19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R18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R17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R16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R15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R14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R13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R12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R11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R10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R9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R8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R7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R6" i="6"/>
  <c r="AH5" i="6"/>
  <c r="AG5" i="6"/>
  <c r="AF5" i="6"/>
  <c r="AF55" i="6" s="1"/>
  <c r="AE5" i="6"/>
  <c r="AE55" i="6" s="1"/>
  <c r="AD5" i="6"/>
  <c r="AC5" i="6"/>
  <c r="AB5" i="6"/>
  <c r="AA5" i="6"/>
  <c r="Z5" i="6"/>
  <c r="Y5" i="6"/>
  <c r="X5" i="6"/>
  <c r="W5" i="6"/>
  <c r="V5" i="6"/>
  <c r="U5" i="6"/>
  <c r="R5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R4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R3" i="6"/>
  <c r="A3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S2" i="6"/>
  <c r="AG21" i="3"/>
  <c r="AG37" i="3" s="1"/>
  <c r="DE37" i="3" s="1"/>
  <c r="O533" i="5"/>
  <c r="N533" i="5"/>
  <c r="M533" i="5"/>
  <c r="L533" i="5"/>
  <c r="J533" i="5"/>
  <c r="W532" i="5"/>
  <c r="Y532" i="5" s="1"/>
  <c r="O532" i="5"/>
  <c r="N532" i="5"/>
  <c r="M532" i="5"/>
  <c r="L532" i="5"/>
  <c r="J532" i="5"/>
  <c r="W531" i="5"/>
  <c r="Y531" i="5" s="1"/>
  <c r="O531" i="5"/>
  <c r="N531" i="5"/>
  <c r="M531" i="5"/>
  <c r="L531" i="5"/>
  <c r="J531" i="5"/>
  <c r="W530" i="5"/>
  <c r="Y530" i="5" s="1"/>
  <c r="O530" i="5"/>
  <c r="N530" i="5"/>
  <c r="M530" i="5"/>
  <c r="L530" i="5"/>
  <c r="J530" i="5"/>
  <c r="W529" i="5"/>
  <c r="Y529" i="5" s="1"/>
  <c r="O529" i="5"/>
  <c r="N529" i="5"/>
  <c r="M529" i="5"/>
  <c r="L529" i="5"/>
  <c r="J529" i="5"/>
  <c r="W528" i="5"/>
  <c r="Y528" i="5" s="1"/>
  <c r="O528" i="5"/>
  <c r="N528" i="5"/>
  <c r="M528" i="5"/>
  <c r="L528" i="5"/>
  <c r="J528" i="5"/>
  <c r="W527" i="5"/>
  <c r="Y527" i="5" s="1"/>
  <c r="O527" i="5"/>
  <c r="N527" i="5"/>
  <c r="M527" i="5"/>
  <c r="L527" i="5"/>
  <c r="J527" i="5"/>
  <c r="W526" i="5"/>
  <c r="Y526" i="5" s="1"/>
  <c r="O526" i="5"/>
  <c r="N526" i="5"/>
  <c r="M526" i="5"/>
  <c r="L526" i="5"/>
  <c r="J526" i="5"/>
  <c r="W525" i="5"/>
  <c r="Y525" i="5" s="1"/>
  <c r="O525" i="5"/>
  <c r="N525" i="5"/>
  <c r="M525" i="5"/>
  <c r="L525" i="5"/>
  <c r="J525" i="5"/>
  <c r="Y524" i="5"/>
  <c r="W524" i="5"/>
  <c r="O524" i="5"/>
  <c r="N524" i="5"/>
  <c r="M524" i="5"/>
  <c r="L524" i="5"/>
  <c r="J524" i="5"/>
  <c r="W523" i="5"/>
  <c r="Y523" i="5" s="1"/>
  <c r="O523" i="5"/>
  <c r="N523" i="5"/>
  <c r="M523" i="5"/>
  <c r="L523" i="5"/>
  <c r="J523" i="5"/>
  <c r="W522" i="5"/>
  <c r="Y522" i="5" s="1"/>
  <c r="AB522" i="5" s="1"/>
  <c r="O522" i="5"/>
  <c r="N522" i="5"/>
  <c r="M522" i="5"/>
  <c r="L522" i="5"/>
  <c r="J522" i="5"/>
  <c r="Y521" i="5"/>
  <c r="AB521" i="5" s="1"/>
  <c r="W521" i="5"/>
  <c r="O521" i="5"/>
  <c r="N521" i="5"/>
  <c r="M521" i="5"/>
  <c r="L521" i="5"/>
  <c r="J521" i="5"/>
  <c r="AJ520" i="5"/>
  <c r="W520" i="5"/>
  <c r="Y520" i="5" s="1"/>
  <c r="AB520" i="5" s="1"/>
  <c r="O520" i="5"/>
  <c r="N520" i="5"/>
  <c r="M520" i="5"/>
  <c r="L520" i="5"/>
  <c r="J520" i="5"/>
  <c r="AJ519" i="5"/>
  <c r="AF519" i="5"/>
  <c r="W519" i="5"/>
  <c r="Y519" i="5" s="1"/>
  <c r="AB519" i="5" s="1"/>
  <c r="O519" i="5"/>
  <c r="N519" i="5"/>
  <c r="M519" i="5"/>
  <c r="L519" i="5"/>
  <c r="J519" i="5"/>
  <c r="AJ518" i="5"/>
  <c r="AF518" i="5"/>
  <c r="W518" i="5"/>
  <c r="Y518" i="5" s="1"/>
  <c r="AB518" i="5" s="1"/>
  <c r="O518" i="5"/>
  <c r="N518" i="5"/>
  <c r="M518" i="5"/>
  <c r="L518" i="5"/>
  <c r="J518" i="5"/>
  <c r="AJ517" i="5"/>
  <c r="AF517" i="5"/>
  <c r="Y517" i="5"/>
  <c r="AB517" i="5" s="1"/>
  <c r="W517" i="5"/>
  <c r="O517" i="5"/>
  <c r="N517" i="5"/>
  <c r="M517" i="5"/>
  <c r="L517" i="5"/>
  <c r="J517" i="5"/>
  <c r="AJ516" i="5"/>
  <c r="AF516" i="5"/>
  <c r="W516" i="5"/>
  <c r="Y516" i="5" s="1"/>
  <c r="AB516" i="5" s="1"/>
  <c r="O516" i="5"/>
  <c r="N516" i="5"/>
  <c r="M516" i="5"/>
  <c r="L516" i="5"/>
  <c r="J516" i="5"/>
  <c r="AJ515" i="5"/>
  <c r="AF515" i="5"/>
  <c r="Y515" i="5"/>
  <c r="AB515" i="5" s="1"/>
  <c r="W515" i="5"/>
  <c r="O515" i="5"/>
  <c r="N515" i="5"/>
  <c r="M515" i="5"/>
  <c r="L515" i="5"/>
  <c r="J515" i="5"/>
  <c r="AJ514" i="5"/>
  <c r="AF514" i="5"/>
  <c r="Y514" i="5"/>
  <c r="AB514" i="5" s="1"/>
  <c r="W514" i="5"/>
  <c r="O514" i="5"/>
  <c r="N514" i="5"/>
  <c r="M514" i="5"/>
  <c r="L514" i="5"/>
  <c r="J514" i="5"/>
  <c r="AJ513" i="5"/>
  <c r="AF513" i="5"/>
  <c r="Y513" i="5"/>
  <c r="AB513" i="5" s="1"/>
  <c r="W513" i="5"/>
  <c r="O513" i="5"/>
  <c r="N513" i="5"/>
  <c r="M513" i="5"/>
  <c r="L513" i="5"/>
  <c r="J513" i="5"/>
  <c r="AJ512" i="5"/>
  <c r="AF512" i="5"/>
  <c r="W512" i="5"/>
  <c r="Y512" i="5" s="1"/>
  <c r="AB512" i="5" s="1"/>
  <c r="O512" i="5"/>
  <c r="N512" i="5"/>
  <c r="M512" i="5"/>
  <c r="L512" i="5"/>
  <c r="J512" i="5"/>
  <c r="AJ511" i="5"/>
  <c r="AF511" i="5"/>
  <c r="AB511" i="5"/>
  <c r="W511" i="5"/>
  <c r="Y511" i="5" s="1"/>
  <c r="O511" i="5"/>
  <c r="N511" i="5"/>
  <c r="M511" i="5"/>
  <c r="L511" i="5"/>
  <c r="J511" i="5"/>
  <c r="AJ510" i="5"/>
  <c r="AF510" i="5"/>
  <c r="W510" i="5"/>
  <c r="Y510" i="5" s="1"/>
  <c r="AB510" i="5" s="1"/>
  <c r="O510" i="5"/>
  <c r="N510" i="5"/>
  <c r="M510" i="5"/>
  <c r="L510" i="5"/>
  <c r="J510" i="5"/>
  <c r="AJ509" i="5"/>
  <c r="AF509" i="5"/>
  <c r="W509" i="5"/>
  <c r="Y509" i="5" s="1"/>
  <c r="AB509" i="5" s="1"/>
  <c r="O509" i="5"/>
  <c r="N509" i="5"/>
  <c r="M509" i="5"/>
  <c r="L509" i="5"/>
  <c r="J509" i="5"/>
  <c r="AJ508" i="5"/>
  <c r="AF508" i="5"/>
  <c r="W508" i="5"/>
  <c r="Y508" i="5" s="1"/>
  <c r="AB508" i="5" s="1"/>
  <c r="O508" i="5"/>
  <c r="N508" i="5"/>
  <c r="M508" i="5"/>
  <c r="L508" i="5"/>
  <c r="J508" i="5"/>
  <c r="AJ507" i="5"/>
  <c r="AF507" i="5"/>
  <c r="W507" i="5"/>
  <c r="Y507" i="5" s="1"/>
  <c r="AB507" i="5" s="1"/>
  <c r="O507" i="5"/>
  <c r="N507" i="5"/>
  <c r="M507" i="5"/>
  <c r="L507" i="5"/>
  <c r="J507" i="5"/>
  <c r="AJ506" i="5"/>
  <c r="AF506" i="5"/>
  <c r="W506" i="5"/>
  <c r="Y506" i="5" s="1"/>
  <c r="AB506" i="5" s="1"/>
  <c r="O506" i="5"/>
  <c r="N506" i="5"/>
  <c r="M506" i="5"/>
  <c r="L506" i="5"/>
  <c r="J506" i="5"/>
  <c r="AJ505" i="5"/>
  <c r="AF505" i="5"/>
  <c r="W505" i="5"/>
  <c r="Y505" i="5" s="1"/>
  <c r="AB505" i="5" s="1"/>
  <c r="O505" i="5"/>
  <c r="N505" i="5"/>
  <c r="M505" i="5"/>
  <c r="L505" i="5"/>
  <c r="J505" i="5"/>
  <c r="AJ504" i="5"/>
  <c r="AF504" i="5"/>
  <c r="W504" i="5"/>
  <c r="Y504" i="5" s="1"/>
  <c r="AB504" i="5" s="1"/>
  <c r="O504" i="5"/>
  <c r="N504" i="5"/>
  <c r="M504" i="5"/>
  <c r="L504" i="5"/>
  <c r="J504" i="5"/>
  <c r="AJ503" i="5"/>
  <c r="AF503" i="5"/>
  <c r="Y503" i="5"/>
  <c r="AB503" i="5" s="1"/>
  <c r="W503" i="5"/>
  <c r="O503" i="5"/>
  <c r="N503" i="5"/>
  <c r="M503" i="5"/>
  <c r="L503" i="5"/>
  <c r="J503" i="5"/>
  <c r="AJ502" i="5"/>
  <c r="AF502" i="5"/>
  <c r="W502" i="5"/>
  <c r="Y502" i="5" s="1"/>
  <c r="AB502" i="5" s="1"/>
  <c r="O502" i="5"/>
  <c r="N502" i="5"/>
  <c r="M502" i="5"/>
  <c r="L502" i="5"/>
  <c r="J502" i="5"/>
  <c r="AJ501" i="5"/>
  <c r="AF501" i="5"/>
  <c r="W501" i="5"/>
  <c r="Y501" i="5" s="1"/>
  <c r="AB501" i="5" s="1"/>
  <c r="O501" i="5"/>
  <c r="N501" i="5"/>
  <c r="M501" i="5"/>
  <c r="L501" i="5"/>
  <c r="J501" i="5"/>
  <c r="AJ500" i="5"/>
  <c r="AF500" i="5"/>
  <c r="AB500" i="5"/>
  <c r="W500" i="5"/>
  <c r="Y500" i="5" s="1"/>
  <c r="O500" i="5"/>
  <c r="N500" i="5"/>
  <c r="M500" i="5"/>
  <c r="L500" i="5"/>
  <c r="J500" i="5"/>
  <c r="AJ499" i="5"/>
  <c r="AF499" i="5"/>
  <c r="Y499" i="5"/>
  <c r="AB499" i="5" s="1"/>
  <c r="W499" i="5"/>
  <c r="O499" i="5"/>
  <c r="N499" i="5"/>
  <c r="M499" i="5"/>
  <c r="L499" i="5"/>
  <c r="J499" i="5"/>
  <c r="AJ498" i="5"/>
  <c r="AF498" i="5"/>
  <c r="W498" i="5"/>
  <c r="Y498" i="5" s="1"/>
  <c r="AB498" i="5" s="1"/>
  <c r="O498" i="5"/>
  <c r="N498" i="5"/>
  <c r="M498" i="5"/>
  <c r="L498" i="5"/>
  <c r="J498" i="5"/>
  <c r="AJ497" i="5"/>
  <c r="AF497" i="5"/>
  <c r="Y497" i="5"/>
  <c r="W497" i="5"/>
  <c r="O497" i="5"/>
  <c r="N497" i="5"/>
  <c r="M497" i="5"/>
  <c r="L497" i="5"/>
  <c r="J497" i="5"/>
  <c r="AJ496" i="5"/>
  <c r="AF496" i="5"/>
  <c r="Y496" i="5"/>
  <c r="W496" i="5"/>
  <c r="O496" i="5"/>
  <c r="N496" i="5"/>
  <c r="M496" i="5"/>
  <c r="L496" i="5"/>
  <c r="J496" i="5"/>
  <c r="W495" i="5"/>
  <c r="Y495" i="5" s="1"/>
  <c r="O495" i="5"/>
  <c r="N495" i="5"/>
  <c r="M495" i="5"/>
  <c r="L495" i="5"/>
  <c r="J495" i="5"/>
  <c r="Y494" i="5"/>
  <c r="W494" i="5"/>
  <c r="O494" i="5"/>
  <c r="N494" i="5"/>
  <c r="M494" i="5"/>
  <c r="L494" i="5"/>
  <c r="J494" i="5"/>
  <c r="W493" i="5"/>
  <c r="Y493" i="5" s="1"/>
  <c r="O493" i="5"/>
  <c r="N493" i="5"/>
  <c r="M493" i="5"/>
  <c r="L493" i="5"/>
  <c r="J493" i="5"/>
  <c r="W492" i="5"/>
  <c r="Y492" i="5" s="1"/>
  <c r="O492" i="5"/>
  <c r="N492" i="5"/>
  <c r="M492" i="5"/>
  <c r="L492" i="5"/>
  <c r="J492" i="5"/>
  <c r="Y491" i="5"/>
  <c r="W491" i="5"/>
  <c r="O491" i="5"/>
  <c r="N491" i="5"/>
  <c r="M491" i="5"/>
  <c r="L491" i="5"/>
  <c r="J491" i="5"/>
  <c r="Y490" i="5"/>
  <c r="W490" i="5"/>
  <c r="O490" i="5"/>
  <c r="N490" i="5"/>
  <c r="M490" i="5"/>
  <c r="L490" i="5"/>
  <c r="J490" i="5"/>
  <c r="Y489" i="5"/>
  <c r="W489" i="5"/>
  <c r="O489" i="5"/>
  <c r="N489" i="5"/>
  <c r="M489" i="5"/>
  <c r="L489" i="5"/>
  <c r="J489" i="5"/>
  <c r="W488" i="5"/>
  <c r="Y488" i="5" s="1"/>
  <c r="O488" i="5"/>
  <c r="N488" i="5"/>
  <c r="M488" i="5"/>
  <c r="L488" i="5"/>
  <c r="J488" i="5"/>
  <c r="W487" i="5"/>
  <c r="Y487" i="5" s="1"/>
  <c r="O487" i="5"/>
  <c r="N487" i="5"/>
  <c r="M487" i="5"/>
  <c r="L487" i="5"/>
  <c r="J487" i="5"/>
  <c r="W486" i="5"/>
  <c r="Y486" i="5" s="1"/>
  <c r="O486" i="5"/>
  <c r="N486" i="5"/>
  <c r="M486" i="5"/>
  <c r="L486" i="5"/>
  <c r="J486" i="5"/>
  <c r="W485" i="5"/>
  <c r="Y485" i="5" s="1"/>
  <c r="O485" i="5"/>
  <c r="N485" i="5"/>
  <c r="M485" i="5"/>
  <c r="L485" i="5"/>
  <c r="J485" i="5"/>
  <c r="W484" i="5"/>
  <c r="Y484" i="5" s="1"/>
  <c r="O484" i="5"/>
  <c r="N484" i="5"/>
  <c r="M484" i="5"/>
  <c r="L484" i="5"/>
  <c r="J484" i="5"/>
  <c r="Y483" i="5"/>
  <c r="W483" i="5"/>
  <c r="O483" i="5"/>
  <c r="N483" i="5"/>
  <c r="M483" i="5"/>
  <c r="L483" i="5"/>
  <c r="J483" i="5"/>
  <c r="Y482" i="5"/>
  <c r="W482" i="5"/>
  <c r="O482" i="5"/>
  <c r="N482" i="5"/>
  <c r="M482" i="5"/>
  <c r="L482" i="5"/>
  <c r="J482" i="5"/>
  <c r="Y481" i="5"/>
  <c r="W481" i="5"/>
  <c r="O481" i="5"/>
  <c r="N481" i="5"/>
  <c r="M481" i="5"/>
  <c r="L481" i="5"/>
  <c r="J481" i="5"/>
  <c r="W480" i="5"/>
  <c r="Y480" i="5" s="1"/>
  <c r="O480" i="5"/>
  <c r="N480" i="5"/>
  <c r="M480" i="5"/>
  <c r="L480" i="5"/>
  <c r="J480" i="5"/>
  <c r="W479" i="5"/>
  <c r="Y479" i="5" s="1"/>
  <c r="O479" i="5"/>
  <c r="N479" i="5"/>
  <c r="M479" i="5"/>
  <c r="L479" i="5"/>
  <c r="J479" i="5"/>
  <c r="W478" i="5"/>
  <c r="Y478" i="5" s="1"/>
  <c r="O478" i="5"/>
  <c r="N478" i="5"/>
  <c r="M478" i="5"/>
  <c r="L478" i="5"/>
  <c r="J478" i="5"/>
  <c r="Y477" i="5"/>
  <c r="W477" i="5"/>
  <c r="O477" i="5"/>
  <c r="N477" i="5"/>
  <c r="M477" i="5"/>
  <c r="L477" i="5"/>
  <c r="J477" i="5"/>
  <c r="Y476" i="5"/>
  <c r="W476" i="5"/>
  <c r="O476" i="5"/>
  <c r="N476" i="5"/>
  <c r="M476" i="5"/>
  <c r="L476" i="5"/>
  <c r="J476" i="5"/>
  <c r="Y475" i="5"/>
  <c r="W475" i="5"/>
  <c r="O475" i="5"/>
  <c r="N475" i="5"/>
  <c r="M475" i="5"/>
  <c r="L475" i="5"/>
  <c r="J475" i="5"/>
  <c r="W474" i="5"/>
  <c r="Y474" i="5" s="1"/>
  <c r="O474" i="5"/>
  <c r="N474" i="5"/>
  <c r="M474" i="5"/>
  <c r="L474" i="5"/>
  <c r="J474" i="5"/>
  <c r="W473" i="5"/>
  <c r="Y473" i="5" s="1"/>
  <c r="O473" i="5"/>
  <c r="N473" i="5"/>
  <c r="M473" i="5"/>
  <c r="L473" i="5"/>
  <c r="J473" i="5"/>
  <c r="W472" i="5"/>
  <c r="Y472" i="5" s="1"/>
  <c r="O472" i="5"/>
  <c r="N472" i="5"/>
  <c r="M472" i="5"/>
  <c r="L472" i="5"/>
  <c r="J472" i="5"/>
  <c r="W471" i="5"/>
  <c r="Y471" i="5" s="1"/>
  <c r="O471" i="5"/>
  <c r="N471" i="5"/>
  <c r="M471" i="5"/>
  <c r="L471" i="5"/>
  <c r="J471" i="5"/>
  <c r="W470" i="5"/>
  <c r="Y470" i="5" s="1"/>
  <c r="O470" i="5"/>
  <c r="N470" i="5"/>
  <c r="M470" i="5"/>
  <c r="L470" i="5"/>
  <c r="J470" i="5"/>
  <c r="W469" i="5"/>
  <c r="Y469" i="5" s="1"/>
  <c r="O469" i="5"/>
  <c r="N469" i="5"/>
  <c r="M469" i="5"/>
  <c r="L469" i="5"/>
  <c r="J469" i="5"/>
  <c r="Y468" i="5"/>
  <c r="W468" i="5"/>
  <c r="O468" i="5"/>
  <c r="N468" i="5"/>
  <c r="M468" i="5"/>
  <c r="L468" i="5"/>
  <c r="J468" i="5"/>
  <c r="Y467" i="5"/>
  <c r="W467" i="5"/>
  <c r="O467" i="5"/>
  <c r="N467" i="5"/>
  <c r="M467" i="5"/>
  <c r="L467" i="5"/>
  <c r="J467" i="5"/>
  <c r="Y466" i="5"/>
  <c r="W466" i="5"/>
  <c r="O466" i="5"/>
  <c r="N466" i="5"/>
  <c r="M466" i="5"/>
  <c r="L466" i="5"/>
  <c r="J466" i="5"/>
  <c r="W465" i="5"/>
  <c r="Y465" i="5" s="1"/>
  <c r="O465" i="5"/>
  <c r="N465" i="5"/>
  <c r="M465" i="5"/>
  <c r="L465" i="5"/>
  <c r="J465" i="5"/>
  <c r="W464" i="5"/>
  <c r="Y464" i="5" s="1"/>
  <c r="O464" i="5"/>
  <c r="N464" i="5"/>
  <c r="M464" i="5"/>
  <c r="L464" i="5"/>
  <c r="J464" i="5"/>
  <c r="Y463" i="5"/>
  <c r="W463" i="5"/>
  <c r="O463" i="5"/>
  <c r="N463" i="5"/>
  <c r="M463" i="5"/>
  <c r="L463" i="5"/>
  <c r="J463" i="5"/>
  <c r="W462" i="5"/>
  <c r="Y462" i="5" s="1"/>
  <c r="O462" i="5"/>
  <c r="N462" i="5"/>
  <c r="M462" i="5"/>
  <c r="L462" i="5"/>
  <c r="J462" i="5"/>
  <c r="Y461" i="5"/>
  <c r="W461" i="5"/>
  <c r="O461" i="5"/>
  <c r="N461" i="5"/>
  <c r="M461" i="5"/>
  <c r="L461" i="5"/>
  <c r="J461" i="5"/>
  <c r="W460" i="5"/>
  <c r="Y460" i="5" s="1"/>
  <c r="O460" i="5"/>
  <c r="N460" i="5"/>
  <c r="M460" i="5"/>
  <c r="L460" i="5"/>
  <c r="J460" i="5"/>
  <c r="Y459" i="5"/>
  <c r="W459" i="5"/>
  <c r="O459" i="5"/>
  <c r="N459" i="5"/>
  <c r="M459" i="5"/>
  <c r="L459" i="5"/>
  <c r="J459" i="5"/>
  <c r="W458" i="5"/>
  <c r="Y458" i="5" s="1"/>
  <c r="O458" i="5"/>
  <c r="N458" i="5"/>
  <c r="M458" i="5"/>
  <c r="L458" i="5"/>
  <c r="J458" i="5"/>
  <c r="Y457" i="5"/>
  <c r="W457" i="5"/>
  <c r="O457" i="5"/>
  <c r="N457" i="5"/>
  <c r="M457" i="5"/>
  <c r="L457" i="5"/>
  <c r="J457" i="5"/>
  <c r="Y456" i="5"/>
  <c r="W456" i="5"/>
  <c r="O456" i="5"/>
  <c r="N456" i="5"/>
  <c r="M456" i="5"/>
  <c r="L456" i="5"/>
  <c r="J456" i="5"/>
  <c r="Y455" i="5"/>
  <c r="W455" i="5"/>
  <c r="O455" i="5"/>
  <c r="N455" i="5"/>
  <c r="M455" i="5"/>
  <c r="L455" i="5"/>
  <c r="J455" i="5"/>
  <c r="W454" i="5"/>
  <c r="Y454" i="5" s="1"/>
  <c r="O454" i="5"/>
  <c r="N454" i="5"/>
  <c r="M454" i="5"/>
  <c r="L454" i="5"/>
  <c r="J454" i="5"/>
  <c r="Y453" i="5"/>
  <c r="W453" i="5"/>
  <c r="O453" i="5"/>
  <c r="N453" i="5"/>
  <c r="M453" i="5"/>
  <c r="L453" i="5"/>
  <c r="J453" i="5"/>
  <c r="W452" i="5"/>
  <c r="Y452" i="5" s="1"/>
  <c r="O452" i="5"/>
  <c r="N452" i="5"/>
  <c r="M452" i="5"/>
  <c r="L452" i="5"/>
  <c r="J452" i="5"/>
  <c r="W451" i="5"/>
  <c r="Y451" i="5" s="1"/>
  <c r="O451" i="5"/>
  <c r="N451" i="5"/>
  <c r="M451" i="5"/>
  <c r="L451" i="5"/>
  <c r="J451" i="5"/>
  <c r="Y450" i="5"/>
  <c r="W450" i="5"/>
  <c r="O450" i="5"/>
  <c r="N450" i="5"/>
  <c r="M450" i="5"/>
  <c r="L450" i="5"/>
  <c r="J450" i="5"/>
  <c r="W449" i="5"/>
  <c r="Y449" i="5" s="1"/>
  <c r="O449" i="5"/>
  <c r="N449" i="5"/>
  <c r="M449" i="5"/>
  <c r="L449" i="5"/>
  <c r="J449" i="5"/>
  <c r="W448" i="5"/>
  <c r="Y448" i="5" s="1"/>
  <c r="P448" i="5"/>
  <c r="O448" i="5"/>
  <c r="N448" i="5"/>
  <c r="M448" i="5"/>
  <c r="L448" i="5"/>
  <c r="J448" i="5"/>
  <c r="W447" i="5"/>
  <c r="Y447" i="5" s="1"/>
  <c r="O447" i="5"/>
  <c r="N447" i="5"/>
  <c r="M447" i="5"/>
  <c r="L447" i="5"/>
  <c r="J447" i="5"/>
  <c r="W446" i="5"/>
  <c r="Y446" i="5" s="1"/>
  <c r="O446" i="5"/>
  <c r="N446" i="5"/>
  <c r="M446" i="5"/>
  <c r="L446" i="5"/>
  <c r="J446" i="5"/>
  <c r="W445" i="5"/>
  <c r="Y445" i="5" s="1"/>
  <c r="O445" i="5"/>
  <c r="N445" i="5"/>
  <c r="M445" i="5"/>
  <c r="L445" i="5"/>
  <c r="J445" i="5"/>
  <c r="W444" i="5"/>
  <c r="Y444" i="5" s="1"/>
  <c r="O444" i="5"/>
  <c r="N444" i="5"/>
  <c r="M444" i="5"/>
  <c r="L444" i="5"/>
  <c r="J444" i="5"/>
  <c r="Y443" i="5"/>
  <c r="W443" i="5"/>
  <c r="O443" i="5"/>
  <c r="N443" i="5"/>
  <c r="M443" i="5"/>
  <c r="L443" i="5"/>
  <c r="J443" i="5"/>
  <c r="Y442" i="5"/>
  <c r="W442" i="5"/>
  <c r="O442" i="5"/>
  <c r="N442" i="5"/>
  <c r="M442" i="5"/>
  <c r="L442" i="5"/>
  <c r="J442" i="5"/>
  <c r="W441" i="5"/>
  <c r="Y441" i="5" s="1"/>
  <c r="O441" i="5"/>
  <c r="N441" i="5"/>
  <c r="M441" i="5"/>
  <c r="L441" i="5"/>
  <c r="J441" i="5"/>
  <c r="W440" i="5"/>
  <c r="Y440" i="5" s="1"/>
  <c r="O440" i="5"/>
  <c r="N440" i="5"/>
  <c r="M440" i="5"/>
  <c r="L440" i="5"/>
  <c r="J440" i="5"/>
  <c r="W439" i="5"/>
  <c r="Y439" i="5" s="1"/>
  <c r="O439" i="5"/>
  <c r="N439" i="5"/>
  <c r="M439" i="5"/>
  <c r="L439" i="5"/>
  <c r="J439" i="5"/>
  <c r="Y438" i="5"/>
  <c r="W438" i="5"/>
  <c r="O438" i="5"/>
  <c r="N438" i="5"/>
  <c r="M438" i="5"/>
  <c r="L438" i="5"/>
  <c r="J438" i="5"/>
  <c r="W437" i="5"/>
  <c r="Y437" i="5" s="1"/>
  <c r="O437" i="5"/>
  <c r="N437" i="5"/>
  <c r="M437" i="5"/>
  <c r="L437" i="5"/>
  <c r="J437" i="5"/>
  <c r="Y436" i="5"/>
  <c r="W436" i="5"/>
  <c r="O436" i="5"/>
  <c r="N436" i="5"/>
  <c r="M436" i="5"/>
  <c r="L436" i="5"/>
  <c r="J436" i="5"/>
  <c r="Y435" i="5"/>
  <c r="W435" i="5"/>
  <c r="O435" i="5"/>
  <c r="N435" i="5"/>
  <c r="M435" i="5"/>
  <c r="L435" i="5"/>
  <c r="J435" i="5"/>
  <c r="Y434" i="5"/>
  <c r="W434" i="5"/>
  <c r="O434" i="5"/>
  <c r="N434" i="5"/>
  <c r="M434" i="5"/>
  <c r="L434" i="5"/>
  <c r="J434" i="5"/>
  <c r="W433" i="5"/>
  <c r="Y433" i="5" s="1"/>
  <c r="O433" i="5"/>
  <c r="N433" i="5"/>
  <c r="M433" i="5"/>
  <c r="L433" i="5"/>
  <c r="J433" i="5"/>
  <c r="W432" i="5"/>
  <c r="Y432" i="5" s="1"/>
  <c r="O432" i="5"/>
  <c r="N432" i="5"/>
  <c r="M432" i="5"/>
  <c r="L432" i="5"/>
  <c r="J432" i="5"/>
  <c r="Y431" i="5"/>
  <c r="W431" i="5"/>
  <c r="O431" i="5"/>
  <c r="N431" i="5"/>
  <c r="M431" i="5"/>
  <c r="L431" i="5"/>
  <c r="J431" i="5"/>
  <c r="Y430" i="5"/>
  <c r="W430" i="5"/>
  <c r="O430" i="5"/>
  <c r="N430" i="5"/>
  <c r="M430" i="5"/>
  <c r="L430" i="5"/>
  <c r="J430" i="5"/>
  <c r="W429" i="5"/>
  <c r="Y429" i="5" s="1"/>
  <c r="O429" i="5"/>
  <c r="N429" i="5"/>
  <c r="M429" i="5"/>
  <c r="L429" i="5"/>
  <c r="J429" i="5"/>
  <c r="W428" i="5"/>
  <c r="Y428" i="5" s="1"/>
  <c r="O428" i="5"/>
  <c r="N428" i="5"/>
  <c r="M428" i="5"/>
  <c r="L428" i="5"/>
  <c r="J428" i="5"/>
  <c r="W427" i="5"/>
  <c r="Y427" i="5" s="1"/>
  <c r="O427" i="5"/>
  <c r="N427" i="5"/>
  <c r="M427" i="5"/>
  <c r="L427" i="5"/>
  <c r="J427" i="5"/>
  <c r="W426" i="5"/>
  <c r="Y426" i="5" s="1"/>
  <c r="O426" i="5"/>
  <c r="N426" i="5"/>
  <c r="M426" i="5"/>
  <c r="L426" i="5"/>
  <c r="J426" i="5"/>
  <c r="W425" i="5"/>
  <c r="Y425" i="5" s="1"/>
  <c r="O425" i="5"/>
  <c r="N425" i="5"/>
  <c r="M425" i="5"/>
  <c r="L425" i="5"/>
  <c r="J425" i="5"/>
  <c r="W424" i="5"/>
  <c r="Y424" i="5" s="1"/>
  <c r="O424" i="5"/>
  <c r="N424" i="5"/>
  <c r="M424" i="5"/>
  <c r="L424" i="5"/>
  <c r="J424" i="5"/>
  <c r="W423" i="5"/>
  <c r="Y423" i="5" s="1"/>
  <c r="O423" i="5"/>
  <c r="N423" i="5"/>
  <c r="M423" i="5"/>
  <c r="L423" i="5"/>
  <c r="J423" i="5"/>
  <c r="W422" i="5"/>
  <c r="Y422" i="5" s="1"/>
  <c r="O422" i="5"/>
  <c r="N422" i="5"/>
  <c r="M422" i="5"/>
  <c r="L422" i="5"/>
  <c r="J422" i="5"/>
  <c r="Y421" i="5"/>
  <c r="W421" i="5"/>
  <c r="O421" i="5"/>
  <c r="N421" i="5"/>
  <c r="M421" i="5"/>
  <c r="L421" i="5"/>
  <c r="J421" i="5"/>
  <c r="Y420" i="5"/>
  <c r="W420" i="5"/>
  <c r="O420" i="5"/>
  <c r="N420" i="5"/>
  <c r="M420" i="5"/>
  <c r="L420" i="5"/>
  <c r="J420" i="5"/>
  <c r="W419" i="5"/>
  <c r="Y419" i="5" s="1"/>
  <c r="O419" i="5"/>
  <c r="N419" i="5"/>
  <c r="M419" i="5"/>
  <c r="L419" i="5"/>
  <c r="J419" i="5"/>
  <c r="W418" i="5"/>
  <c r="Y418" i="5" s="1"/>
  <c r="O418" i="5"/>
  <c r="N418" i="5"/>
  <c r="M418" i="5"/>
  <c r="L418" i="5"/>
  <c r="J418" i="5"/>
  <c r="W417" i="5"/>
  <c r="Y417" i="5" s="1"/>
  <c r="O417" i="5"/>
  <c r="N417" i="5"/>
  <c r="M417" i="5"/>
  <c r="L417" i="5"/>
  <c r="J417" i="5"/>
  <c r="W416" i="5"/>
  <c r="Y416" i="5" s="1"/>
  <c r="O416" i="5"/>
  <c r="N416" i="5"/>
  <c r="M416" i="5"/>
  <c r="L416" i="5"/>
  <c r="J416" i="5"/>
  <c r="Y415" i="5"/>
  <c r="W415" i="5"/>
  <c r="O415" i="5"/>
  <c r="N415" i="5"/>
  <c r="M415" i="5"/>
  <c r="L415" i="5"/>
  <c r="J415" i="5"/>
  <c r="Y414" i="5"/>
  <c r="W414" i="5"/>
  <c r="O414" i="5"/>
  <c r="N414" i="5"/>
  <c r="M414" i="5"/>
  <c r="L414" i="5"/>
  <c r="J414" i="5"/>
  <c r="Y413" i="5"/>
  <c r="W413" i="5"/>
  <c r="O413" i="5"/>
  <c r="N413" i="5"/>
  <c r="M413" i="5"/>
  <c r="L413" i="5"/>
  <c r="J413" i="5"/>
  <c r="Y412" i="5"/>
  <c r="W412" i="5"/>
  <c r="O412" i="5"/>
  <c r="N412" i="5"/>
  <c r="M412" i="5"/>
  <c r="L412" i="5"/>
  <c r="J412" i="5"/>
  <c r="W411" i="5"/>
  <c r="Y411" i="5" s="1"/>
  <c r="O411" i="5"/>
  <c r="N411" i="5"/>
  <c r="M411" i="5"/>
  <c r="L411" i="5"/>
  <c r="J411" i="5"/>
  <c r="W410" i="5"/>
  <c r="Y410" i="5" s="1"/>
  <c r="O410" i="5"/>
  <c r="N410" i="5"/>
  <c r="M410" i="5"/>
  <c r="L410" i="5"/>
  <c r="J410" i="5"/>
  <c r="W409" i="5"/>
  <c r="Y409" i="5" s="1"/>
  <c r="O409" i="5"/>
  <c r="N409" i="5"/>
  <c r="M409" i="5"/>
  <c r="L409" i="5"/>
  <c r="J409" i="5"/>
  <c r="Y408" i="5"/>
  <c r="W408" i="5"/>
  <c r="O408" i="5"/>
  <c r="N408" i="5"/>
  <c r="M408" i="5"/>
  <c r="L408" i="5"/>
  <c r="J408" i="5"/>
  <c r="Y407" i="5"/>
  <c r="W407" i="5"/>
  <c r="O407" i="5"/>
  <c r="N407" i="5"/>
  <c r="M407" i="5"/>
  <c r="L407" i="5"/>
  <c r="J407" i="5"/>
  <c r="W406" i="5"/>
  <c r="Y406" i="5" s="1"/>
  <c r="O406" i="5"/>
  <c r="N406" i="5"/>
  <c r="M406" i="5"/>
  <c r="L406" i="5"/>
  <c r="J406" i="5"/>
  <c r="W405" i="5"/>
  <c r="Y405" i="5" s="1"/>
  <c r="O405" i="5"/>
  <c r="N405" i="5"/>
  <c r="M405" i="5"/>
  <c r="L405" i="5"/>
  <c r="J405" i="5"/>
  <c r="W404" i="5"/>
  <c r="Y404" i="5" s="1"/>
  <c r="O404" i="5"/>
  <c r="N404" i="5"/>
  <c r="M404" i="5"/>
  <c r="L404" i="5"/>
  <c r="J404" i="5"/>
  <c r="W403" i="5"/>
  <c r="Y403" i="5" s="1"/>
  <c r="O403" i="5"/>
  <c r="N403" i="5"/>
  <c r="M403" i="5"/>
  <c r="L403" i="5"/>
  <c r="J403" i="5"/>
  <c r="W402" i="5"/>
  <c r="Y402" i="5" s="1"/>
  <c r="O402" i="5"/>
  <c r="N402" i="5"/>
  <c r="M402" i="5"/>
  <c r="L402" i="5"/>
  <c r="J402" i="5"/>
  <c r="W401" i="5"/>
  <c r="Y401" i="5" s="1"/>
  <c r="O401" i="5"/>
  <c r="N401" i="5"/>
  <c r="M401" i="5"/>
  <c r="L401" i="5"/>
  <c r="J401" i="5"/>
  <c r="Y400" i="5"/>
  <c r="W400" i="5"/>
  <c r="O400" i="5"/>
  <c r="N400" i="5"/>
  <c r="M400" i="5"/>
  <c r="L400" i="5"/>
  <c r="J400" i="5"/>
  <c r="Y399" i="5"/>
  <c r="W399" i="5"/>
  <c r="O399" i="5"/>
  <c r="N399" i="5"/>
  <c r="M399" i="5"/>
  <c r="L399" i="5"/>
  <c r="J399" i="5"/>
  <c r="Y398" i="5"/>
  <c r="W398" i="5"/>
  <c r="O398" i="5"/>
  <c r="N398" i="5"/>
  <c r="M398" i="5"/>
  <c r="L398" i="5"/>
  <c r="J398" i="5"/>
  <c r="W397" i="5"/>
  <c r="Y397" i="5" s="1"/>
  <c r="O397" i="5"/>
  <c r="N397" i="5"/>
  <c r="M397" i="5"/>
  <c r="L397" i="5"/>
  <c r="J397" i="5"/>
  <c r="W396" i="5"/>
  <c r="Y396" i="5" s="1"/>
  <c r="O396" i="5"/>
  <c r="N396" i="5"/>
  <c r="M396" i="5"/>
  <c r="L396" i="5"/>
  <c r="J396" i="5"/>
  <c r="W395" i="5"/>
  <c r="Y395" i="5" s="1"/>
  <c r="O395" i="5"/>
  <c r="N395" i="5"/>
  <c r="M395" i="5"/>
  <c r="L395" i="5"/>
  <c r="J395" i="5"/>
  <c r="Y394" i="5"/>
  <c r="W394" i="5"/>
  <c r="O394" i="5"/>
  <c r="N394" i="5"/>
  <c r="M394" i="5"/>
  <c r="L394" i="5"/>
  <c r="J394" i="5"/>
  <c r="Y393" i="5"/>
  <c r="W393" i="5"/>
  <c r="O393" i="5"/>
  <c r="N393" i="5"/>
  <c r="M393" i="5"/>
  <c r="L393" i="5"/>
  <c r="J393" i="5"/>
  <c r="Y392" i="5"/>
  <c r="W392" i="5"/>
  <c r="O392" i="5"/>
  <c r="N392" i="5"/>
  <c r="M392" i="5"/>
  <c r="L392" i="5"/>
  <c r="J392" i="5"/>
  <c r="W391" i="5"/>
  <c r="Y391" i="5" s="1"/>
  <c r="O391" i="5"/>
  <c r="N391" i="5"/>
  <c r="M391" i="5"/>
  <c r="L391" i="5"/>
  <c r="J391" i="5"/>
  <c r="Y390" i="5"/>
  <c r="W390" i="5"/>
  <c r="O390" i="5"/>
  <c r="N390" i="5"/>
  <c r="M390" i="5"/>
  <c r="L390" i="5"/>
  <c r="J390" i="5"/>
  <c r="W389" i="5"/>
  <c r="Y389" i="5" s="1"/>
  <c r="O389" i="5"/>
  <c r="N389" i="5"/>
  <c r="M389" i="5"/>
  <c r="L389" i="5"/>
  <c r="J389" i="5"/>
  <c r="Y388" i="5"/>
  <c r="W388" i="5"/>
  <c r="O388" i="5"/>
  <c r="N388" i="5"/>
  <c r="M388" i="5"/>
  <c r="L388" i="5"/>
  <c r="J388" i="5"/>
  <c r="Y387" i="5"/>
  <c r="W387" i="5"/>
  <c r="O387" i="5"/>
  <c r="N387" i="5"/>
  <c r="M387" i="5"/>
  <c r="L387" i="5"/>
  <c r="J387" i="5"/>
  <c r="Y386" i="5"/>
  <c r="W386" i="5"/>
  <c r="O386" i="5"/>
  <c r="N386" i="5"/>
  <c r="M386" i="5"/>
  <c r="L386" i="5"/>
  <c r="J386" i="5"/>
  <c r="Y385" i="5"/>
  <c r="W385" i="5"/>
  <c r="O385" i="5"/>
  <c r="N385" i="5"/>
  <c r="M385" i="5"/>
  <c r="L385" i="5"/>
  <c r="J385" i="5"/>
  <c r="W384" i="5"/>
  <c r="Y384" i="5" s="1"/>
  <c r="O384" i="5"/>
  <c r="N384" i="5"/>
  <c r="M384" i="5"/>
  <c r="L384" i="5"/>
  <c r="J384" i="5"/>
  <c r="W383" i="5"/>
  <c r="Y383" i="5" s="1"/>
  <c r="O383" i="5"/>
  <c r="N383" i="5"/>
  <c r="M383" i="5"/>
  <c r="L383" i="5"/>
  <c r="J383" i="5"/>
  <c r="W382" i="5"/>
  <c r="Y382" i="5" s="1"/>
  <c r="O382" i="5"/>
  <c r="N382" i="5"/>
  <c r="M382" i="5"/>
  <c r="L382" i="5"/>
  <c r="J382" i="5"/>
  <c r="Y381" i="5"/>
  <c r="W381" i="5"/>
  <c r="O381" i="5"/>
  <c r="N381" i="5"/>
  <c r="M381" i="5"/>
  <c r="L381" i="5"/>
  <c r="J381" i="5"/>
  <c r="W380" i="5"/>
  <c r="Y380" i="5" s="1"/>
  <c r="O380" i="5"/>
  <c r="N380" i="5"/>
  <c r="M380" i="5"/>
  <c r="L380" i="5"/>
  <c r="J380" i="5"/>
  <c r="W379" i="5"/>
  <c r="Y379" i="5" s="1"/>
  <c r="O379" i="5"/>
  <c r="N379" i="5"/>
  <c r="M379" i="5"/>
  <c r="L379" i="5"/>
  <c r="J379" i="5"/>
  <c r="Y378" i="5"/>
  <c r="W378" i="5"/>
  <c r="O378" i="5"/>
  <c r="N378" i="5"/>
  <c r="M378" i="5"/>
  <c r="L378" i="5"/>
  <c r="J378" i="5"/>
  <c r="Y377" i="5"/>
  <c r="W377" i="5"/>
  <c r="O377" i="5"/>
  <c r="N377" i="5"/>
  <c r="M377" i="5"/>
  <c r="L377" i="5"/>
  <c r="J377" i="5"/>
  <c r="Y376" i="5"/>
  <c r="W376" i="5"/>
  <c r="O376" i="5"/>
  <c r="N376" i="5"/>
  <c r="M376" i="5"/>
  <c r="L376" i="5"/>
  <c r="J376" i="5"/>
  <c r="Y375" i="5"/>
  <c r="W375" i="5"/>
  <c r="O375" i="5"/>
  <c r="N375" i="5"/>
  <c r="M375" i="5"/>
  <c r="L375" i="5"/>
  <c r="J375" i="5"/>
  <c r="W374" i="5"/>
  <c r="Y374" i="5" s="1"/>
  <c r="O374" i="5"/>
  <c r="N374" i="5"/>
  <c r="M374" i="5"/>
  <c r="L374" i="5"/>
  <c r="J374" i="5"/>
  <c r="W373" i="5"/>
  <c r="Y373" i="5" s="1"/>
  <c r="O373" i="5"/>
  <c r="N373" i="5"/>
  <c r="M373" i="5"/>
  <c r="L373" i="5"/>
  <c r="J373" i="5"/>
  <c r="Y372" i="5"/>
  <c r="W372" i="5"/>
  <c r="O372" i="5"/>
  <c r="N372" i="5"/>
  <c r="M372" i="5"/>
  <c r="L372" i="5"/>
  <c r="J372" i="5"/>
  <c r="Y371" i="5"/>
  <c r="W371" i="5"/>
  <c r="O371" i="5"/>
  <c r="N371" i="5"/>
  <c r="M371" i="5"/>
  <c r="L371" i="5"/>
  <c r="J371" i="5"/>
  <c r="Y370" i="5"/>
  <c r="W370" i="5"/>
  <c r="O370" i="5"/>
  <c r="N370" i="5"/>
  <c r="M370" i="5"/>
  <c r="L370" i="5"/>
  <c r="J370" i="5"/>
  <c r="W369" i="5"/>
  <c r="Y369" i="5" s="1"/>
  <c r="O369" i="5"/>
  <c r="N369" i="5"/>
  <c r="M369" i="5"/>
  <c r="L369" i="5"/>
  <c r="J369" i="5"/>
  <c r="Y368" i="5"/>
  <c r="W368" i="5"/>
  <c r="O368" i="5"/>
  <c r="N368" i="5"/>
  <c r="M368" i="5"/>
  <c r="L368" i="5"/>
  <c r="J368" i="5"/>
  <c r="W367" i="5"/>
  <c r="Y367" i="5" s="1"/>
  <c r="O367" i="5"/>
  <c r="N367" i="5"/>
  <c r="M367" i="5"/>
  <c r="L367" i="5"/>
  <c r="J367" i="5"/>
  <c r="W366" i="5"/>
  <c r="Y366" i="5" s="1"/>
  <c r="O366" i="5"/>
  <c r="N366" i="5"/>
  <c r="M366" i="5"/>
  <c r="L366" i="5"/>
  <c r="J366" i="5"/>
  <c r="W365" i="5"/>
  <c r="Y365" i="5" s="1"/>
  <c r="O365" i="5"/>
  <c r="N365" i="5"/>
  <c r="M365" i="5"/>
  <c r="L365" i="5"/>
  <c r="J365" i="5"/>
  <c r="Y364" i="5"/>
  <c r="W364" i="5"/>
  <c r="O364" i="5"/>
  <c r="N364" i="5"/>
  <c r="M364" i="5"/>
  <c r="L364" i="5"/>
  <c r="J364" i="5"/>
  <c r="W363" i="5"/>
  <c r="Y363" i="5" s="1"/>
  <c r="O363" i="5"/>
  <c r="N363" i="5"/>
  <c r="M363" i="5"/>
  <c r="L363" i="5"/>
  <c r="J363" i="5"/>
  <c r="Y362" i="5"/>
  <c r="W362" i="5"/>
  <c r="O362" i="5"/>
  <c r="N362" i="5"/>
  <c r="M362" i="5"/>
  <c r="L362" i="5"/>
  <c r="J362" i="5"/>
  <c r="W361" i="5"/>
  <c r="Y361" i="5" s="1"/>
  <c r="O361" i="5"/>
  <c r="N361" i="5"/>
  <c r="M361" i="5"/>
  <c r="L361" i="5"/>
  <c r="J361" i="5"/>
  <c r="W360" i="5"/>
  <c r="Y360" i="5" s="1"/>
  <c r="O360" i="5"/>
  <c r="N360" i="5"/>
  <c r="M360" i="5"/>
  <c r="L360" i="5"/>
  <c r="J360" i="5"/>
  <c r="Y359" i="5"/>
  <c r="W359" i="5"/>
  <c r="O359" i="5"/>
  <c r="N359" i="5"/>
  <c r="M359" i="5"/>
  <c r="L359" i="5"/>
  <c r="J359" i="5"/>
  <c r="W358" i="5"/>
  <c r="Y358" i="5" s="1"/>
  <c r="O358" i="5"/>
  <c r="N358" i="5"/>
  <c r="M358" i="5"/>
  <c r="L358" i="5"/>
  <c r="J358" i="5"/>
  <c r="W357" i="5"/>
  <c r="Y357" i="5" s="1"/>
  <c r="O357" i="5"/>
  <c r="N357" i="5"/>
  <c r="M357" i="5"/>
  <c r="L357" i="5"/>
  <c r="J357" i="5"/>
  <c r="W356" i="5"/>
  <c r="Y356" i="5" s="1"/>
  <c r="O356" i="5"/>
  <c r="N356" i="5"/>
  <c r="M356" i="5"/>
  <c r="L356" i="5"/>
  <c r="J356" i="5"/>
  <c r="Y355" i="5"/>
  <c r="W355" i="5"/>
  <c r="O355" i="5"/>
  <c r="N355" i="5"/>
  <c r="M355" i="5"/>
  <c r="L355" i="5"/>
  <c r="J355" i="5"/>
  <c r="Y354" i="5"/>
  <c r="W354" i="5"/>
  <c r="O354" i="5"/>
  <c r="N354" i="5"/>
  <c r="M354" i="5"/>
  <c r="L354" i="5"/>
  <c r="J354" i="5"/>
  <c r="W353" i="5"/>
  <c r="Y353" i="5" s="1"/>
  <c r="O353" i="5"/>
  <c r="N353" i="5"/>
  <c r="M353" i="5"/>
  <c r="L353" i="5"/>
  <c r="J353" i="5"/>
  <c r="W352" i="5"/>
  <c r="Y352" i="5" s="1"/>
  <c r="N352" i="5"/>
  <c r="M352" i="5"/>
  <c r="L352" i="5"/>
  <c r="J352" i="5"/>
  <c r="Y351" i="5"/>
  <c r="W351" i="5"/>
  <c r="N351" i="5"/>
  <c r="M351" i="5"/>
  <c r="L351" i="5"/>
  <c r="J351" i="5"/>
  <c r="W350" i="5"/>
  <c r="Y350" i="5" s="1"/>
  <c r="N350" i="5"/>
  <c r="M350" i="5"/>
  <c r="L350" i="5"/>
  <c r="J350" i="5"/>
  <c r="Y349" i="5"/>
  <c r="W349" i="5"/>
  <c r="N349" i="5"/>
  <c r="M349" i="5"/>
  <c r="L349" i="5"/>
  <c r="J349" i="5"/>
  <c r="W348" i="5"/>
  <c r="Y348" i="5" s="1"/>
  <c r="N348" i="5"/>
  <c r="M348" i="5"/>
  <c r="L348" i="5"/>
  <c r="J348" i="5"/>
  <c r="Y347" i="5"/>
  <c r="W347" i="5"/>
  <c r="N347" i="5"/>
  <c r="M347" i="5"/>
  <c r="L347" i="5"/>
  <c r="J347" i="5"/>
  <c r="W346" i="5"/>
  <c r="Y346" i="5" s="1"/>
  <c r="N346" i="5"/>
  <c r="M346" i="5"/>
  <c r="L346" i="5"/>
  <c r="J346" i="5"/>
  <c r="Y345" i="5"/>
  <c r="W345" i="5"/>
  <c r="N345" i="5"/>
  <c r="M345" i="5"/>
  <c r="L345" i="5"/>
  <c r="J345" i="5"/>
  <c r="Y344" i="5"/>
  <c r="W344" i="5"/>
  <c r="N344" i="5"/>
  <c r="M344" i="5"/>
  <c r="L344" i="5"/>
  <c r="J344" i="5"/>
  <c r="W343" i="5"/>
  <c r="Y343" i="5" s="1"/>
  <c r="N343" i="5"/>
  <c r="M343" i="5"/>
  <c r="L343" i="5"/>
  <c r="J343" i="5"/>
  <c r="Y342" i="5"/>
  <c r="W342" i="5"/>
  <c r="N342" i="5"/>
  <c r="M342" i="5"/>
  <c r="L342" i="5"/>
  <c r="J342" i="5"/>
  <c r="W341" i="5"/>
  <c r="Y341" i="5" s="1"/>
  <c r="W340" i="5"/>
  <c r="Y340" i="5" s="1"/>
  <c r="Y339" i="5"/>
  <c r="W339" i="5"/>
  <c r="Y338" i="5"/>
  <c r="W338" i="5"/>
  <c r="Y337" i="5"/>
  <c r="W337" i="5"/>
  <c r="W336" i="5"/>
  <c r="Y336" i="5" s="1"/>
  <c r="W335" i="5"/>
  <c r="Y335" i="5" s="1"/>
  <c r="Y334" i="5"/>
  <c r="W334" i="5"/>
  <c r="Y333" i="5"/>
  <c r="W333" i="5"/>
  <c r="W332" i="5"/>
  <c r="Y332" i="5" s="1"/>
  <c r="Y331" i="5"/>
  <c r="W331" i="5"/>
  <c r="W330" i="5"/>
  <c r="Y330" i="5" s="1"/>
  <c r="W329" i="5"/>
  <c r="Y329" i="5" s="1"/>
  <c r="Y328" i="5"/>
  <c r="W328" i="5"/>
  <c r="Y327" i="5"/>
  <c r="W327" i="5"/>
  <c r="Y326" i="5"/>
  <c r="W326" i="5"/>
  <c r="W325" i="5"/>
  <c r="Y325" i="5" s="1"/>
  <c r="W324" i="5"/>
  <c r="Y324" i="5" s="1"/>
  <c r="Y323" i="5"/>
  <c r="W323" i="5"/>
  <c r="W322" i="5"/>
  <c r="Y322" i="5" s="1"/>
  <c r="Y321" i="5"/>
  <c r="W321" i="5"/>
  <c r="Y320" i="5"/>
  <c r="W320" i="5"/>
  <c r="W319" i="5"/>
  <c r="Y319" i="5" s="1"/>
  <c r="W318" i="5"/>
  <c r="Y318" i="5" s="1"/>
  <c r="Y317" i="5"/>
  <c r="W317" i="5"/>
  <c r="Y316" i="5"/>
  <c r="W316" i="5"/>
  <c r="Y315" i="5"/>
  <c r="W315" i="5"/>
  <c r="W314" i="5"/>
  <c r="Y314" i="5" s="1"/>
  <c r="W313" i="5"/>
  <c r="Y313" i="5" s="1"/>
  <c r="Y312" i="5"/>
  <c r="W312" i="5"/>
  <c r="W311" i="5"/>
  <c r="Y311" i="5" s="1"/>
  <c r="W310" i="5"/>
  <c r="Y310" i="5" s="1"/>
  <c r="Y309" i="5"/>
  <c r="W309" i="5"/>
  <c r="W308" i="5"/>
  <c r="Y308" i="5" s="1"/>
  <c r="W307" i="5"/>
  <c r="Y307" i="5" s="1"/>
  <c r="Y306" i="5"/>
  <c r="W306" i="5"/>
  <c r="Y305" i="5"/>
  <c r="W305" i="5"/>
  <c r="Y304" i="5"/>
  <c r="W304" i="5"/>
  <c r="W303" i="5"/>
  <c r="Y303" i="5" s="1"/>
  <c r="Y302" i="5"/>
  <c r="W302" i="5"/>
  <c r="W301" i="5"/>
  <c r="Y301" i="5" s="1"/>
  <c r="W300" i="5"/>
  <c r="Y300" i="5" s="1"/>
  <c r="Y299" i="5"/>
  <c r="W299" i="5"/>
  <c r="Y298" i="5"/>
  <c r="W298" i="5"/>
  <c r="W297" i="5"/>
  <c r="Y297" i="5" s="1"/>
  <c r="W296" i="5"/>
  <c r="Y296" i="5" s="1"/>
  <c r="Y295" i="5"/>
  <c r="W295" i="5"/>
  <c r="Y294" i="5"/>
  <c r="W294" i="5"/>
  <c r="Y293" i="5"/>
  <c r="W293" i="5"/>
  <c r="W292" i="5"/>
  <c r="Y292" i="5" s="1"/>
  <c r="W291" i="5"/>
  <c r="Y291" i="5" s="1"/>
  <c r="W290" i="5"/>
  <c r="Y290" i="5" s="1"/>
  <c r="Y289" i="5"/>
  <c r="W289" i="5"/>
  <c r="W288" i="5"/>
  <c r="Y288" i="5" s="1"/>
  <c r="Y287" i="5"/>
  <c r="W287" i="5"/>
  <c r="W286" i="5"/>
  <c r="Y286" i="5" s="1"/>
  <c r="W285" i="5"/>
  <c r="Y285" i="5" s="1"/>
  <c r="Y284" i="5"/>
  <c r="W284" i="5"/>
  <c r="Y283" i="5"/>
  <c r="W283" i="5"/>
  <c r="Y282" i="5"/>
  <c r="W282" i="5"/>
  <c r="W281" i="5"/>
  <c r="Y281" i="5" s="1"/>
  <c r="Y280" i="5"/>
  <c r="W280" i="5"/>
  <c r="W279" i="5"/>
  <c r="Y279" i="5" s="1"/>
  <c r="Y278" i="5"/>
  <c r="W278" i="5"/>
  <c r="Y277" i="5"/>
  <c r="W277" i="5"/>
  <c r="Y276" i="5"/>
  <c r="W276" i="5"/>
  <c r="W275" i="5"/>
  <c r="Y275" i="5" s="1"/>
  <c r="W274" i="5"/>
  <c r="Y274" i="5" s="1"/>
  <c r="Y273" i="5"/>
  <c r="W273" i="5"/>
  <c r="Y272" i="5"/>
  <c r="W272" i="5"/>
  <c r="Y271" i="5"/>
  <c r="W271" i="5"/>
  <c r="W270" i="5"/>
  <c r="Y270" i="5" s="1"/>
  <c r="Y269" i="5"/>
  <c r="W269" i="5"/>
  <c r="W268" i="5"/>
  <c r="Y268" i="5" s="1"/>
  <c r="W267" i="5"/>
  <c r="Y267" i="5" s="1"/>
  <c r="W266" i="5"/>
  <c r="Y266" i="5" s="1"/>
  <c r="Y265" i="5"/>
  <c r="W265" i="5"/>
  <c r="W264" i="5"/>
  <c r="Y264" i="5" s="1"/>
  <c r="W263" i="5"/>
  <c r="Y263" i="5" s="1"/>
  <c r="Y262" i="5"/>
  <c r="W262" i="5"/>
  <c r="Y261" i="5"/>
  <c r="W261" i="5"/>
  <c r="Y260" i="5"/>
  <c r="W260" i="5"/>
  <c r="W259" i="5"/>
  <c r="Y259" i="5" s="1"/>
  <c r="Y258" i="5"/>
  <c r="W258" i="5"/>
  <c r="Y257" i="5"/>
  <c r="W257" i="5"/>
  <c r="W256" i="5"/>
  <c r="Y256" i="5" s="1"/>
  <c r="Y255" i="5"/>
  <c r="W255" i="5"/>
  <c r="Y254" i="5"/>
  <c r="W254" i="5"/>
  <c r="W253" i="5"/>
  <c r="Y253" i="5" s="1"/>
  <c r="W252" i="5"/>
  <c r="Y252" i="5" s="1"/>
  <c r="Y251" i="5"/>
  <c r="W251" i="5"/>
  <c r="Y250" i="5"/>
  <c r="W250" i="5"/>
  <c r="Y249" i="5"/>
  <c r="W249" i="5"/>
  <c r="W248" i="5"/>
  <c r="Y248" i="5" s="1"/>
  <c r="W247" i="5"/>
  <c r="Y247" i="5" s="1"/>
  <c r="W246" i="5"/>
  <c r="Y246" i="5" s="1"/>
  <c r="Y245" i="5"/>
  <c r="W245" i="5"/>
  <c r="Y244" i="5"/>
  <c r="W244" i="5"/>
  <c r="Y243" i="5"/>
  <c r="W243" i="5"/>
  <c r="W242" i="5"/>
  <c r="Y242" i="5" s="1"/>
  <c r="W241" i="5"/>
  <c r="Y241" i="5" s="1"/>
  <c r="Y240" i="5"/>
  <c r="W240" i="5"/>
  <c r="Y239" i="5"/>
  <c r="W239" i="5"/>
  <c r="Y238" i="5"/>
  <c r="W238" i="5"/>
  <c r="W237" i="5"/>
  <c r="Y237" i="5" s="1"/>
  <c r="Y236" i="5"/>
  <c r="W236" i="5"/>
  <c r="Y235" i="5"/>
  <c r="W235" i="5"/>
  <c r="W234" i="5"/>
  <c r="Y234" i="5" s="1"/>
  <c r="W233" i="5"/>
  <c r="Y233" i="5" s="1"/>
  <c r="Y232" i="5"/>
  <c r="W232" i="5"/>
  <c r="W231" i="5"/>
  <c r="Y231" i="5" s="1"/>
  <c r="W230" i="5"/>
  <c r="Y230" i="5" s="1"/>
  <c r="Y229" i="5"/>
  <c r="W229" i="5"/>
  <c r="Y228" i="5"/>
  <c r="W228" i="5"/>
  <c r="Y227" i="5"/>
  <c r="W227" i="5"/>
  <c r="W226" i="5"/>
  <c r="Y226" i="5" s="1"/>
  <c r="Y225" i="5"/>
  <c r="W225" i="5"/>
  <c r="W224" i="5"/>
  <c r="Y224" i="5" s="1"/>
  <c r="Y223" i="5"/>
  <c r="W223" i="5"/>
  <c r="W222" i="5"/>
  <c r="Y222" i="5" s="1"/>
  <c r="Y221" i="5"/>
  <c r="W221" i="5"/>
  <c r="W220" i="5"/>
  <c r="Y220" i="5" s="1"/>
  <c r="W219" i="5"/>
  <c r="Y219" i="5" s="1"/>
  <c r="Y218" i="5"/>
  <c r="W218" i="5"/>
  <c r="Y217" i="5"/>
  <c r="W217" i="5"/>
  <c r="Y216" i="5"/>
  <c r="W216" i="5"/>
  <c r="W215" i="5"/>
  <c r="Y215" i="5" s="1"/>
  <c r="Y214" i="5"/>
  <c r="W214" i="5"/>
  <c r="Y213" i="5"/>
  <c r="W213" i="5"/>
  <c r="W212" i="5"/>
  <c r="Y212" i="5" s="1"/>
  <c r="W211" i="5"/>
  <c r="Y211" i="5" s="1"/>
  <c r="Y210" i="5"/>
  <c r="W210" i="5"/>
  <c r="W209" i="5"/>
  <c r="Y209" i="5" s="1"/>
  <c r="W208" i="5"/>
  <c r="Y208" i="5" s="1"/>
  <c r="Y207" i="5"/>
  <c r="W207" i="5"/>
  <c r="Y206" i="5"/>
  <c r="W206" i="5"/>
  <c r="Y205" i="5"/>
  <c r="W205" i="5"/>
  <c r="W204" i="5"/>
  <c r="Y204" i="5" s="1"/>
  <c r="W203" i="5"/>
  <c r="Y203" i="5" s="1"/>
  <c r="W202" i="5"/>
  <c r="Y202" i="5" s="1"/>
  <c r="W201" i="5"/>
  <c r="Y201" i="5" s="1"/>
  <c r="Y200" i="5"/>
  <c r="W200" i="5"/>
  <c r="Y199" i="5"/>
  <c r="W199" i="5"/>
  <c r="W198" i="5"/>
  <c r="Y198" i="5" s="1"/>
  <c r="W197" i="5"/>
  <c r="Y197" i="5" s="1"/>
  <c r="Y196" i="5"/>
  <c r="W196" i="5"/>
  <c r="Y195" i="5"/>
  <c r="W195" i="5"/>
  <c r="Y194" i="5"/>
  <c r="W194" i="5"/>
  <c r="W193" i="5"/>
  <c r="Y193" i="5" s="1"/>
  <c r="W192" i="5"/>
  <c r="Y192" i="5" s="1"/>
  <c r="Y191" i="5"/>
  <c r="W191" i="5"/>
  <c r="W190" i="5"/>
  <c r="Y190" i="5" s="1"/>
  <c r="Y189" i="5"/>
  <c r="W189" i="5"/>
  <c r="Y188" i="5"/>
  <c r="W188" i="5"/>
  <c r="W187" i="5"/>
  <c r="Y187" i="5" s="1"/>
  <c r="W186" i="5"/>
  <c r="Y186" i="5" s="1"/>
  <c r="Y185" i="5"/>
  <c r="W185" i="5"/>
  <c r="Y184" i="5"/>
  <c r="W184" i="5"/>
  <c r="Y183" i="5"/>
  <c r="W183" i="5"/>
  <c r="W182" i="5"/>
  <c r="Y182" i="5" s="1"/>
  <c r="Y181" i="5"/>
  <c r="W181" i="5"/>
  <c r="Y180" i="5"/>
  <c r="W180" i="5"/>
  <c r="W179" i="5"/>
  <c r="Y179" i="5" s="1"/>
  <c r="W178" i="5"/>
  <c r="Y178" i="5" s="1"/>
  <c r="W177" i="5"/>
  <c r="Y177" i="5" s="1"/>
  <c r="W176" i="5"/>
  <c r="Y176" i="5" s="1"/>
  <c r="W175" i="5"/>
  <c r="Y175" i="5" s="1"/>
  <c r="Y174" i="5"/>
  <c r="W174" i="5"/>
  <c r="Y173" i="5"/>
  <c r="W173" i="5"/>
  <c r="Y172" i="5"/>
  <c r="W172" i="5"/>
  <c r="W171" i="5"/>
  <c r="Y171" i="5" s="1"/>
  <c r="W170" i="5"/>
  <c r="Y170" i="5" s="1"/>
  <c r="Y169" i="5"/>
  <c r="W169" i="5"/>
  <c r="Y168" i="5"/>
  <c r="W168" i="5"/>
  <c r="W167" i="5"/>
  <c r="Y167" i="5" s="1"/>
  <c r="Y166" i="5"/>
  <c r="W166" i="5"/>
  <c r="W165" i="5"/>
  <c r="Y165" i="5" s="1"/>
  <c r="W164" i="5"/>
  <c r="Y164" i="5" s="1"/>
  <c r="Y163" i="5"/>
  <c r="W163" i="5"/>
  <c r="Y162" i="5"/>
  <c r="W162" i="5"/>
  <c r="Y161" i="5"/>
  <c r="W161" i="5"/>
  <c r="W160" i="5"/>
  <c r="Y160" i="5" s="1"/>
  <c r="Y159" i="5"/>
  <c r="W159" i="5"/>
  <c r="Y158" i="5"/>
  <c r="W158" i="5"/>
  <c r="W157" i="5"/>
  <c r="Y157" i="5" s="1"/>
  <c r="Y156" i="5"/>
  <c r="W156" i="5"/>
  <c r="Y155" i="5"/>
  <c r="W155" i="5"/>
  <c r="W154" i="5"/>
  <c r="Y154" i="5" s="1"/>
  <c r="W153" i="5"/>
  <c r="Y153" i="5" s="1"/>
  <c r="Y152" i="5"/>
  <c r="W152" i="5"/>
  <c r="Y151" i="5"/>
  <c r="W151" i="5"/>
  <c r="W150" i="5"/>
  <c r="Y150" i="5" s="1"/>
  <c r="Y149" i="5"/>
  <c r="W149" i="5"/>
  <c r="W148" i="5"/>
  <c r="Y148" i="5" s="1"/>
  <c r="Y147" i="5"/>
  <c r="W147" i="5"/>
  <c r="Y146" i="5"/>
  <c r="W146" i="5"/>
  <c r="Y145" i="5"/>
  <c r="W145" i="5"/>
  <c r="W144" i="5"/>
  <c r="Y144" i="5" s="1"/>
  <c r="W143" i="5"/>
  <c r="Y143" i="5" s="1"/>
  <c r="W142" i="5"/>
  <c r="Y142" i="5" s="1"/>
  <c r="Y141" i="5"/>
  <c r="W141" i="5"/>
  <c r="Y140" i="5"/>
  <c r="W140" i="5"/>
  <c r="W139" i="5"/>
  <c r="Y139" i="5" s="1"/>
  <c r="W138" i="5"/>
  <c r="Y138" i="5" s="1"/>
  <c r="Y137" i="5"/>
  <c r="W137" i="5"/>
  <c r="Y136" i="5"/>
  <c r="W136" i="5"/>
  <c r="Y135" i="5"/>
  <c r="W135" i="5"/>
  <c r="W134" i="5"/>
  <c r="Y134" i="5" s="1"/>
  <c r="Y133" i="5"/>
  <c r="W133" i="5"/>
  <c r="W132" i="5"/>
  <c r="Y132" i="5" s="1"/>
  <c r="W131" i="5"/>
  <c r="Y131" i="5" s="1"/>
  <c r="Y130" i="5"/>
  <c r="W130" i="5"/>
  <c r="Y129" i="5"/>
  <c r="W129" i="5"/>
  <c r="W128" i="5"/>
  <c r="Y128" i="5" s="1"/>
  <c r="W127" i="5"/>
  <c r="Y127" i="5" s="1"/>
  <c r="W126" i="5"/>
  <c r="Y126" i="5" s="1"/>
  <c r="Y125" i="5"/>
  <c r="W125" i="5"/>
  <c r="Y124" i="5"/>
  <c r="W124" i="5"/>
  <c r="W123" i="5"/>
  <c r="Y123" i="5" s="1"/>
  <c r="W122" i="5"/>
  <c r="Y122" i="5" s="1"/>
  <c r="W121" i="5"/>
  <c r="Y121" i="5" s="1"/>
  <c r="W120" i="5"/>
  <c r="Y120" i="5" s="1"/>
  <c r="Y119" i="5"/>
  <c r="W119" i="5"/>
  <c r="Y118" i="5"/>
  <c r="W118" i="5"/>
  <c r="Y117" i="5"/>
  <c r="W117" i="5"/>
  <c r="W116" i="5"/>
  <c r="Y116" i="5" s="1"/>
  <c r="Y115" i="5"/>
  <c r="W115" i="5"/>
  <c r="Y114" i="5"/>
  <c r="W114" i="5"/>
  <c r="W113" i="5"/>
  <c r="Y113" i="5" s="1"/>
  <c r="W112" i="5"/>
  <c r="Y112" i="5" s="1"/>
  <c r="W111" i="5"/>
  <c r="Y111" i="5" s="1"/>
  <c r="W110" i="5"/>
  <c r="Y110" i="5" s="1"/>
  <c r="W109" i="5"/>
  <c r="Y109" i="5" s="1"/>
  <c r="Y108" i="5"/>
  <c r="W108" i="5"/>
  <c r="W107" i="5"/>
  <c r="Y107" i="5" s="1"/>
  <c r="Y106" i="5"/>
  <c r="W106" i="5"/>
  <c r="W105" i="5"/>
  <c r="Y105" i="5" s="1"/>
  <c r="Y104" i="5"/>
  <c r="W104" i="5"/>
  <c r="Y103" i="5"/>
  <c r="W103" i="5"/>
  <c r="W102" i="5"/>
  <c r="Y102" i="5" s="1"/>
  <c r="Y101" i="5"/>
  <c r="W101" i="5"/>
  <c r="W100" i="5"/>
  <c r="Y100" i="5" s="1"/>
  <c r="Y99" i="5"/>
  <c r="W99" i="5"/>
  <c r="Y98" i="5"/>
  <c r="W98" i="5"/>
  <c r="Y97" i="5"/>
  <c r="W97" i="5"/>
  <c r="W96" i="5"/>
  <c r="Y96" i="5" s="1"/>
  <c r="Y95" i="5"/>
  <c r="W95" i="5"/>
  <c r="W94" i="5"/>
  <c r="Y94" i="5" s="1"/>
  <c r="Y93" i="5"/>
  <c r="W93" i="5"/>
  <c r="Y92" i="5"/>
  <c r="W92" i="5"/>
  <c r="W91" i="5"/>
  <c r="Y91" i="5" s="1"/>
  <c r="W90" i="5"/>
  <c r="Y90" i="5" s="1"/>
  <c r="Y89" i="5"/>
  <c r="W89" i="5"/>
  <c r="Y88" i="5"/>
  <c r="W88" i="5"/>
  <c r="W87" i="5"/>
  <c r="Y87" i="5" s="1"/>
  <c r="Y86" i="5"/>
  <c r="W86" i="5"/>
  <c r="W85" i="5"/>
  <c r="Y85" i="5" s="1"/>
  <c r="Y84" i="5"/>
  <c r="W84" i="5"/>
  <c r="W83" i="5"/>
  <c r="Y83" i="5" s="1"/>
  <c r="Y82" i="5"/>
  <c r="W82" i="5"/>
  <c r="Y81" i="5"/>
  <c r="W81" i="5"/>
  <c r="W80" i="5"/>
  <c r="Y80" i="5" s="1"/>
  <c r="W79" i="5"/>
  <c r="Y79" i="5" s="1"/>
  <c r="Y78" i="5"/>
  <c r="W78" i="5"/>
  <c r="W77" i="5"/>
  <c r="Y77" i="5" s="1"/>
  <c r="Y76" i="5"/>
  <c r="W76" i="5"/>
  <c r="Y75" i="5"/>
  <c r="W75" i="5"/>
  <c r="W74" i="5"/>
  <c r="Y74" i="5" s="1"/>
  <c r="Y73" i="5"/>
  <c r="W73" i="5"/>
  <c r="W72" i="5"/>
  <c r="Y72" i="5" s="1"/>
  <c r="Y71" i="5"/>
  <c r="W71" i="5"/>
  <c r="Y70" i="5"/>
  <c r="W70" i="5"/>
  <c r="W69" i="5"/>
  <c r="Y69" i="5" s="1"/>
  <c r="Y68" i="5"/>
  <c r="W68" i="5"/>
  <c r="Y67" i="5"/>
  <c r="W67" i="5"/>
  <c r="W66" i="5"/>
  <c r="Y66" i="5" s="1"/>
  <c r="W65" i="5"/>
  <c r="Y65" i="5" s="1"/>
  <c r="Y64" i="5"/>
  <c r="W64" i="5"/>
  <c r="W63" i="5"/>
  <c r="Y63" i="5" s="1"/>
  <c r="Y62" i="5"/>
  <c r="W62" i="5"/>
  <c r="W61" i="5"/>
  <c r="Y61" i="5" s="1"/>
  <c r="Y60" i="5"/>
  <c r="W60" i="5"/>
  <c r="Y59" i="5"/>
  <c r="W59" i="5"/>
  <c r="W58" i="5"/>
  <c r="Y58" i="5" s="1"/>
  <c r="Y57" i="5"/>
  <c r="W57" i="5"/>
  <c r="Y56" i="5"/>
  <c r="W56" i="5"/>
  <c r="Y55" i="5"/>
  <c r="W55" i="5"/>
  <c r="W54" i="5"/>
  <c r="Y54" i="5" s="1"/>
  <c r="Y53" i="5"/>
  <c r="W53" i="5"/>
  <c r="W52" i="5"/>
  <c r="Y52" i="5" s="1"/>
  <c r="Y51" i="5"/>
  <c r="W51" i="5"/>
  <c r="W50" i="5"/>
  <c r="Y50" i="5" s="1"/>
  <c r="Y49" i="5"/>
  <c r="W49" i="5"/>
  <c r="Y48" i="5"/>
  <c r="W48" i="5"/>
  <c r="W47" i="5"/>
  <c r="Y47" i="5" s="1"/>
  <c r="Y46" i="5"/>
  <c r="W46" i="5"/>
  <c r="W45" i="5"/>
  <c r="Y45" i="5" s="1"/>
  <c r="Y44" i="5"/>
  <c r="W44" i="5"/>
  <c r="W43" i="5"/>
  <c r="Y43" i="5" s="1"/>
  <c r="Y42" i="5"/>
  <c r="W42" i="5"/>
  <c r="W41" i="5"/>
  <c r="Y41" i="5" s="1"/>
  <c r="Y40" i="5"/>
  <c r="W40" i="5"/>
  <c r="W39" i="5"/>
  <c r="Y39" i="5" s="1"/>
  <c r="Y38" i="5"/>
  <c r="W38" i="5"/>
  <c r="Y37" i="5"/>
  <c r="W37" i="5"/>
  <c r="W36" i="5"/>
  <c r="Y36" i="5" s="1"/>
  <c r="Y35" i="5"/>
  <c r="W35" i="5"/>
  <c r="W34" i="5"/>
  <c r="Y34" i="5" s="1"/>
  <c r="W33" i="5"/>
  <c r="Y33" i="5" s="1"/>
  <c r="Y32" i="5"/>
  <c r="W32" i="5"/>
  <c r="Y31" i="5"/>
  <c r="W31" i="5"/>
  <c r="W30" i="5"/>
  <c r="Y30" i="5" s="1"/>
  <c r="Y29" i="5"/>
  <c r="W29" i="5"/>
  <c r="W28" i="5"/>
  <c r="Y28" i="5" s="1"/>
  <c r="Y27" i="5"/>
  <c r="W27" i="5"/>
  <c r="Y26" i="5"/>
  <c r="W26" i="5"/>
  <c r="W25" i="5"/>
  <c r="Y25" i="5" s="1"/>
  <c r="Y24" i="5"/>
  <c r="W24" i="5"/>
  <c r="W23" i="5"/>
  <c r="Y23" i="5" s="1"/>
  <c r="Y22" i="5"/>
  <c r="W22" i="5"/>
  <c r="W21" i="5"/>
  <c r="Y21" i="5" s="1"/>
  <c r="Y20" i="5"/>
  <c r="W20" i="5"/>
  <c r="W19" i="5"/>
  <c r="Y19" i="5" s="1"/>
  <c r="Y18" i="5"/>
  <c r="W18" i="5"/>
  <c r="W17" i="5"/>
  <c r="Y17" i="5" s="1"/>
  <c r="Y16" i="5"/>
  <c r="W16" i="5"/>
  <c r="Y15" i="5"/>
  <c r="W15" i="5"/>
  <c r="W14" i="5"/>
  <c r="Y14" i="5" s="1"/>
  <c r="W13" i="5"/>
  <c r="Y13" i="5" s="1"/>
  <c r="Y12" i="5"/>
  <c r="W12" i="5"/>
  <c r="W11" i="5"/>
  <c r="Y11" i="5" s="1"/>
  <c r="Y10" i="5"/>
  <c r="W10" i="5"/>
  <c r="Y9" i="5"/>
  <c r="W9" i="5"/>
  <c r="W8" i="5"/>
  <c r="Y8" i="5" s="1"/>
  <c r="Y7" i="5"/>
  <c r="W7" i="5"/>
  <c r="W6" i="5"/>
  <c r="Y6" i="5" s="1"/>
  <c r="AC396" i="3"/>
  <c r="AB396" i="3"/>
  <c r="AA396" i="3"/>
  <c r="Z396" i="3"/>
  <c r="X396" i="3"/>
  <c r="AF395" i="3"/>
  <c r="AE395" i="3"/>
  <c r="AD395" i="3"/>
  <c r="AC395" i="3"/>
  <c r="AB395" i="3"/>
  <c r="AA395" i="3"/>
  <c r="Z395" i="3"/>
  <c r="Y395" i="3"/>
  <c r="X395" i="3"/>
  <c r="W395" i="3"/>
  <c r="AF394" i="3"/>
  <c r="AE394" i="3"/>
  <c r="AD394" i="3"/>
  <c r="AD396" i="3" s="1"/>
  <c r="AC394" i="3"/>
  <c r="AB394" i="3"/>
  <c r="AA394" i="3"/>
  <c r="Z394" i="3"/>
  <c r="Y394" i="3"/>
  <c r="X394" i="3"/>
  <c r="W394" i="3"/>
  <c r="AF393" i="3"/>
  <c r="AE393" i="3"/>
  <c r="AD393" i="3"/>
  <c r="AC393" i="3"/>
  <c r="AB393" i="3"/>
  <c r="AA393" i="3"/>
  <c r="Z393" i="3"/>
  <c r="Y393" i="3"/>
  <c r="Y396" i="3" s="1"/>
  <c r="X393" i="3"/>
  <c r="W393" i="3"/>
  <c r="AF392" i="3"/>
  <c r="AE392" i="3"/>
  <c r="AD392" i="3"/>
  <c r="AC392" i="3"/>
  <c r="AB392" i="3"/>
  <c r="AA392" i="3"/>
  <c r="Z392" i="3"/>
  <c r="Y392" i="3"/>
  <c r="X392" i="3"/>
  <c r="W392" i="3"/>
  <c r="AF391" i="3"/>
  <c r="AE391" i="3"/>
  <c r="AD391" i="3"/>
  <c r="AC391" i="3"/>
  <c r="AB391" i="3"/>
  <c r="AA391" i="3"/>
  <c r="Z391" i="3"/>
  <c r="Y391" i="3"/>
  <c r="X391" i="3"/>
  <c r="W391" i="3"/>
  <c r="AF390" i="3"/>
  <c r="AE390" i="3"/>
  <c r="AD390" i="3"/>
  <c r="AC390" i="3"/>
  <c r="AB390" i="3"/>
  <c r="AA390" i="3"/>
  <c r="Z390" i="3"/>
  <c r="Y390" i="3"/>
  <c r="X390" i="3"/>
  <c r="W390" i="3"/>
  <c r="AF389" i="3"/>
  <c r="AE389" i="3"/>
  <c r="AD389" i="3"/>
  <c r="AC389" i="3"/>
  <c r="AB389" i="3"/>
  <c r="AA389" i="3"/>
  <c r="Z389" i="3"/>
  <c r="Y389" i="3"/>
  <c r="X389" i="3"/>
  <c r="W389" i="3"/>
  <c r="AF388" i="3"/>
  <c r="AE388" i="3"/>
  <c r="AD388" i="3"/>
  <c r="AC388" i="3"/>
  <c r="AB388" i="3"/>
  <c r="AA388" i="3"/>
  <c r="Z388" i="3"/>
  <c r="Y388" i="3"/>
  <c r="X388" i="3"/>
  <c r="W388" i="3"/>
  <c r="AG387" i="3"/>
  <c r="AG20" i="13" s="1"/>
  <c r="AF387" i="3"/>
  <c r="AE387" i="3"/>
  <c r="AD387" i="3"/>
  <c r="AC387" i="3"/>
  <c r="AB387" i="3"/>
  <c r="AA387" i="3"/>
  <c r="Z387" i="3"/>
  <c r="Y387" i="3"/>
  <c r="X387" i="3"/>
  <c r="AG386" i="3"/>
  <c r="AF386" i="3"/>
  <c r="AE386" i="3"/>
  <c r="AD386" i="3"/>
  <c r="AC386" i="3"/>
  <c r="AB386" i="3"/>
  <c r="AA386" i="3"/>
  <c r="Z386" i="3"/>
  <c r="Y386" i="3"/>
  <c r="X386" i="3"/>
  <c r="AG385" i="3"/>
  <c r="AF385" i="3"/>
  <c r="AE385" i="3"/>
  <c r="AD385" i="3"/>
  <c r="AC385" i="3"/>
  <c r="AB385" i="3"/>
  <c r="AA385" i="3"/>
  <c r="Z385" i="3"/>
  <c r="Y385" i="3"/>
  <c r="X385" i="3"/>
  <c r="AG384" i="3"/>
  <c r="AF384" i="3"/>
  <c r="AE384" i="3"/>
  <c r="AD384" i="3"/>
  <c r="AC384" i="3"/>
  <c r="AB384" i="3"/>
  <c r="AA384" i="3"/>
  <c r="Z384" i="3"/>
  <c r="Y384" i="3"/>
  <c r="X384" i="3"/>
  <c r="BF383" i="3"/>
  <c r="BE383" i="3"/>
  <c r="BD383" i="3"/>
  <c r="BC383" i="3"/>
  <c r="BB383" i="3"/>
  <c r="BA383" i="3"/>
  <c r="AZ383" i="3"/>
  <c r="AY383" i="3"/>
  <c r="AX383" i="3"/>
  <c r="AW383" i="3"/>
  <c r="AV383" i="3"/>
  <c r="AU383" i="3"/>
  <c r="AT383" i="3"/>
  <c r="AS383" i="3"/>
  <c r="AR383" i="3"/>
  <c r="AQ383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BF369" i="3"/>
  <c r="BE369" i="3"/>
  <c r="BD369" i="3"/>
  <c r="BC369" i="3"/>
  <c r="BB369" i="3"/>
  <c r="BA369" i="3"/>
  <c r="AZ369" i="3"/>
  <c r="AY369" i="3"/>
  <c r="AX369" i="3"/>
  <c r="AW369" i="3"/>
  <c r="AV369" i="3"/>
  <c r="AU369" i="3"/>
  <c r="AT369" i="3"/>
  <c r="AS369" i="3"/>
  <c r="AR369" i="3"/>
  <c r="AQ369" i="3"/>
  <c r="AP369" i="3"/>
  <c r="AO369" i="3"/>
  <c r="AN369" i="3"/>
  <c r="AM369" i="3"/>
  <c r="AL369" i="3"/>
  <c r="AK369" i="3"/>
  <c r="AJ369" i="3"/>
  <c r="AI369" i="3"/>
  <c r="AH369" i="3"/>
  <c r="AG369" i="3"/>
  <c r="AF369" i="3"/>
  <c r="BF368" i="3"/>
  <c r="BE368" i="3"/>
  <c r="BD368" i="3"/>
  <c r="BC368" i="3"/>
  <c r="BB368" i="3"/>
  <c r="BA368" i="3"/>
  <c r="AZ368" i="3"/>
  <c r="AY368" i="3"/>
  <c r="AX368" i="3"/>
  <c r="AW368" i="3"/>
  <c r="AV368" i="3"/>
  <c r="AU368" i="3"/>
  <c r="AT368" i="3"/>
  <c r="AS368" i="3"/>
  <c r="AR368" i="3"/>
  <c r="AQ368" i="3"/>
  <c r="AP368" i="3"/>
  <c r="AO368" i="3"/>
  <c r="AN368" i="3"/>
  <c r="AM368" i="3"/>
  <c r="AL368" i="3"/>
  <c r="AK368" i="3"/>
  <c r="AJ368" i="3"/>
  <c r="AI368" i="3"/>
  <c r="AH368" i="3"/>
  <c r="AG368" i="3"/>
  <c r="AF368" i="3"/>
  <c r="BF367" i="3"/>
  <c r="BE367" i="3"/>
  <c r="BD367" i="3"/>
  <c r="BC367" i="3"/>
  <c r="BB367" i="3"/>
  <c r="BA367" i="3"/>
  <c r="AZ367" i="3"/>
  <c r="AY367" i="3"/>
  <c r="AX367" i="3"/>
  <c r="AW367" i="3"/>
  <c r="AV367" i="3"/>
  <c r="AU367" i="3"/>
  <c r="AT367" i="3"/>
  <c r="AS367" i="3"/>
  <c r="AR367" i="3"/>
  <c r="AQ367" i="3"/>
  <c r="AP367" i="3"/>
  <c r="AO367" i="3"/>
  <c r="AN367" i="3"/>
  <c r="AM367" i="3"/>
  <c r="AL367" i="3"/>
  <c r="AK367" i="3"/>
  <c r="AK377" i="3" s="1"/>
  <c r="AJ367" i="3"/>
  <c r="AI367" i="3"/>
  <c r="AH367" i="3"/>
  <c r="AG367" i="3"/>
  <c r="AF367" i="3"/>
  <c r="BF366" i="3"/>
  <c r="BE366" i="3"/>
  <c r="BD366" i="3"/>
  <c r="BC366" i="3"/>
  <c r="BB366" i="3"/>
  <c r="BA366" i="3"/>
  <c r="AZ366" i="3"/>
  <c r="AY366" i="3"/>
  <c r="AX366" i="3"/>
  <c r="AW366" i="3"/>
  <c r="AV366" i="3"/>
  <c r="AU366" i="3"/>
  <c r="AT366" i="3"/>
  <c r="AS366" i="3"/>
  <c r="AR366" i="3"/>
  <c r="AQ366" i="3"/>
  <c r="AP366" i="3"/>
  <c r="AO366" i="3"/>
  <c r="AN366" i="3"/>
  <c r="AM366" i="3"/>
  <c r="AL366" i="3"/>
  <c r="AK366" i="3"/>
  <c r="AJ366" i="3"/>
  <c r="AI366" i="3"/>
  <c r="AH366" i="3"/>
  <c r="AG366" i="3"/>
  <c r="AF366" i="3"/>
  <c r="BF365" i="3"/>
  <c r="BE365" i="3"/>
  <c r="BD365" i="3"/>
  <c r="BC365" i="3"/>
  <c r="BB365" i="3"/>
  <c r="BA365" i="3"/>
  <c r="AZ365" i="3"/>
  <c r="AY365" i="3"/>
  <c r="AX365" i="3"/>
  <c r="AW365" i="3"/>
  <c r="AV365" i="3"/>
  <c r="AU365" i="3"/>
  <c r="AT365" i="3"/>
  <c r="AS365" i="3"/>
  <c r="AR365" i="3"/>
  <c r="AQ365" i="3"/>
  <c r="AP365" i="3"/>
  <c r="AO365" i="3"/>
  <c r="AN365" i="3"/>
  <c r="AM365" i="3"/>
  <c r="AL365" i="3"/>
  <c r="AK365" i="3"/>
  <c r="AJ365" i="3"/>
  <c r="AI365" i="3"/>
  <c r="AH365" i="3"/>
  <c r="AG365" i="3"/>
  <c r="AF365" i="3"/>
  <c r="BF364" i="3"/>
  <c r="BE364" i="3"/>
  <c r="BD364" i="3"/>
  <c r="BC364" i="3"/>
  <c r="BB364" i="3"/>
  <c r="BA364" i="3"/>
  <c r="AZ364" i="3"/>
  <c r="AZ376" i="3" s="1"/>
  <c r="AY364" i="3"/>
  <c r="AX364" i="3"/>
  <c r="AW364" i="3"/>
  <c r="AV364" i="3"/>
  <c r="AU364" i="3"/>
  <c r="AT364" i="3"/>
  <c r="AS364" i="3"/>
  <c r="AR364" i="3"/>
  <c r="AQ364" i="3"/>
  <c r="AP364" i="3"/>
  <c r="AO364" i="3"/>
  <c r="AN364" i="3"/>
  <c r="AM364" i="3"/>
  <c r="AL364" i="3"/>
  <c r="AK364" i="3"/>
  <c r="AJ364" i="3"/>
  <c r="AI364" i="3"/>
  <c r="AH364" i="3"/>
  <c r="AG364" i="3"/>
  <c r="AF364" i="3"/>
  <c r="BF363" i="3"/>
  <c r="BE363" i="3"/>
  <c r="BD363" i="3"/>
  <c r="BC363" i="3"/>
  <c r="BB363" i="3"/>
  <c r="BA363" i="3"/>
  <c r="AZ363" i="3"/>
  <c r="AY363" i="3"/>
  <c r="AX363" i="3"/>
  <c r="AW363" i="3"/>
  <c r="AV363" i="3"/>
  <c r="AU363" i="3"/>
  <c r="AT363" i="3"/>
  <c r="AS363" i="3"/>
  <c r="AR363" i="3"/>
  <c r="AQ363" i="3"/>
  <c r="AP363" i="3"/>
  <c r="AO363" i="3"/>
  <c r="AN363" i="3"/>
  <c r="AM363" i="3"/>
  <c r="AL363" i="3"/>
  <c r="AK363" i="3"/>
  <c r="AJ363" i="3"/>
  <c r="AI363" i="3"/>
  <c r="AH363" i="3"/>
  <c r="AG363" i="3"/>
  <c r="AF363" i="3"/>
  <c r="BF362" i="3"/>
  <c r="BE362" i="3"/>
  <c r="BD362" i="3"/>
  <c r="BC362" i="3"/>
  <c r="BB362" i="3"/>
  <c r="BA362" i="3"/>
  <c r="AZ362" i="3"/>
  <c r="AY362" i="3"/>
  <c r="AX362" i="3"/>
  <c r="AW362" i="3"/>
  <c r="AV362" i="3"/>
  <c r="AU362" i="3"/>
  <c r="AT362" i="3"/>
  <c r="AS362" i="3"/>
  <c r="AR362" i="3"/>
  <c r="AQ362" i="3"/>
  <c r="AP362" i="3"/>
  <c r="AO362" i="3"/>
  <c r="AN362" i="3"/>
  <c r="AM362" i="3"/>
  <c r="AL362" i="3"/>
  <c r="AK362" i="3"/>
  <c r="AJ362" i="3"/>
  <c r="AI362" i="3"/>
  <c r="AH362" i="3"/>
  <c r="AG362" i="3"/>
  <c r="AF362" i="3"/>
  <c r="BF361" i="3"/>
  <c r="BE361" i="3"/>
  <c r="BD361" i="3"/>
  <c r="BC361" i="3"/>
  <c r="BB361" i="3"/>
  <c r="BA361" i="3"/>
  <c r="AZ361" i="3"/>
  <c r="AY361" i="3"/>
  <c r="AX361" i="3"/>
  <c r="AW361" i="3"/>
  <c r="AV361" i="3"/>
  <c r="AU361" i="3"/>
  <c r="AT361" i="3"/>
  <c r="AS361" i="3"/>
  <c r="AR361" i="3"/>
  <c r="AQ361" i="3"/>
  <c r="AP361" i="3"/>
  <c r="AO361" i="3"/>
  <c r="AN361" i="3"/>
  <c r="AM361" i="3"/>
  <c r="AL361" i="3"/>
  <c r="AK361" i="3"/>
  <c r="AJ361" i="3"/>
  <c r="AI361" i="3"/>
  <c r="AH361" i="3"/>
  <c r="AG361" i="3"/>
  <c r="AF361" i="3"/>
  <c r="BF360" i="3"/>
  <c r="BE360" i="3"/>
  <c r="BD360" i="3"/>
  <c r="BC360" i="3"/>
  <c r="BB360" i="3"/>
  <c r="BA360" i="3"/>
  <c r="AZ360" i="3"/>
  <c r="AY360" i="3"/>
  <c r="AX360" i="3"/>
  <c r="AW360" i="3"/>
  <c r="AV360" i="3"/>
  <c r="AU360" i="3"/>
  <c r="AT360" i="3"/>
  <c r="AS360" i="3"/>
  <c r="AR360" i="3"/>
  <c r="AQ360" i="3"/>
  <c r="AP360" i="3"/>
  <c r="AO360" i="3"/>
  <c r="AN360" i="3"/>
  <c r="AM360" i="3"/>
  <c r="AL360" i="3"/>
  <c r="AK360" i="3"/>
  <c r="AJ360" i="3"/>
  <c r="AI360" i="3"/>
  <c r="AH360" i="3"/>
  <c r="AG360" i="3"/>
  <c r="AF360" i="3"/>
  <c r="BF359" i="3"/>
  <c r="BE359" i="3"/>
  <c r="BD359" i="3"/>
  <c r="BC359" i="3"/>
  <c r="BB359" i="3"/>
  <c r="BA359" i="3"/>
  <c r="AZ359" i="3"/>
  <c r="AY359" i="3"/>
  <c r="AX359" i="3"/>
  <c r="AW359" i="3"/>
  <c r="AV359" i="3"/>
  <c r="AU359" i="3"/>
  <c r="AT359" i="3"/>
  <c r="AS359" i="3"/>
  <c r="AR359" i="3"/>
  <c r="AQ359" i="3"/>
  <c r="AP359" i="3"/>
  <c r="AO359" i="3"/>
  <c r="AN359" i="3"/>
  <c r="AM359" i="3"/>
  <c r="AL359" i="3"/>
  <c r="AK359" i="3"/>
  <c r="AJ359" i="3"/>
  <c r="AI359" i="3"/>
  <c r="AH359" i="3"/>
  <c r="AG359" i="3"/>
  <c r="AF359" i="3"/>
  <c r="BF358" i="3"/>
  <c r="BE358" i="3"/>
  <c r="BD358" i="3"/>
  <c r="BC358" i="3"/>
  <c r="BB358" i="3"/>
  <c r="BA358" i="3"/>
  <c r="AZ358" i="3"/>
  <c r="AY358" i="3"/>
  <c r="AX358" i="3"/>
  <c r="AW358" i="3"/>
  <c r="AV358" i="3"/>
  <c r="AU358" i="3"/>
  <c r="AT358" i="3"/>
  <c r="AS358" i="3"/>
  <c r="AR358" i="3"/>
  <c r="AQ358" i="3"/>
  <c r="AP358" i="3"/>
  <c r="AO358" i="3"/>
  <c r="AN358" i="3"/>
  <c r="AM358" i="3"/>
  <c r="AL358" i="3"/>
  <c r="AK358" i="3"/>
  <c r="AJ358" i="3"/>
  <c r="AI358" i="3"/>
  <c r="AH358" i="3"/>
  <c r="AG358" i="3"/>
  <c r="AF358" i="3"/>
  <c r="BF352" i="3"/>
  <c r="BE352" i="3"/>
  <c r="BD352" i="3"/>
  <c r="BC352" i="3"/>
  <c r="BB352" i="3"/>
  <c r="BA352" i="3"/>
  <c r="AZ352" i="3"/>
  <c r="AY352" i="3"/>
  <c r="AX352" i="3"/>
  <c r="AW352" i="3"/>
  <c r="AV352" i="3"/>
  <c r="AU352" i="3"/>
  <c r="AT352" i="3"/>
  <c r="AS352" i="3"/>
  <c r="AR352" i="3"/>
  <c r="AQ352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Y352" i="3"/>
  <c r="X352" i="3"/>
  <c r="W352" i="3"/>
  <c r="V352" i="3"/>
  <c r="U352" i="3"/>
  <c r="T352" i="3"/>
  <c r="S352" i="3"/>
  <c r="R352" i="3"/>
  <c r="BF337" i="3"/>
  <c r="BE337" i="3"/>
  <c r="BD337" i="3"/>
  <c r="BC337" i="3"/>
  <c r="BB337" i="3"/>
  <c r="BA337" i="3"/>
  <c r="AZ337" i="3"/>
  <c r="AY337" i="3"/>
  <c r="AX337" i="3"/>
  <c r="AW337" i="3"/>
  <c r="AV337" i="3"/>
  <c r="AU337" i="3"/>
  <c r="AT337" i="3"/>
  <c r="AS337" i="3"/>
  <c r="AR337" i="3"/>
  <c r="AQ337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Z334" i="3"/>
  <c r="AF333" i="3"/>
  <c r="AE333" i="3"/>
  <c r="AD333" i="3"/>
  <c r="AC333" i="3"/>
  <c r="AB333" i="3"/>
  <c r="AA333" i="3"/>
  <c r="Z333" i="3"/>
  <c r="Y333" i="3"/>
  <c r="X333" i="3"/>
  <c r="AF332" i="3"/>
  <c r="AE332" i="3"/>
  <c r="AD332" i="3"/>
  <c r="AC332" i="3"/>
  <c r="AB332" i="3"/>
  <c r="AA332" i="3"/>
  <c r="Z332" i="3"/>
  <c r="Y332" i="3"/>
  <c r="X332" i="3"/>
  <c r="AF331" i="3"/>
  <c r="AE331" i="3"/>
  <c r="AD331" i="3"/>
  <c r="AC331" i="3"/>
  <c r="AB331" i="3"/>
  <c r="AA331" i="3"/>
  <c r="Z331" i="3"/>
  <c r="Y331" i="3"/>
  <c r="X331" i="3"/>
  <c r="AF330" i="3"/>
  <c r="AE330" i="3"/>
  <c r="AD330" i="3"/>
  <c r="AC330" i="3"/>
  <c r="AB330" i="3"/>
  <c r="AA330" i="3"/>
  <c r="Z330" i="3"/>
  <c r="Y330" i="3"/>
  <c r="X330" i="3"/>
  <c r="AF329" i="3"/>
  <c r="AE329" i="3"/>
  <c r="AD329" i="3"/>
  <c r="AC329" i="3"/>
  <c r="AB329" i="3"/>
  <c r="AA329" i="3"/>
  <c r="Z329" i="3"/>
  <c r="Y329" i="3"/>
  <c r="X329" i="3"/>
  <c r="AF328" i="3"/>
  <c r="AE328" i="3"/>
  <c r="AD328" i="3"/>
  <c r="AC328" i="3"/>
  <c r="AB328" i="3"/>
  <c r="AA328" i="3"/>
  <c r="Z328" i="3"/>
  <c r="Y328" i="3"/>
  <c r="X328" i="3"/>
  <c r="AF327" i="3"/>
  <c r="AE327" i="3"/>
  <c r="AD327" i="3"/>
  <c r="AC327" i="3"/>
  <c r="AB327" i="3"/>
  <c r="AA327" i="3"/>
  <c r="Z327" i="3"/>
  <c r="Y327" i="3"/>
  <c r="X327" i="3"/>
  <c r="AF326" i="3"/>
  <c r="AE326" i="3"/>
  <c r="AD326" i="3"/>
  <c r="AC326" i="3"/>
  <c r="AB326" i="3"/>
  <c r="AA326" i="3"/>
  <c r="Z326" i="3"/>
  <c r="Y326" i="3"/>
  <c r="X326" i="3"/>
  <c r="AF325" i="3"/>
  <c r="AE325" i="3"/>
  <c r="AD325" i="3"/>
  <c r="AC325" i="3"/>
  <c r="AB325" i="3"/>
  <c r="AA325" i="3"/>
  <c r="Z325" i="3"/>
  <c r="Y325" i="3"/>
  <c r="X325" i="3"/>
  <c r="AG324" i="3"/>
  <c r="AF324" i="3"/>
  <c r="AE324" i="3"/>
  <c r="AD324" i="3"/>
  <c r="AC324" i="3"/>
  <c r="AB324" i="3"/>
  <c r="AB334" i="3" s="1"/>
  <c r="AA324" i="3"/>
  <c r="AA334" i="3" s="1"/>
  <c r="Z324" i="3"/>
  <c r="Y324" i="3"/>
  <c r="Y334" i="3" s="1"/>
  <c r="X324" i="3"/>
  <c r="AG323" i="3"/>
  <c r="AF323" i="3"/>
  <c r="AE323" i="3"/>
  <c r="AD323" i="3"/>
  <c r="AC323" i="3"/>
  <c r="AB323" i="3"/>
  <c r="AA323" i="3"/>
  <c r="Z323" i="3"/>
  <c r="Y323" i="3"/>
  <c r="X323" i="3"/>
  <c r="AG322" i="3"/>
  <c r="AF322" i="3"/>
  <c r="AE322" i="3"/>
  <c r="AD322" i="3"/>
  <c r="AC322" i="3"/>
  <c r="AB322" i="3"/>
  <c r="AA322" i="3"/>
  <c r="Z322" i="3"/>
  <c r="Y322" i="3"/>
  <c r="BF321" i="3"/>
  <c r="BE321" i="3"/>
  <c r="BD321" i="3"/>
  <c r="BC321" i="3"/>
  <c r="BB321" i="3"/>
  <c r="BA321" i="3"/>
  <c r="AZ321" i="3"/>
  <c r="AY321" i="3"/>
  <c r="AX321" i="3"/>
  <c r="AW321" i="3"/>
  <c r="AV321" i="3"/>
  <c r="AU321" i="3"/>
  <c r="AT321" i="3"/>
  <c r="AS321" i="3"/>
  <c r="AR321" i="3"/>
  <c r="AQ321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BF305" i="3"/>
  <c r="BE305" i="3"/>
  <c r="BD305" i="3"/>
  <c r="BC305" i="3"/>
  <c r="BB305" i="3"/>
  <c r="BA305" i="3"/>
  <c r="AZ305" i="3"/>
  <c r="AY305" i="3"/>
  <c r="AX305" i="3"/>
  <c r="AW305" i="3"/>
  <c r="AV305" i="3"/>
  <c r="AU305" i="3"/>
  <c r="AT305" i="3"/>
  <c r="AS305" i="3"/>
  <c r="AR305" i="3"/>
  <c r="AQ305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BF289" i="3"/>
  <c r="BE289" i="3"/>
  <c r="BD289" i="3"/>
  <c r="BC289" i="3"/>
  <c r="BB289" i="3"/>
  <c r="BA289" i="3"/>
  <c r="AZ289" i="3"/>
  <c r="AY289" i="3"/>
  <c r="AX289" i="3"/>
  <c r="AW289" i="3"/>
  <c r="AV289" i="3"/>
  <c r="AU289" i="3"/>
  <c r="AT289" i="3"/>
  <c r="AS289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C264" i="3"/>
  <c r="AA264" i="3"/>
  <c r="Z264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W244" i="3"/>
  <c r="W243" i="3"/>
  <c r="W242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BF224" i="3"/>
  <c r="BE224" i="3"/>
  <c r="BD224" i="3"/>
  <c r="BC224" i="3"/>
  <c r="BB224" i="3"/>
  <c r="BA224" i="3"/>
  <c r="AZ224" i="3"/>
  <c r="AY224" i="3"/>
  <c r="AX224" i="3"/>
  <c r="AW224" i="3"/>
  <c r="AV224" i="3"/>
  <c r="AU224" i="3"/>
  <c r="AT224" i="3"/>
  <c r="AS224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BF208" i="3"/>
  <c r="BE208" i="3"/>
  <c r="BD208" i="3"/>
  <c r="BC208" i="3"/>
  <c r="BB208" i="3"/>
  <c r="BA208" i="3"/>
  <c r="AZ208" i="3"/>
  <c r="AY208" i="3"/>
  <c r="AX208" i="3"/>
  <c r="AW208" i="3"/>
  <c r="AV208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BX172" i="3"/>
  <c r="BW172" i="3"/>
  <c r="AF172" i="3"/>
  <c r="AE172" i="3"/>
  <c r="AE266" i="3" s="1"/>
  <c r="AD172" i="3"/>
  <c r="AD266" i="3" s="1"/>
  <c r="AC172" i="3"/>
  <c r="AB172" i="3"/>
  <c r="AA172" i="3"/>
  <c r="Z172" i="3"/>
  <c r="Z266" i="3" s="1"/>
  <c r="Y172" i="3"/>
  <c r="X172" i="3"/>
  <c r="W172" i="3"/>
  <c r="BX171" i="3"/>
  <c r="BW171" i="3"/>
  <c r="AF171" i="3"/>
  <c r="AF266" i="3" s="1"/>
  <c r="AE171" i="3"/>
  <c r="AD171" i="3"/>
  <c r="AC171" i="3"/>
  <c r="AB171" i="3"/>
  <c r="AA171" i="3"/>
  <c r="Z171" i="3"/>
  <c r="Y171" i="3"/>
  <c r="X171" i="3"/>
  <c r="W171" i="3"/>
  <c r="BX170" i="3"/>
  <c r="BW170" i="3"/>
  <c r="AF170" i="3"/>
  <c r="AE170" i="3"/>
  <c r="AD170" i="3"/>
  <c r="AC170" i="3"/>
  <c r="AB170" i="3"/>
  <c r="AA170" i="3"/>
  <c r="Z170" i="3"/>
  <c r="Y170" i="3"/>
  <c r="X170" i="3"/>
  <c r="W170" i="3"/>
  <c r="BX169" i="3"/>
  <c r="BW169" i="3"/>
  <c r="AF169" i="3"/>
  <c r="AE169" i="3"/>
  <c r="AD169" i="3"/>
  <c r="AC169" i="3"/>
  <c r="AB169" i="3"/>
  <c r="AA169" i="3"/>
  <c r="Z169" i="3"/>
  <c r="Y169" i="3"/>
  <c r="X169" i="3"/>
  <c r="W169" i="3"/>
  <c r="BX168" i="3"/>
  <c r="AF168" i="3"/>
  <c r="AE168" i="3"/>
  <c r="AD168" i="3"/>
  <c r="AC168" i="3"/>
  <c r="AB168" i="3"/>
  <c r="AA168" i="3"/>
  <c r="Z168" i="3"/>
  <c r="Y168" i="3"/>
  <c r="X168" i="3"/>
  <c r="W168" i="3"/>
  <c r="BX167" i="3"/>
  <c r="AF167" i="3"/>
  <c r="AE167" i="3"/>
  <c r="AE265" i="3" s="1"/>
  <c r="AD167" i="3"/>
  <c r="AC167" i="3"/>
  <c r="AB167" i="3"/>
  <c r="AA167" i="3"/>
  <c r="Z167" i="3"/>
  <c r="Y167" i="3"/>
  <c r="X167" i="3"/>
  <c r="W167" i="3"/>
  <c r="BX166" i="3"/>
  <c r="AF166" i="3"/>
  <c r="AE166" i="3"/>
  <c r="AD166" i="3"/>
  <c r="AC166" i="3"/>
  <c r="AB166" i="3"/>
  <c r="AA166" i="3"/>
  <c r="Z166" i="3"/>
  <c r="Y166" i="3"/>
  <c r="X166" i="3"/>
  <c r="W166" i="3"/>
  <c r="BX165" i="3"/>
  <c r="AF165" i="3"/>
  <c r="AE165" i="3"/>
  <c r="AD165" i="3"/>
  <c r="AC165" i="3"/>
  <c r="AB165" i="3"/>
  <c r="AB264" i="3" s="1"/>
  <c r="AA165" i="3"/>
  <c r="Z165" i="3"/>
  <c r="Y165" i="3"/>
  <c r="X165" i="3"/>
  <c r="W165" i="3"/>
  <c r="BX164" i="3"/>
  <c r="AG164" i="3"/>
  <c r="AF164" i="3"/>
  <c r="AE164" i="3"/>
  <c r="AE264" i="3" s="1"/>
  <c r="AD164" i="3"/>
  <c r="AC164" i="3"/>
  <c r="AB164" i="3"/>
  <c r="AA164" i="3"/>
  <c r="Z164" i="3"/>
  <c r="Y164" i="3"/>
  <c r="X164" i="3"/>
  <c r="BX163" i="3"/>
  <c r="AG163" i="3"/>
  <c r="AF163" i="3"/>
  <c r="AF173" i="3" s="1"/>
  <c r="AF12" i="3" s="1"/>
  <c r="AE163" i="3"/>
  <c r="AD163" i="3"/>
  <c r="AC163" i="3"/>
  <c r="AB163" i="3"/>
  <c r="AA163" i="3"/>
  <c r="Z163" i="3"/>
  <c r="Y163" i="3"/>
  <c r="X163" i="3"/>
  <c r="BY162" i="3"/>
  <c r="BX162" i="3"/>
  <c r="AG162" i="3"/>
  <c r="AF162" i="3"/>
  <c r="AE162" i="3"/>
  <c r="AD162" i="3"/>
  <c r="AC162" i="3"/>
  <c r="AB162" i="3"/>
  <c r="AA162" i="3"/>
  <c r="Z162" i="3"/>
  <c r="Y162" i="3"/>
  <c r="X162" i="3"/>
  <c r="BY161" i="3"/>
  <c r="BX161" i="3"/>
  <c r="AG161" i="3"/>
  <c r="AF161" i="3"/>
  <c r="AE161" i="3"/>
  <c r="AD161" i="3"/>
  <c r="AC161" i="3"/>
  <c r="AB161" i="3"/>
  <c r="AA161" i="3"/>
  <c r="Z161" i="3"/>
  <c r="Z173" i="3" s="1"/>
  <c r="Y161" i="3"/>
  <c r="Y173" i="3" s="1"/>
  <c r="X161" i="3"/>
  <c r="CE160" i="3"/>
  <c r="CD160" i="3"/>
  <c r="CC160" i="3"/>
  <c r="BY160" i="3"/>
  <c r="BX160" i="3"/>
  <c r="BW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F156" i="3"/>
  <c r="AE156" i="3"/>
  <c r="AD124" i="3"/>
  <c r="AD236" i="3" s="1"/>
  <c r="AF155" i="3"/>
  <c r="AE155" i="3"/>
  <c r="BV155" i="3"/>
  <c r="W317" i="3"/>
  <c r="AF154" i="3"/>
  <c r="AE154" i="3"/>
  <c r="AD122" i="3"/>
  <c r="W316" i="3"/>
  <c r="AF153" i="3"/>
  <c r="AE153" i="3"/>
  <c r="AC121" i="3"/>
  <c r="W315" i="3"/>
  <c r="AF152" i="3"/>
  <c r="AE152" i="3"/>
  <c r="BV151" i="3"/>
  <c r="AF151" i="3"/>
  <c r="AE151" i="3"/>
  <c r="AC119" i="3"/>
  <c r="AC231" i="3" s="1"/>
  <c r="BW151" i="3"/>
  <c r="W313" i="3"/>
  <c r="AF150" i="3"/>
  <c r="AE150" i="3"/>
  <c r="AB118" i="3"/>
  <c r="W312" i="3"/>
  <c r="BV149" i="3"/>
  <c r="AG149" i="3"/>
  <c r="AF149" i="3"/>
  <c r="AE149" i="3"/>
  <c r="AA117" i="3"/>
  <c r="AA229" i="3" s="1"/>
  <c r="AA245" i="3" s="1"/>
  <c r="W311" i="3"/>
  <c r="AG148" i="3"/>
  <c r="AF148" i="3"/>
  <c r="AE148" i="3"/>
  <c r="AB116" i="3"/>
  <c r="BW148" i="3"/>
  <c r="W310" i="3"/>
  <c r="BV147" i="3"/>
  <c r="AG147" i="3"/>
  <c r="AF147" i="3"/>
  <c r="AE147" i="3"/>
  <c r="BX146" i="3"/>
  <c r="BV146" i="3"/>
  <c r="AG146" i="3"/>
  <c r="AF146" i="3"/>
  <c r="AE146" i="3"/>
  <c r="Y114" i="3"/>
  <c r="AG145" i="3"/>
  <c r="AF145" i="3"/>
  <c r="AE145" i="3"/>
  <c r="BX147" i="3"/>
  <c r="BY146" i="3"/>
  <c r="X306" i="3"/>
  <c r="Q157" i="3"/>
  <c r="K157" i="3"/>
  <c r="AZ144" i="3"/>
  <c r="AY144" i="3"/>
  <c r="AX144" i="3"/>
  <c r="AV144" i="3"/>
  <c r="AS144" i="3"/>
  <c r="AR144" i="3"/>
  <c r="AQ144" i="3"/>
  <c r="AP144" i="3"/>
  <c r="AO144" i="3"/>
  <c r="AN144" i="3"/>
  <c r="AJ144" i="3"/>
  <c r="AF140" i="3"/>
  <c r="AE140" i="3"/>
  <c r="AD140" i="3"/>
  <c r="AC140" i="3"/>
  <c r="AB140" i="3"/>
  <c r="AA140" i="3"/>
  <c r="Z140" i="3"/>
  <c r="Y140" i="3"/>
  <c r="X140" i="3"/>
  <c r="W140" i="3"/>
  <c r="AF139" i="3"/>
  <c r="AE139" i="3"/>
  <c r="AD139" i="3"/>
  <c r="AC139" i="3"/>
  <c r="AB139" i="3"/>
  <c r="AA139" i="3"/>
  <c r="Z139" i="3"/>
  <c r="Y139" i="3"/>
  <c r="X139" i="3"/>
  <c r="W139" i="3"/>
  <c r="AF138" i="3"/>
  <c r="AE138" i="3"/>
  <c r="J57" i="1" s="1"/>
  <c r="AD138" i="3"/>
  <c r="AC138" i="3"/>
  <c r="AB138" i="3"/>
  <c r="AA138" i="3"/>
  <c r="Z138" i="3"/>
  <c r="Y138" i="3"/>
  <c r="X138" i="3"/>
  <c r="W138" i="3"/>
  <c r="BW137" i="3"/>
  <c r="BV137" i="3"/>
  <c r="AF137" i="3"/>
  <c r="AE137" i="3"/>
  <c r="AD137" i="3"/>
  <c r="AC137" i="3"/>
  <c r="AB137" i="3"/>
  <c r="AA137" i="3"/>
  <c r="Z137" i="3"/>
  <c r="Y137" i="3"/>
  <c r="X137" i="3"/>
  <c r="W137" i="3"/>
  <c r="AF136" i="3"/>
  <c r="AE136" i="3"/>
  <c r="AD136" i="3"/>
  <c r="AC136" i="3"/>
  <c r="AB136" i="3"/>
  <c r="AA136" i="3"/>
  <c r="Z136" i="3"/>
  <c r="Y136" i="3"/>
  <c r="X136" i="3"/>
  <c r="W136" i="3"/>
  <c r="BW135" i="3"/>
  <c r="AF135" i="3"/>
  <c r="AE135" i="3"/>
  <c r="AD135" i="3"/>
  <c r="AC135" i="3"/>
  <c r="AB135" i="3"/>
  <c r="AA135" i="3"/>
  <c r="Z135" i="3"/>
  <c r="Y135" i="3"/>
  <c r="X135" i="3"/>
  <c r="W135" i="3"/>
  <c r="BV134" i="3"/>
  <c r="AF134" i="3"/>
  <c r="AE134" i="3"/>
  <c r="AD134" i="3"/>
  <c r="AC134" i="3"/>
  <c r="AB134" i="3"/>
  <c r="AA134" i="3"/>
  <c r="Z134" i="3"/>
  <c r="Y134" i="3"/>
  <c r="X134" i="3"/>
  <c r="W134" i="3"/>
  <c r="AG133" i="3"/>
  <c r="AF133" i="3"/>
  <c r="AE133" i="3"/>
  <c r="AD133" i="3"/>
  <c r="AC133" i="3"/>
  <c r="AB133" i="3"/>
  <c r="AA133" i="3"/>
  <c r="Z133" i="3"/>
  <c r="Y133" i="3"/>
  <c r="X133" i="3"/>
  <c r="W133" i="3"/>
  <c r="AG132" i="3"/>
  <c r="AF132" i="3"/>
  <c r="AE132" i="3"/>
  <c r="AD132" i="3"/>
  <c r="AC132" i="3"/>
  <c r="AB132" i="3"/>
  <c r="AA132" i="3"/>
  <c r="Z132" i="3"/>
  <c r="Y132" i="3"/>
  <c r="X132" i="3"/>
  <c r="AG131" i="3"/>
  <c r="AF131" i="3"/>
  <c r="AE131" i="3"/>
  <c r="AD131" i="3"/>
  <c r="AC131" i="3"/>
  <c r="AB131" i="3"/>
  <c r="AA131" i="3"/>
  <c r="Z131" i="3"/>
  <c r="Y131" i="3"/>
  <c r="X131" i="3"/>
  <c r="AG130" i="3"/>
  <c r="AF130" i="3"/>
  <c r="AE130" i="3"/>
  <c r="AD130" i="3"/>
  <c r="AC130" i="3"/>
  <c r="AB130" i="3"/>
  <c r="AA130" i="3"/>
  <c r="Z130" i="3"/>
  <c r="Y130" i="3"/>
  <c r="X130" i="3"/>
  <c r="AG129" i="3"/>
  <c r="AF129" i="3"/>
  <c r="AE129" i="3"/>
  <c r="AD129" i="3"/>
  <c r="AC129" i="3"/>
  <c r="AB129" i="3"/>
  <c r="AA129" i="3"/>
  <c r="Z129" i="3"/>
  <c r="Y129" i="3"/>
  <c r="X129" i="3"/>
  <c r="AW128" i="3"/>
  <c r="AW144" i="3" s="1"/>
  <c r="AV128" i="3"/>
  <c r="AS128" i="3"/>
  <c r="AR128" i="3"/>
  <c r="AQ128" i="3"/>
  <c r="AP128" i="3"/>
  <c r="AN128" i="3"/>
  <c r="AL128" i="3"/>
  <c r="AL144" i="3" s="1"/>
  <c r="AJ128" i="3"/>
  <c r="AI128" i="3"/>
  <c r="AI144" i="3" s="1"/>
  <c r="AD128" i="3"/>
  <c r="AD144" i="3" s="1"/>
  <c r="AC124" i="3"/>
  <c r="AC236" i="3" s="1"/>
  <c r="AB124" i="3"/>
  <c r="AB236" i="3" s="1"/>
  <c r="AA124" i="3"/>
  <c r="Z124" i="3"/>
  <c r="Y124" i="3"/>
  <c r="Y236" i="3" s="1"/>
  <c r="Y252" i="3" s="1"/>
  <c r="X124" i="3"/>
  <c r="W124" i="3"/>
  <c r="AF123" i="3"/>
  <c r="AC123" i="3"/>
  <c r="Z123" i="3"/>
  <c r="Y123" i="3"/>
  <c r="W123" i="3"/>
  <c r="Y122" i="3"/>
  <c r="AF121" i="3"/>
  <c r="AE121" i="3"/>
  <c r="X121" i="3"/>
  <c r="AF120" i="3"/>
  <c r="AF232" i="3" s="1"/>
  <c r="AE120" i="3"/>
  <c r="Z120" i="3"/>
  <c r="Y120" i="3"/>
  <c r="Y232" i="3" s="1"/>
  <c r="Y248" i="3" s="1"/>
  <c r="W120" i="3"/>
  <c r="AD119" i="3"/>
  <c r="AD231" i="3" s="1"/>
  <c r="Y119" i="3"/>
  <c r="X119" i="3"/>
  <c r="W119" i="3"/>
  <c r="AC118" i="3"/>
  <c r="AA118" i="3"/>
  <c r="Y118" i="3"/>
  <c r="AE117" i="3"/>
  <c r="Y117" i="3"/>
  <c r="Y229" i="3" s="1"/>
  <c r="Y245" i="3" s="1"/>
  <c r="X117" i="3"/>
  <c r="X229" i="3" s="1"/>
  <c r="X245" i="3" s="1"/>
  <c r="W117" i="3"/>
  <c r="AG116" i="3"/>
  <c r="AF116" i="3"/>
  <c r="AE116" i="3"/>
  <c r="AC116" i="3"/>
  <c r="Y116" i="3"/>
  <c r="AF115" i="3"/>
  <c r="AE115" i="3"/>
  <c r="AG114" i="3"/>
  <c r="AF114" i="3"/>
  <c r="AE114" i="3"/>
  <c r="AD114" i="3"/>
  <c r="BV114" i="3" s="1"/>
  <c r="AA114" i="3"/>
  <c r="X114" i="3"/>
  <c r="AG113" i="3"/>
  <c r="AB113" i="3"/>
  <c r="Z113" i="3"/>
  <c r="Y113" i="3"/>
  <c r="X113" i="3"/>
  <c r="BF112" i="3"/>
  <c r="BF128" i="3" s="1"/>
  <c r="BF144" i="3" s="1"/>
  <c r="BE112" i="3"/>
  <c r="BE128" i="3" s="1"/>
  <c r="BE144" i="3" s="1"/>
  <c r="BD112" i="3"/>
  <c r="BD128" i="3" s="1"/>
  <c r="BD144" i="3" s="1"/>
  <c r="BC112" i="3"/>
  <c r="BC128" i="3" s="1"/>
  <c r="BC144" i="3" s="1"/>
  <c r="BB112" i="3"/>
  <c r="BB128" i="3" s="1"/>
  <c r="BB144" i="3" s="1"/>
  <c r="BA112" i="3"/>
  <c r="BA128" i="3" s="1"/>
  <c r="BA144" i="3" s="1"/>
  <c r="AZ112" i="3"/>
  <c r="AZ128" i="3" s="1"/>
  <c r="AY112" i="3"/>
  <c r="AY128" i="3" s="1"/>
  <c r="AX112" i="3"/>
  <c r="AX128" i="3" s="1"/>
  <c r="AW112" i="3"/>
  <c r="AV112" i="3"/>
  <c r="AU112" i="3"/>
  <c r="AU128" i="3" s="1"/>
  <c r="AU144" i="3" s="1"/>
  <c r="AT112" i="3"/>
  <c r="AT128" i="3" s="1"/>
  <c r="AT144" i="3" s="1"/>
  <c r="AS112" i="3"/>
  <c r="AR112" i="3"/>
  <c r="AQ112" i="3"/>
  <c r="AP112" i="3"/>
  <c r="AO112" i="3"/>
  <c r="AO128" i="3" s="1"/>
  <c r="AN112" i="3"/>
  <c r="AM112" i="3"/>
  <c r="AM128" i="3" s="1"/>
  <c r="AM144" i="3" s="1"/>
  <c r="AL112" i="3"/>
  <c r="AK112" i="3"/>
  <c r="AK128" i="3" s="1"/>
  <c r="AK144" i="3" s="1"/>
  <c r="AJ112" i="3"/>
  <c r="AI112" i="3"/>
  <c r="AH112" i="3"/>
  <c r="AH128" i="3" s="1"/>
  <c r="AH144" i="3" s="1"/>
  <c r="AG112" i="3"/>
  <c r="AG128" i="3" s="1"/>
  <c r="AG144" i="3" s="1"/>
  <c r="AF112" i="3"/>
  <c r="AF128" i="3" s="1"/>
  <c r="AF144" i="3" s="1"/>
  <c r="AE112" i="3"/>
  <c r="AE128" i="3" s="1"/>
  <c r="AE144" i="3" s="1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R80" i="3" s="1"/>
  <c r="P107" i="3"/>
  <c r="O107" i="3"/>
  <c r="O10" i="3" s="1"/>
  <c r="P3" i="3" s="1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F106" i="3"/>
  <c r="AE106" i="3"/>
  <c r="AE91" i="3" s="1"/>
  <c r="AD106" i="3"/>
  <c r="AD91" i="3" s="1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L91" i="3" s="1"/>
  <c r="K106" i="3"/>
  <c r="J106" i="3"/>
  <c r="I106" i="3"/>
  <c r="H106" i="3"/>
  <c r="H91" i="3" s="1"/>
  <c r="G106" i="3"/>
  <c r="F106" i="3"/>
  <c r="E106" i="3"/>
  <c r="D106" i="3"/>
  <c r="C106" i="3"/>
  <c r="B106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S90" i="3" s="1"/>
  <c r="R105" i="3"/>
  <c r="Q105" i="3"/>
  <c r="P105" i="3"/>
  <c r="O105" i="3"/>
  <c r="O90" i="3" s="1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F103" i="3"/>
  <c r="AE103" i="3"/>
  <c r="AD103" i="3"/>
  <c r="AC103" i="3"/>
  <c r="AB103" i="3"/>
  <c r="AB88" i="3" s="1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F101" i="3"/>
  <c r="AE101" i="3"/>
  <c r="AD101" i="3"/>
  <c r="AC101" i="3"/>
  <c r="AC86" i="3" s="1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G86" i="3" s="1"/>
  <c r="F101" i="3"/>
  <c r="F86" i="3" s="1"/>
  <c r="E101" i="3"/>
  <c r="D101" i="3"/>
  <c r="C101" i="3"/>
  <c r="B101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T83" i="3" s="1"/>
  <c r="S98" i="3"/>
  <c r="R98" i="3"/>
  <c r="Q98" i="3"/>
  <c r="Q83" i="3" s="1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G97" i="3"/>
  <c r="AF97" i="3"/>
  <c r="AE97" i="3"/>
  <c r="AD97" i="3"/>
  <c r="AC97" i="3"/>
  <c r="AC82" i="3" s="1"/>
  <c r="AB97" i="3"/>
  <c r="AB82" i="3" s="1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L82" i="3" s="1"/>
  <c r="K97" i="3"/>
  <c r="J97" i="3"/>
  <c r="I97" i="3"/>
  <c r="H97" i="3"/>
  <c r="G97" i="3"/>
  <c r="G82" i="3" s="1"/>
  <c r="F97" i="3"/>
  <c r="F82" i="3" s="1"/>
  <c r="E97" i="3"/>
  <c r="D97" i="3"/>
  <c r="C97" i="3"/>
  <c r="B97" i="3"/>
  <c r="AG96" i="3"/>
  <c r="AF96" i="3"/>
  <c r="AE96" i="3"/>
  <c r="AD96" i="3"/>
  <c r="AC96" i="3"/>
  <c r="AB96" i="3"/>
  <c r="AA96" i="3"/>
  <c r="Z96" i="3"/>
  <c r="Y96" i="3"/>
  <c r="X96" i="3"/>
  <c r="X81" i="3" s="1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B81" i="3" s="1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G92" i="3"/>
  <c r="Q90" i="3"/>
  <c r="G90" i="3"/>
  <c r="B90" i="3"/>
  <c r="AD89" i="3"/>
  <c r="E88" i="3"/>
  <c r="W85" i="3"/>
  <c r="U85" i="3"/>
  <c r="T85" i="3"/>
  <c r="S85" i="3"/>
  <c r="Q85" i="3"/>
  <c r="Q80" i="3"/>
  <c r="P80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D77" i="3" a="1"/>
  <c r="AD77" i="3" s="1"/>
  <c r="AB77" i="3"/>
  <c r="AB77" i="3" a="1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C76" i="3"/>
  <c r="G76" i="3"/>
  <c r="F76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F74" i="3"/>
  <c r="AE74" i="3"/>
  <c r="AD74" i="3"/>
  <c r="AC74" i="3"/>
  <c r="AB74" i="3"/>
  <c r="AA74" i="3"/>
  <c r="AA77" i="3" s="1" a="1"/>
  <c r="AA77" i="3" s="1"/>
  <c r="Z74" i="3"/>
  <c r="Y74" i="3"/>
  <c r="X74" i="3"/>
  <c r="W74" i="3"/>
  <c r="W90" i="3" s="1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F69" i="3"/>
  <c r="AE69" i="3"/>
  <c r="AD69" i="3"/>
  <c r="AC69" i="3"/>
  <c r="AB69" i="3"/>
  <c r="AA69" i="3"/>
  <c r="Z69" i="3"/>
  <c r="Y69" i="3"/>
  <c r="X69" i="3"/>
  <c r="W69" i="3"/>
  <c r="V69" i="3"/>
  <c r="V85" i="3" s="1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U76" i="3" s="1"/>
  <c r="U8" i="3" s="1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S77" i="3" s="1" a="1"/>
  <c r="S77" i="3" s="1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CS65" i="3"/>
  <c r="CR65" i="3"/>
  <c r="CQ65" i="3"/>
  <c r="CP65" i="3"/>
  <c r="CO65" i="3"/>
  <c r="CN65" i="3"/>
  <c r="CB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J81" i="3" s="1"/>
  <c r="I65" i="3"/>
  <c r="H65" i="3"/>
  <c r="G65" i="3"/>
  <c r="F65" i="3"/>
  <c r="E65" i="3"/>
  <c r="D65" i="3"/>
  <c r="C65" i="3"/>
  <c r="B65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E77" i="3" s="1"/>
  <c r="CD64" i="3"/>
  <c r="CD77" i="3" s="1"/>
  <c r="CC64" i="3"/>
  <c r="CB64" i="3"/>
  <c r="CB77" i="3" s="1"/>
  <c r="CA64" i="3"/>
  <c r="BZ64" i="3"/>
  <c r="BY64" i="3"/>
  <c r="BX64" i="3"/>
  <c r="BW64" i="3"/>
  <c r="AG64" i="3"/>
  <c r="AF64" i="3"/>
  <c r="AE64" i="3"/>
  <c r="AD64" i="3"/>
  <c r="AC64" i="3"/>
  <c r="AB64" i="3"/>
  <c r="AB76" i="3" s="1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H76" i="3" s="1"/>
  <c r="G64" i="3"/>
  <c r="F64" i="3"/>
  <c r="E64" i="3"/>
  <c r="D64" i="3"/>
  <c r="C64" i="3"/>
  <c r="B64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D76" i="3" s="1"/>
  <c r="CC63" i="3"/>
  <c r="CC76" i="3" s="1"/>
  <c r="CB63" i="3"/>
  <c r="CA63" i="3"/>
  <c r="BZ63" i="3"/>
  <c r="BY63" i="3"/>
  <c r="BX63" i="3"/>
  <c r="BW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D75" i="3" s="1"/>
  <c r="CC62" i="3"/>
  <c r="CB62" i="3"/>
  <c r="CA62" i="3"/>
  <c r="BZ62" i="3"/>
  <c r="BY62" i="3"/>
  <c r="BX62" i="3"/>
  <c r="BW62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D73" i="3" s="1"/>
  <c r="CC60" i="3"/>
  <c r="CC73" i="3" s="1"/>
  <c r="CB60" i="3"/>
  <c r="CB73" i="3" s="1"/>
  <c r="CA60" i="3"/>
  <c r="BZ60" i="3"/>
  <c r="BY60" i="3"/>
  <c r="BX60" i="3"/>
  <c r="BW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E60" i="3"/>
  <c r="AE5" i="3" s="1"/>
  <c r="Z60" i="3"/>
  <c r="Z5" i="3" s="1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B72" i="3" s="1"/>
  <c r="CA59" i="3"/>
  <c r="BZ59" i="3"/>
  <c r="BY59" i="3"/>
  <c r="BX59" i="3"/>
  <c r="BW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R90" i="3" s="1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B69" i="3" s="1"/>
  <c r="CA56" i="3"/>
  <c r="CA69" i="3" s="1"/>
  <c r="BZ56" i="3"/>
  <c r="BY56" i="3"/>
  <c r="BX56" i="3"/>
  <c r="BX69" i="3" s="1"/>
  <c r="BW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C68" i="3" s="1"/>
  <c r="CB55" i="3"/>
  <c r="CA55" i="3"/>
  <c r="BZ55" i="3"/>
  <c r="BZ68" i="3" s="1"/>
  <c r="BY55" i="3"/>
  <c r="BX55" i="3"/>
  <c r="BW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I86" i="3" s="1"/>
  <c r="H54" i="3"/>
  <c r="G54" i="3"/>
  <c r="F54" i="3"/>
  <c r="E54" i="3"/>
  <c r="D54" i="3"/>
  <c r="C54" i="3"/>
  <c r="B54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CW52" i="3"/>
  <c r="CW65" i="3" s="1"/>
  <c r="CU52" i="3"/>
  <c r="CU65" i="3" s="1"/>
  <c r="CS52" i="3"/>
  <c r="CQ52" i="3"/>
  <c r="CP52" i="3"/>
  <c r="CO52" i="3"/>
  <c r="CN52" i="3"/>
  <c r="CM52" i="3"/>
  <c r="CM65" i="3" s="1"/>
  <c r="CK52" i="3"/>
  <c r="CK65" i="3" s="1"/>
  <c r="CJ52" i="3"/>
  <c r="CJ65" i="3" s="1"/>
  <c r="CH52" i="3"/>
  <c r="CH65" i="3" s="1"/>
  <c r="CE52" i="3"/>
  <c r="CE65" i="3" s="1"/>
  <c r="CC52" i="3"/>
  <c r="CC65" i="3" s="1"/>
  <c r="CB52" i="3"/>
  <c r="CA52" i="3"/>
  <c r="CA65" i="3" s="1"/>
  <c r="BZ52" i="3"/>
  <c r="BZ65" i="3" s="1"/>
  <c r="BY52" i="3"/>
  <c r="BY65" i="3" s="1"/>
  <c r="BX52" i="3"/>
  <c r="BX65" i="3" s="1"/>
  <c r="BW52" i="3"/>
  <c r="BW65" i="3" s="1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B83" i="3" s="1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O60" i="3" s="1"/>
  <c r="O5" i="3" s="1"/>
  <c r="N48" i="3"/>
  <c r="N60" i="3" s="1"/>
  <c r="N5" i="3" s="1"/>
  <c r="M48" i="3"/>
  <c r="M60" i="3" s="1"/>
  <c r="M5" i="3" s="1"/>
  <c r="L48" i="3"/>
  <c r="K48" i="3"/>
  <c r="J48" i="3"/>
  <c r="I48" i="3"/>
  <c r="H48" i="3"/>
  <c r="G48" i="3"/>
  <c r="F48" i="3"/>
  <c r="E48" i="3"/>
  <c r="D48" i="3"/>
  <c r="C48" i="3"/>
  <c r="B48" i="3"/>
  <c r="BF47" i="3"/>
  <c r="BE47" i="3"/>
  <c r="BD47" i="3"/>
  <c r="BC47" i="3"/>
  <c r="BB47" i="3"/>
  <c r="BA47" i="3"/>
  <c r="AZ47" i="3"/>
  <c r="AY47" i="3"/>
  <c r="CY52" i="3" s="1"/>
  <c r="CY65" i="3" s="1"/>
  <c r="AX47" i="3"/>
  <c r="CX52" i="3" s="1"/>
  <c r="CX65" i="3" s="1"/>
  <c r="AW47" i="3"/>
  <c r="AV47" i="3"/>
  <c r="CV52" i="3" s="1"/>
  <c r="CV65" i="3" s="1"/>
  <c r="AU47" i="3"/>
  <c r="AT47" i="3"/>
  <c r="CT52" i="3" s="1"/>
  <c r="CT65" i="3" s="1"/>
  <c r="AS47" i="3"/>
  <c r="AR47" i="3"/>
  <c r="CR52" i="3" s="1"/>
  <c r="AQ47" i="3"/>
  <c r="AP47" i="3"/>
  <c r="AO47" i="3"/>
  <c r="AN47" i="3"/>
  <c r="AM47" i="3"/>
  <c r="AL47" i="3"/>
  <c r="CL52" i="3" s="1"/>
  <c r="CL65" i="3" s="1"/>
  <c r="AK47" i="3"/>
  <c r="AJ47" i="3"/>
  <c r="AI47" i="3"/>
  <c r="CI52" i="3" s="1"/>
  <c r="CI65" i="3" s="1"/>
  <c r="AH47" i="3"/>
  <c r="AG47" i="3"/>
  <c r="CG52" i="3" s="1"/>
  <c r="CG65" i="3" s="1"/>
  <c r="AF47" i="3"/>
  <c r="CF52" i="3" s="1"/>
  <c r="CF65" i="3" s="1"/>
  <c r="AE47" i="3"/>
  <c r="AD47" i="3"/>
  <c r="CD52" i="3" s="1"/>
  <c r="CD65" i="3" s="1"/>
  <c r="CE43" i="3"/>
  <c r="CB43" i="3"/>
  <c r="AE43" i="3"/>
  <c r="P43" i="3"/>
  <c r="O43" i="3"/>
  <c r="N43" i="3"/>
  <c r="M43" i="3"/>
  <c r="L43" i="3"/>
  <c r="CJ43" i="3" s="1"/>
  <c r="K43" i="3"/>
  <c r="C43" i="3"/>
  <c r="CQ42" i="3"/>
  <c r="CE42" i="3"/>
  <c r="AC42" i="3"/>
  <c r="AA42" i="3"/>
  <c r="W42" i="3"/>
  <c r="S42" i="3"/>
  <c r="G42" i="3"/>
  <c r="B42" i="3"/>
  <c r="BZ42" i="3" s="1"/>
  <c r="CY41" i="3"/>
  <c r="CO41" i="3"/>
  <c r="CK41" i="3"/>
  <c r="CE41" i="3"/>
  <c r="CC41" i="3"/>
  <c r="BZ41" i="3"/>
  <c r="AE41" i="3"/>
  <c r="AE89" i="3" s="1"/>
  <c r="AC41" i="3"/>
  <c r="W41" i="3"/>
  <c r="U41" i="3"/>
  <c r="R41" i="3"/>
  <c r="J41" i="3"/>
  <c r="CH41" i="3" s="1"/>
  <c r="G41" i="3"/>
  <c r="G89" i="3" s="1"/>
  <c r="CY40" i="3"/>
  <c r="CW40" i="3"/>
  <c r="CJ40" i="3"/>
  <c r="CC40" i="3"/>
  <c r="CB40" i="3"/>
  <c r="Y40" i="3"/>
  <c r="W40" i="3"/>
  <c r="V40" i="3"/>
  <c r="T40" i="3"/>
  <c r="K40" i="3"/>
  <c r="CI40" i="3" s="1"/>
  <c r="I40" i="3"/>
  <c r="CG40" i="3" s="1"/>
  <c r="E40" i="3"/>
  <c r="C40" i="3"/>
  <c r="CY39" i="3"/>
  <c r="CI39" i="3"/>
  <c r="BV39" i="3"/>
  <c r="K39" i="3"/>
  <c r="K87" i="3" s="1"/>
  <c r="DC38" i="3"/>
  <c r="DB38" i="3"/>
  <c r="CZ38" i="3"/>
  <c r="CX38" i="3"/>
  <c r="AE38" i="3"/>
  <c r="AC38" i="3"/>
  <c r="AB38" i="3"/>
  <c r="Z38" i="3"/>
  <c r="D38" i="3"/>
  <c r="DC37" i="3"/>
  <c r="DB37" i="3"/>
  <c r="CW37" i="3"/>
  <c r="CU37" i="3"/>
  <c r="CT37" i="3"/>
  <c r="X37" i="3"/>
  <c r="S37" i="3"/>
  <c r="CQ37" i="3" s="1"/>
  <c r="Q37" i="3"/>
  <c r="CO37" i="3" s="1"/>
  <c r="L37" i="3"/>
  <c r="H37" i="3"/>
  <c r="F37" i="3"/>
  <c r="E37" i="3"/>
  <c r="CC37" i="3" s="1"/>
  <c r="C37" i="3"/>
  <c r="B37" i="3"/>
  <c r="BZ37" i="3" s="1"/>
  <c r="DD36" i="3"/>
  <c r="DB36" i="3"/>
  <c r="Z36" i="3"/>
  <c r="X36" i="3"/>
  <c r="V36" i="3"/>
  <c r="U36" i="3"/>
  <c r="T36" i="3"/>
  <c r="R36" i="3"/>
  <c r="P36" i="3"/>
  <c r="CS35" i="3"/>
  <c r="CP35" i="3"/>
  <c r="AF35" i="3"/>
  <c r="AD35" i="3"/>
  <c r="AB35" i="3"/>
  <c r="AA35" i="3"/>
  <c r="Z35" i="3"/>
  <c r="Y35" i="3"/>
  <c r="W35" i="3"/>
  <c r="CU35" i="3" s="1"/>
  <c r="Q35" i="3"/>
  <c r="CO35" i="3" s="1"/>
  <c r="CO34" i="3"/>
  <c r="CI34" i="3"/>
  <c r="CG34" i="3"/>
  <c r="CF34" i="3"/>
  <c r="CE34" i="3"/>
  <c r="CD34" i="3"/>
  <c r="CC34" i="3"/>
  <c r="AE34" i="3"/>
  <c r="I34" i="3"/>
  <c r="DD33" i="3"/>
  <c r="CH33" i="3"/>
  <c r="CB33" i="3"/>
  <c r="AC33" i="3"/>
  <c r="Z33" i="3"/>
  <c r="Y33" i="3"/>
  <c r="W33" i="3"/>
  <c r="I33" i="3"/>
  <c r="G33" i="3"/>
  <c r="CE33" i="3" s="1"/>
  <c r="CY32" i="3"/>
  <c r="CV32" i="3"/>
  <c r="CU32" i="3"/>
  <c r="CE32" i="3"/>
  <c r="M32" i="3"/>
  <c r="G32" i="3"/>
  <c r="C32" i="3"/>
  <c r="CA32" i="3" s="1"/>
  <c r="B32" i="3"/>
  <c r="BZ32" i="3" s="1"/>
  <c r="DK31" i="3"/>
  <c r="DH31" i="3"/>
  <c r="DG31" i="3"/>
  <c r="DF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DJ31" i="3" s="1"/>
  <c r="AK31" i="3"/>
  <c r="DI31" i="3" s="1"/>
  <c r="AJ31" i="3"/>
  <c r="AI31" i="3"/>
  <c r="AH31" i="3"/>
  <c r="AG31" i="3"/>
  <c r="DE31" i="3" s="1"/>
  <c r="AF31" i="3"/>
  <c r="DD31" i="3" s="1"/>
  <c r="AE31" i="3"/>
  <c r="DC31" i="3" s="1"/>
  <c r="AD31" i="3"/>
  <c r="AF27" i="3"/>
  <c r="AF43" i="3" s="1"/>
  <c r="AF91" i="3" s="1"/>
  <c r="AE27" i="3"/>
  <c r="AD27" i="3"/>
  <c r="AD43" i="3" s="1"/>
  <c r="AC27" i="3"/>
  <c r="AC43" i="3" s="1"/>
  <c r="AB27" i="3"/>
  <c r="AB43" i="3" s="1"/>
  <c r="AA27" i="3"/>
  <c r="AA43" i="3" s="1"/>
  <c r="Z27" i="3"/>
  <c r="Z43" i="3" s="1"/>
  <c r="Y27" i="3"/>
  <c r="Y43" i="3" s="1"/>
  <c r="X27" i="3"/>
  <c r="X43" i="3" s="1"/>
  <c r="W27" i="3"/>
  <c r="W43" i="3" s="1"/>
  <c r="V27" i="3"/>
  <c r="V43" i="3" s="1"/>
  <c r="CT43" i="3" s="1"/>
  <c r="U27" i="3"/>
  <c r="U43" i="3" s="1"/>
  <c r="CS43" i="3" s="1"/>
  <c r="T27" i="3"/>
  <c r="T43" i="3" s="1"/>
  <c r="S27" i="3"/>
  <c r="S43" i="3" s="1"/>
  <c r="R27" i="3"/>
  <c r="R43" i="3" s="1"/>
  <c r="Q27" i="3"/>
  <c r="Q43" i="3" s="1"/>
  <c r="P27" i="3"/>
  <c r="O27" i="3"/>
  <c r="N27" i="3"/>
  <c r="M27" i="3"/>
  <c r="L27" i="3"/>
  <c r="K27" i="3"/>
  <c r="J27" i="3"/>
  <c r="J43" i="3" s="1"/>
  <c r="I27" i="3"/>
  <c r="I43" i="3" s="1"/>
  <c r="CG43" i="3" s="1"/>
  <c r="H27" i="3"/>
  <c r="H43" i="3" s="1"/>
  <c r="CF43" i="3" s="1"/>
  <c r="G27" i="3"/>
  <c r="G43" i="3" s="1"/>
  <c r="G91" i="3" s="1"/>
  <c r="F27" i="3"/>
  <c r="F43" i="3" s="1"/>
  <c r="CD43" i="3" s="1"/>
  <c r="E27" i="3"/>
  <c r="E43" i="3" s="1"/>
  <c r="D27" i="3"/>
  <c r="D43" i="3" s="1"/>
  <c r="D91" i="3" s="1"/>
  <c r="C27" i="3"/>
  <c r="B27" i="3"/>
  <c r="B43" i="3" s="1"/>
  <c r="BZ43" i="3" s="1"/>
  <c r="AF26" i="3"/>
  <c r="AF42" i="3" s="1"/>
  <c r="DD42" i="3" s="1"/>
  <c r="AE26" i="3"/>
  <c r="AE42" i="3" s="1"/>
  <c r="AD26" i="3"/>
  <c r="AD42" i="3" s="1"/>
  <c r="AC26" i="3"/>
  <c r="AB26" i="3"/>
  <c r="AB42" i="3" s="1"/>
  <c r="AA26" i="3"/>
  <c r="Z26" i="3"/>
  <c r="Z42" i="3" s="1"/>
  <c r="Y26" i="3"/>
  <c r="Y42" i="3" s="1"/>
  <c r="CW42" i="3" s="1"/>
  <c r="X26" i="3"/>
  <c r="X42" i="3" s="1"/>
  <c r="W26" i="3"/>
  <c r="V26" i="3"/>
  <c r="V42" i="3" s="1"/>
  <c r="U26" i="3"/>
  <c r="U42" i="3" s="1"/>
  <c r="CS42" i="3" s="1"/>
  <c r="T26" i="3"/>
  <c r="T42" i="3" s="1"/>
  <c r="S26" i="3"/>
  <c r="R26" i="3"/>
  <c r="R42" i="3" s="1"/>
  <c r="CP42" i="3" s="1"/>
  <c r="Q26" i="3"/>
  <c r="Q42" i="3" s="1"/>
  <c r="CO42" i="3" s="1"/>
  <c r="P26" i="3"/>
  <c r="P42" i="3" s="1"/>
  <c r="O26" i="3"/>
  <c r="O42" i="3" s="1"/>
  <c r="CM42" i="3" s="1"/>
  <c r="N26" i="3"/>
  <c r="N42" i="3" s="1"/>
  <c r="CL42" i="3" s="1"/>
  <c r="M26" i="3"/>
  <c r="M42" i="3" s="1"/>
  <c r="CK42" i="3" s="1"/>
  <c r="L26" i="3"/>
  <c r="L42" i="3" s="1"/>
  <c r="CJ42" i="3" s="1"/>
  <c r="K26" i="3"/>
  <c r="K42" i="3" s="1"/>
  <c r="CI42" i="3" s="1"/>
  <c r="J26" i="3"/>
  <c r="J42" i="3" s="1"/>
  <c r="I26" i="3"/>
  <c r="I42" i="3" s="1"/>
  <c r="H26" i="3"/>
  <c r="H42" i="3" s="1"/>
  <c r="G26" i="3"/>
  <c r="F26" i="3"/>
  <c r="F42" i="3" s="1"/>
  <c r="E26" i="3"/>
  <c r="E42" i="3" s="1"/>
  <c r="D26" i="3"/>
  <c r="D42" i="3" s="1"/>
  <c r="C26" i="3"/>
  <c r="C42" i="3" s="1"/>
  <c r="B26" i="3"/>
  <c r="AF25" i="3"/>
  <c r="AF41" i="3" s="1"/>
  <c r="AE25" i="3"/>
  <c r="AD25" i="3"/>
  <c r="AD41" i="3" s="1"/>
  <c r="AC25" i="3"/>
  <c r="AB25" i="3"/>
  <c r="AB41" i="3" s="1"/>
  <c r="AA25" i="3"/>
  <c r="AA41" i="3" s="1"/>
  <c r="Z25" i="3"/>
  <c r="Z41" i="3" s="1"/>
  <c r="Y25" i="3"/>
  <c r="Y41" i="3" s="1"/>
  <c r="X25" i="3"/>
  <c r="X41" i="3" s="1"/>
  <c r="W25" i="3"/>
  <c r="V25" i="3"/>
  <c r="V41" i="3" s="1"/>
  <c r="CT41" i="3" s="1"/>
  <c r="U25" i="3"/>
  <c r="T25" i="3"/>
  <c r="T41" i="3" s="1"/>
  <c r="CR41" i="3" s="1"/>
  <c r="S25" i="3"/>
  <c r="S41" i="3" s="1"/>
  <c r="S89" i="3" s="1"/>
  <c r="R25" i="3"/>
  <c r="Q25" i="3"/>
  <c r="Q41" i="3" s="1"/>
  <c r="P25" i="3"/>
  <c r="P41" i="3" s="1"/>
  <c r="O25" i="3"/>
  <c r="O41" i="3" s="1"/>
  <c r="N25" i="3"/>
  <c r="N41" i="3" s="1"/>
  <c r="M25" i="3"/>
  <c r="M41" i="3" s="1"/>
  <c r="L25" i="3"/>
  <c r="L41" i="3" s="1"/>
  <c r="K25" i="3"/>
  <c r="K41" i="3" s="1"/>
  <c r="J25" i="3"/>
  <c r="I25" i="3"/>
  <c r="I41" i="3" s="1"/>
  <c r="H25" i="3"/>
  <c r="H41" i="3" s="1"/>
  <c r="G25" i="3"/>
  <c r="F25" i="3"/>
  <c r="F41" i="3" s="1"/>
  <c r="CD41" i="3" s="1"/>
  <c r="E25" i="3"/>
  <c r="E41" i="3" s="1"/>
  <c r="D25" i="3"/>
  <c r="D41" i="3" s="1"/>
  <c r="CB41" i="3" s="1"/>
  <c r="C25" i="3"/>
  <c r="C41" i="3" s="1"/>
  <c r="CA41" i="3" s="1"/>
  <c r="B25" i="3"/>
  <c r="B41" i="3" s="1"/>
  <c r="AF24" i="3"/>
  <c r="AF40" i="3" s="1"/>
  <c r="AE24" i="3"/>
  <c r="AE40" i="3" s="1"/>
  <c r="AD24" i="3"/>
  <c r="AD40" i="3" s="1"/>
  <c r="AC24" i="3"/>
  <c r="AC40" i="3" s="1"/>
  <c r="AB24" i="3"/>
  <c r="AB40" i="3" s="1"/>
  <c r="AA24" i="3"/>
  <c r="AA40" i="3" s="1"/>
  <c r="Z24" i="3"/>
  <c r="Z40" i="3" s="1"/>
  <c r="CX40" i="3" s="1"/>
  <c r="Y24" i="3"/>
  <c r="X24" i="3"/>
  <c r="X40" i="3" s="1"/>
  <c r="W24" i="3"/>
  <c r="V24" i="3"/>
  <c r="U24" i="3"/>
  <c r="U40" i="3" s="1"/>
  <c r="T24" i="3"/>
  <c r="S24" i="3"/>
  <c r="S40" i="3" s="1"/>
  <c r="CQ40" i="3" s="1"/>
  <c r="R24" i="3"/>
  <c r="R40" i="3" s="1"/>
  <c r="CP40" i="3" s="1"/>
  <c r="Q24" i="3"/>
  <c r="Q40" i="3" s="1"/>
  <c r="P24" i="3"/>
  <c r="P40" i="3" s="1"/>
  <c r="CN40" i="3" s="1"/>
  <c r="O24" i="3"/>
  <c r="O40" i="3" s="1"/>
  <c r="CM40" i="3" s="1"/>
  <c r="N24" i="3"/>
  <c r="N40" i="3" s="1"/>
  <c r="M24" i="3"/>
  <c r="M40" i="3" s="1"/>
  <c r="CK40" i="3" s="1"/>
  <c r="L24" i="3"/>
  <c r="L40" i="3" s="1"/>
  <c r="L88" i="3" s="1"/>
  <c r="K24" i="3"/>
  <c r="J24" i="3"/>
  <c r="J40" i="3" s="1"/>
  <c r="CH40" i="3" s="1"/>
  <c r="I24" i="3"/>
  <c r="H24" i="3"/>
  <c r="H40" i="3" s="1"/>
  <c r="CF40" i="3" s="1"/>
  <c r="G24" i="3"/>
  <c r="G40" i="3" s="1"/>
  <c r="CE40" i="3" s="1"/>
  <c r="F24" i="3"/>
  <c r="F40" i="3" s="1"/>
  <c r="CD40" i="3" s="1"/>
  <c r="E24" i="3"/>
  <c r="D24" i="3"/>
  <c r="D40" i="3" s="1"/>
  <c r="D88" i="3" s="1"/>
  <c r="C24" i="3"/>
  <c r="B24" i="3"/>
  <c r="B40" i="3" s="1"/>
  <c r="AF23" i="3"/>
  <c r="AF39" i="3" s="1"/>
  <c r="AE23" i="3"/>
  <c r="AE39" i="3" s="1"/>
  <c r="AD23" i="3"/>
  <c r="AD39" i="3" s="1"/>
  <c r="AC23" i="3"/>
  <c r="AC39" i="3" s="1"/>
  <c r="AB23" i="3"/>
  <c r="AB39" i="3" s="1"/>
  <c r="AA23" i="3"/>
  <c r="AA39" i="3" s="1"/>
  <c r="Z23" i="3"/>
  <c r="Z39" i="3" s="1"/>
  <c r="Y23" i="3"/>
  <c r="Y39" i="3" s="1"/>
  <c r="X23" i="3"/>
  <c r="X39" i="3" s="1"/>
  <c r="W23" i="3"/>
  <c r="W39" i="3" s="1"/>
  <c r="V23" i="3"/>
  <c r="V39" i="3" s="1"/>
  <c r="CT39" i="3" s="1"/>
  <c r="U23" i="3"/>
  <c r="U39" i="3" s="1"/>
  <c r="T23" i="3"/>
  <c r="T39" i="3" s="1"/>
  <c r="CR39" i="3" s="1"/>
  <c r="S23" i="3"/>
  <c r="S39" i="3" s="1"/>
  <c r="CQ39" i="3" s="1"/>
  <c r="R23" i="3"/>
  <c r="R39" i="3" s="1"/>
  <c r="R87" i="3" s="1"/>
  <c r="Q23" i="3"/>
  <c r="Q39" i="3" s="1"/>
  <c r="Q87" i="3" s="1"/>
  <c r="P23" i="3"/>
  <c r="P39" i="3" s="1"/>
  <c r="O23" i="3"/>
  <c r="O39" i="3" s="1"/>
  <c r="N23" i="3"/>
  <c r="N39" i="3" s="1"/>
  <c r="M23" i="3"/>
  <c r="M39" i="3" s="1"/>
  <c r="L23" i="3"/>
  <c r="L39" i="3" s="1"/>
  <c r="K23" i="3"/>
  <c r="J23" i="3"/>
  <c r="J39" i="3" s="1"/>
  <c r="I23" i="3"/>
  <c r="I39" i="3" s="1"/>
  <c r="H23" i="3"/>
  <c r="H39" i="3" s="1"/>
  <c r="G23" i="3"/>
  <c r="G39" i="3" s="1"/>
  <c r="F23" i="3"/>
  <c r="F39" i="3" s="1"/>
  <c r="E23" i="3"/>
  <c r="E39" i="3" s="1"/>
  <c r="D23" i="3"/>
  <c r="D39" i="3" s="1"/>
  <c r="C23" i="3"/>
  <c r="C39" i="3" s="1"/>
  <c r="B23" i="3"/>
  <c r="B39" i="3" s="1"/>
  <c r="BZ39" i="3" s="1"/>
  <c r="AF22" i="3"/>
  <c r="AF38" i="3" s="1"/>
  <c r="BV38" i="3" s="1"/>
  <c r="AE22" i="3"/>
  <c r="AD22" i="3"/>
  <c r="AD38" i="3" s="1"/>
  <c r="AC22" i="3"/>
  <c r="AB22" i="3"/>
  <c r="AA22" i="3"/>
  <c r="AA38" i="3" s="1"/>
  <c r="Z22" i="3"/>
  <c r="Y22" i="3"/>
  <c r="Y38" i="3" s="1"/>
  <c r="Y86" i="3" s="1"/>
  <c r="X22" i="3"/>
  <c r="X38" i="3" s="1"/>
  <c r="W22" i="3"/>
  <c r="W38" i="3" s="1"/>
  <c r="V22" i="3"/>
  <c r="V38" i="3" s="1"/>
  <c r="U22" i="3"/>
  <c r="U38" i="3" s="1"/>
  <c r="U86" i="3" s="1"/>
  <c r="T22" i="3"/>
  <c r="T38" i="3" s="1"/>
  <c r="S22" i="3"/>
  <c r="S38" i="3" s="1"/>
  <c r="R22" i="3"/>
  <c r="R38" i="3" s="1"/>
  <c r="Q22" i="3"/>
  <c r="Q38" i="3" s="1"/>
  <c r="P22" i="3"/>
  <c r="P38" i="3" s="1"/>
  <c r="O22" i="3"/>
  <c r="N22" i="3"/>
  <c r="N38" i="3" s="1"/>
  <c r="M22" i="3"/>
  <c r="M38" i="3" s="1"/>
  <c r="L22" i="3"/>
  <c r="L38" i="3" s="1"/>
  <c r="K22" i="3"/>
  <c r="K38" i="3" s="1"/>
  <c r="CI38" i="3" s="1"/>
  <c r="J22" i="3"/>
  <c r="J38" i="3" s="1"/>
  <c r="J86" i="3" s="1"/>
  <c r="I22" i="3"/>
  <c r="I38" i="3" s="1"/>
  <c r="CG38" i="3" s="1"/>
  <c r="H22" i="3"/>
  <c r="H38" i="3" s="1"/>
  <c r="CF38" i="3" s="1"/>
  <c r="G22" i="3"/>
  <c r="G38" i="3" s="1"/>
  <c r="CE38" i="3" s="1"/>
  <c r="F22" i="3"/>
  <c r="F38" i="3" s="1"/>
  <c r="CD38" i="3" s="1"/>
  <c r="E22" i="3"/>
  <c r="E38" i="3" s="1"/>
  <c r="CC38" i="3" s="1"/>
  <c r="D22" i="3"/>
  <c r="C22" i="3"/>
  <c r="C38" i="3" s="1"/>
  <c r="CA38" i="3" s="1"/>
  <c r="B22" i="3"/>
  <c r="B38" i="3" s="1"/>
  <c r="AF21" i="3"/>
  <c r="AF37" i="3" s="1"/>
  <c r="AE21" i="3"/>
  <c r="AE37" i="3" s="1"/>
  <c r="AD21" i="3"/>
  <c r="AD37" i="3" s="1"/>
  <c r="AC21" i="3"/>
  <c r="AC37" i="3" s="1"/>
  <c r="AB21" i="3"/>
  <c r="AB37" i="3" s="1"/>
  <c r="AB85" i="3" s="1"/>
  <c r="AA21" i="3"/>
  <c r="AA37" i="3" s="1"/>
  <c r="Z21" i="3"/>
  <c r="Z37" i="3" s="1"/>
  <c r="Y21" i="3"/>
  <c r="Y37" i="3" s="1"/>
  <c r="Y85" i="3" s="1"/>
  <c r="X21" i="3"/>
  <c r="W21" i="3"/>
  <c r="W37" i="3" s="1"/>
  <c r="V21" i="3"/>
  <c r="V37" i="3" s="1"/>
  <c r="U21" i="3"/>
  <c r="U37" i="3" s="1"/>
  <c r="CS37" i="3" s="1"/>
  <c r="T21" i="3"/>
  <c r="T37" i="3" s="1"/>
  <c r="CR37" i="3" s="1"/>
  <c r="S21" i="3"/>
  <c r="R21" i="3"/>
  <c r="R37" i="3" s="1"/>
  <c r="Q21" i="3"/>
  <c r="P21" i="3"/>
  <c r="O21" i="3"/>
  <c r="O37" i="3" s="1"/>
  <c r="CM37" i="3" s="1"/>
  <c r="N21" i="3"/>
  <c r="N37" i="3" s="1"/>
  <c r="CL37" i="3" s="1"/>
  <c r="M21" i="3"/>
  <c r="M37" i="3" s="1"/>
  <c r="L21" i="3"/>
  <c r="K21" i="3"/>
  <c r="K37" i="3" s="1"/>
  <c r="J21" i="3"/>
  <c r="J37" i="3" s="1"/>
  <c r="I21" i="3"/>
  <c r="I37" i="3" s="1"/>
  <c r="H21" i="3"/>
  <c r="G21" i="3"/>
  <c r="G37" i="3" s="1"/>
  <c r="F21" i="3"/>
  <c r="E21" i="3"/>
  <c r="D21" i="3"/>
  <c r="D37" i="3" s="1"/>
  <c r="C21" i="3"/>
  <c r="B21" i="3"/>
  <c r="AG20" i="3"/>
  <c r="AG36" i="3" s="1"/>
  <c r="DE36" i="3" s="1"/>
  <c r="AF20" i="3"/>
  <c r="AF36" i="3" s="1"/>
  <c r="BV36" i="3" s="1"/>
  <c r="AE20" i="3"/>
  <c r="AE36" i="3" s="1"/>
  <c r="AD20" i="3"/>
  <c r="AD36" i="3" s="1"/>
  <c r="AC20" i="3"/>
  <c r="AC36" i="3" s="1"/>
  <c r="DA36" i="3" s="1"/>
  <c r="AB20" i="3"/>
  <c r="AB36" i="3" s="1"/>
  <c r="AA20" i="3"/>
  <c r="AA36" i="3" s="1"/>
  <c r="Z20" i="3"/>
  <c r="Y20" i="3"/>
  <c r="Y36" i="3" s="1"/>
  <c r="X20" i="3"/>
  <c r="W20" i="3"/>
  <c r="W36" i="3" s="1"/>
  <c r="V20" i="3"/>
  <c r="U20" i="3"/>
  <c r="T20" i="3"/>
  <c r="S20" i="3"/>
  <c r="S36" i="3" s="1"/>
  <c r="R20" i="3"/>
  <c r="R28" i="3" s="1"/>
  <c r="Q20" i="3"/>
  <c r="P20" i="3"/>
  <c r="O20" i="3"/>
  <c r="O36" i="3" s="1"/>
  <c r="N20" i="3"/>
  <c r="N36" i="3" s="1"/>
  <c r="CL36" i="3" s="1"/>
  <c r="M20" i="3"/>
  <c r="M36" i="3" s="1"/>
  <c r="CK36" i="3" s="1"/>
  <c r="L20" i="3"/>
  <c r="L36" i="3" s="1"/>
  <c r="CJ36" i="3" s="1"/>
  <c r="K20" i="3"/>
  <c r="K36" i="3" s="1"/>
  <c r="J20" i="3"/>
  <c r="J36" i="3" s="1"/>
  <c r="CH36" i="3" s="1"/>
  <c r="I20" i="3"/>
  <c r="I36" i="3" s="1"/>
  <c r="H20" i="3"/>
  <c r="H36" i="3" s="1"/>
  <c r="H84" i="3" s="1"/>
  <c r="G20" i="3"/>
  <c r="G36" i="3" s="1"/>
  <c r="F20" i="3"/>
  <c r="F36" i="3" s="1"/>
  <c r="CD36" i="3" s="1"/>
  <c r="E20" i="3"/>
  <c r="E36" i="3" s="1"/>
  <c r="CC36" i="3" s="1"/>
  <c r="D20" i="3"/>
  <c r="D36" i="3" s="1"/>
  <c r="C20" i="3"/>
  <c r="C36" i="3" s="1"/>
  <c r="C84" i="3" s="1"/>
  <c r="B20" i="3"/>
  <c r="B36" i="3" s="1"/>
  <c r="AG19" i="3"/>
  <c r="AG35" i="3" s="1"/>
  <c r="AF19" i="3"/>
  <c r="AE19" i="3"/>
  <c r="AE35" i="3" s="1"/>
  <c r="AD19" i="3"/>
  <c r="AC19" i="3"/>
  <c r="AC35" i="3" s="1"/>
  <c r="AB19" i="3"/>
  <c r="AA19" i="3"/>
  <c r="Z19" i="3"/>
  <c r="Y19" i="3"/>
  <c r="X19" i="3"/>
  <c r="X35" i="3" s="1"/>
  <c r="W19" i="3"/>
  <c r="V19" i="3"/>
  <c r="V35" i="3" s="1"/>
  <c r="CT35" i="3" s="1"/>
  <c r="U19" i="3"/>
  <c r="U35" i="3" s="1"/>
  <c r="T19" i="3"/>
  <c r="T35" i="3" s="1"/>
  <c r="CR35" i="3" s="1"/>
  <c r="S19" i="3"/>
  <c r="S35" i="3" s="1"/>
  <c r="CQ35" i="3" s="1"/>
  <c r="R19" i="3"/>
  <c r="R35" i="3" s="1"/>
  <c r="Q19" i="3"/>
  <c r="P19" i="3"/>
  <c r="P35" i="3" s="1"/>
  <c r="CN35" i="3" s="1"/>
  <c r="O19" i="3"/>
  <c r="O35" i="3" s="1"/>
  <c r="CM35" i="3" s="1"/>
  <c r="N19" i="3"/>
  <c r="N35" i="3" s="1"/>
  <c r="M19" i="3"/>
  <c r="M35" i="3" s="1"/>
  <c r="L19" i="3"/>
  <c r="L35" i="3" s="1"/>
  <c r="L83" i="3" s="1"/>
  <c r="K19" i="3"/>
  <c r="K35" i="3" s="1"/>
  <c r="K83" i="3" s="1"/>
  <c r="J19" i="3"/>
  <c r="J35" i="3" s="1"/>
  <c r="J83" i="3" s="1"/>
  <c r="I19" i="3"/>
  <c r="I35" i="3" s="1"/>
  <c r="H19" i="3"/>
  <c r="H35" i="3" s="1"/>
  <c r="G19" i="3"/>
  <c r="G35" i="3" s="1"/>
  <c r="F19" i="3"/>
  <c r="F35" i="3" s="1"/>
  <c r="F83" i="3" s="1"/>
  <c r="E19" i="3"/>
  <c r="E35" i="3" s="1"/>
  <c r="D19" i="3"/>
  <c r="D35" i="3" s="1"/>
  <c r="CB35" i="3" s="1"/>
  <c r="C19" i="3"/>
  <c r="C35" i="3" s="1"/>
  <c r="CA35" i="3" s="1"/>
  <c r="B19" i="3"/>
  <c r="B35" i="3" s="1"/>
  <c r="BZ35" i="3" s="1"/>
  <c r="AG18" i="3"/>
  <c r="AG34" i="3" s="1"/>
  <c r="AF18" i="3"/>
  <c r="AF34" i="3" s="1"/>
  <c r="AE18" i="3"/>
  <c r="AD18" i="3"/>
  <c r="AD34" i="3" s="1"/>
  <c r="DB34" i="3" s="1"/>
  <c r="AC18" i="3"/>
  <c r="AC34" i="3" s="1"/>
  <c r="AB18" i="3"/>
  <c r="AB34" i="3" s="1"/>
  <c r="AA18" i="3"/>
  <c r="AA34" i="3" s="1"/>
  <c r="Z18" i="3"/>
  <c r="Z34" i="3" s="1"/>
  <c r="Y18" i="3"/>
  <c r="Y34" i="3" s="1"/>
  <c r="X18" i="3"/>
  <c r="W18" i="3"/>
  <c r="V18" i="3"/>
  <c r="U18" i="3"/>
  <c r="U34" i="3" s="1"/>
  <c r="T18" i="3"/>
  <c r="T34" i="3" s="1"/>
  <c r="S18" i="3"/>
  <c r="S34" i="3" s="1"/>
  <c r="CQ34" i="3" s="1"/>
  <c r="R18" i="3"/>
  <c r="R34" i="3" s="1"/>
  <c r="Q18" i="3"/>
  <c r="Q34" i="3" s="1"/>
  <c r="P18" i="3"/>
  <c r="P34" i="3" s="1"/>
  <c r="CN34" i="3" s="1"/>
  <c r="O18" i="3"/>
  <c r="O34" i="3" s="1"/>
  <c r="N18" i="3"/>
  <c r="N34" i="3" s="1"/>
  <c r="M18" i="3"/>
  <c r="M34" i="3" s="1"/>
  <c r="L18" i="3"/>
  <c r="L34" i="3" s="1"/>
  <c r="CJ34" i="3" s="1"/>
  <c r="K18" i="3"/>
  <c r="K34" i="3" s="1"/>
  <c r="K82" i="3" s="1"/>
  <c r="J18" i="3"/>
  <c r="J34" i="3" s="1"/>
  <c r="CH34" i="3" s="1"/>
  <c r="I18" i="3"/>
  <c r="H18" i="3"/>
  <c r="H34" i="3" s="1"/>
  <c r="G18" i="3"/>
  <c r="G34" i="3" s="1"/>
  <c r="F18" i="3"/>
  <c r="F34" i="3" s="1"/>
  <c r="E18" i="3"/>
  <c r="E34" i="3" s="1"/>
  <c r="D18" i="3"/>
  <c r="D34" i="3" s="1"/>
  <c r="D82" i="3" s="1"/>
  <c r="C18" i="3"/>
  <c r="C34" i="3" s="1"/>
  <c r="B18" i="3"/>
  <c r="B34" i="3" s="1"/>
  <c r="AG17" i="3"/>
  <c r="AG33" i="3" s="1"/>
  <c r="AF17" i="3"/>
  <c r="AF33" i="3" s="1"/>
  <c r="AE17" i="3"/>
  <c r="AE33" i="3" s="1"/>
  <c r="AD17" i="3"/>
  <c r="AD33" i="3" s="1"/>
  <c r="AC17" i="3"/>
  <c r="AB17" i="3"/>
  <c r="AB33" i="3" s="1"/>
  <c r="AA17" i="3"/>
  <c r="AA33" i="3" s="1"/>
  <c r="Z17" i="3"/>
  <c r="Y17" i="3"/>
  <c r="X17" i="3"/>
  <c r="X33" i="3" s="1"/>
  <c r="W17" i="3"/>
  <c r="V17" i="3"/>
  <c r="V33" i="3" s="1"/>
  <c r="CT33" i="3" s="1"/>
  <c r="U17" i="3"/>
  <c r="U33" i="3" s="1"/>
  <c r="CS33" i="3" s="1"/>
  <c r="T17" i="3"/>
  <c r="T33" i="3" s="1"/>
  <c r="CR33" i="3" s="1"/>
  <c r="S17" i="3"/>
  <c r="S33" i="3" s="1"/>
  <c r="CQ33" i="3" s="1"/>
  <c r="R17" i="3"/>
  <c r="R33" i="3" s="1"/>
  <c r="Q17" i="3"/>
  <c r="Q33" i="3" s="1"/>
  <c r="P17" i="3"/>
  <c r="P33" i="3" s="1"/>
  <c r="O17" i="3"/>
  <c r="O33" i="3" s="1"/>
  <c r="N17" i="3"/>
  <c r="N33" i="3" s="1"/>
  <c r="M17" i="3"/>
  <c r="M33" i="3" s="1"/>
  <c r="L17" i="3"/>
  <c r="L33" i="3" s="1"/>
  <c r="K17" i="3"/>
  <c r="K33" i="3" s="1"/>
  <c r="J17" i="3"/>
  <c r="J33" i="3" s="1"/>
  <c r="I17" i="3"/>
  <c r="H17" i="3"/>
  <c r="H33" i="3" s="1"/>
  <c r="CF33" i="3" s="1"/>
  <c r="G17" i="3"/>
  <c r="F17" i="3"/>
  <c r="F33" i="3" s="1"/>
  <c r="E17" i="3"/>
  <c r="E33" i="3" s="1"/>
  <c r="CC33" i="3" s="1"/>
  <c r="D17" i="3"/>
  <c r="D33" i="3" s="1"/>
  <c r="C17" i="3"/>
  <c r="C33" i="3" s="1"/>
  <c r="CA33" i="3" s="1"/>
  <c r="B17" i="3"/>
  <c r="B33" i="3" s="1"/>
  <c r="BZ33" i="3" s="1"/>
  <c r="AG16" i="3"/>
  <c r="AF16" i="3"/>
  <c r="AE16" i="3"/>
  <c r="AD16" i="3"/>
  <c r="AC16" i="3"/>
  <c r="AB16" i="3"/>
  <c r="AA16" i="3"/>
  <c r="AA32" i="3" s="1"/>
  <c r="Z16" i="3"/>
  <c r="Z32" i="3" s="1"/>
  <c r="Y16" i="3"/>
  <c r="X16" i="3"/>
  <c r="X32" i="3" s="1"/>
  <c r="W16" i="3"/>
  <c r="W32" i="3" s="1"/>
  <c r="V16" i="3"/>
  <c r="V32" i="3" s="1"/>
  <c r="U16" i="3"/>
  <c r="T16" i="3"/>
  <c r="S16" i="3"/>
  <c r="R16" i="3"/>
  <c r="R32" i="3" s="1"/>
  <c r="Q16" i="3"/>
  <c r="Q32" i="3" s="1"/>
  <c r="P16" i="3"/>
  <c r="P32" i="3" s="1"/>
  <c r="O16" i="3"/>
  <c r="O32" i="3" s="1"/>
  <c r="N16" i="3"/>
  <c r="N32" i="3" s="1"/>
  <c r="M16" i="3"/>
  <c r="L16" i="3"/>
  <c r="K16" i="3"/>
  <c r="K28" i="3" s="1"/>
  <c r="J16" i="3"/>
  <c r="I16" i="3"/>
  <c r="H16" i="3"/>
  <c r="G16" i="3"/>
  <c r="G28" i="3" s="1"/>
  <c r="F16" i="3"/>
  <c r="E16" i="3"/>
  <c r="D16" i="3"/>
  <c r="D32" i="3" s="1"/>
  <c r="C16" i="3"/>
  <c r="B16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Z12" i="3"/>
  <c r="Y12" i="3"/>
  <c r="AF10" i="3"/>
  <c r="AG3" i="3" s="1"/>
  <c r="AE10" i="3"/>
  <c r="AF3" i="3" s="1"/>
  <c r="AD10" i="3"/>
  <c r="AE3" i="3" s="1"/>
  <c r="AC10" i="3"/>
  <c r="AD3" i="3" s="1"/>
  <c r="AB10" i="3"/>
  <c r="AC3" i="3" s="1"/>
  <c r="AA10" i="3"/>
  <c r="AB3" i="3" s="1"/>
  <c r="Z10" i="3"/>
  <c r="AA3" i="3" s="1"/>
  <c r="Y10" i="3"/>
  <c r="X10" i="3"/>
  <c r="W10" i="3"/>
  <c r="V10" i="3"/>
  <c r="U10" i="3"/>
  <c r="T10" i="3"/>
  <c r="U3" i="3" s="1"/>
  <c r="S10" i="3"/>
  <c r="T3" i="3" s="1"/>
  <c r="R10" i="3"/>
  <c r="S3" i="3" s="1"/>
  <c r="Q10" i="3"/>
  <c r="R3" i="3" s="1"/>
  <c r="P10" i="3"/>
  <c r="Q3" i="3" s="1"/>
  <c r="N10" i="3"/>
  <c r="O3" i="3" s="1"/>
  <c r="L10" i="3"/>
  <c r="K10" i="3"/>
  <c r="J10" i="3"/>
  <c r="K3" i="3" s="1"/>
  <c r="I10" i="3"/>
  <c r="H10" i="3"/>
  <c r="G10" i="3"/>
  <c r="F10" i="3"/>
  <c r="E10" i="3"/>
  <c r="D10" i="3"/>
  <c r="C10" i="3"/>
  <c r="B10" i="3"/>
  <c r="AG8" i="3"/>
  <c r="AC8" i="3"/>
  <c r="H8" i="3"/>
  <c r="G8" i="3"/>
  <c r="F8" i="3"/>
  <c r="AI7" i="3"/>
  <c r="AI92" i="3" s="1"/>
  <c r="AH7" i="3"/>
  <c r="AH92" i="3" s="1"/>
  <c r="AG5" i="3"/>
  <c r="AG60" i="3" s="1"/>
  <c r="Z3" i="3"/>
  <c r="Y3" i="3"/>
  <c r="X3" i="3"/>
  <c r="W3" i="3"/>
  <c r="V3" i="3"/>
  <c r="M3" i="3"/>
  <c r="L3" i="3"/>
  <c r="J3" i="3"/>
  <c r="I3" i="3"/>
  <c r="H3" i="3"/>
  <c r="G3" i="3"/>
  <c r="F3" i="3"/>
  <c r="E3" i="3"/>
  <c r="D3" i="3"/>
  <c r="C3" i="3"/>
  <c r="B3" i="3"/>
  <c r="J151" i="2"/>
  <c r="J122" i="2" s="1"/>
  <c r="I151" i="2"/>
  <c r="I122" i="2" s="1"/>
  <c r="H151" i="2"/>
  <c r="G151" i="2"/>
  <c r="E151" i="2"/>
  <c r="D151" i="2"/>
  <c r="C150" i="2"/>
  <c r="C121" i="2" s="1"/>
  <c r="I149" i="2"/>
  <c r="I117" i="2" s="1"/>
  <c r="H149" i="2"/>
  <c r="H117" i="2" s="1"/>
  <c r="G149" i="2"/>
  <c r="G117" i="2" s="1"/>
  <c r="F149" i="2"/>
  <c r="F117" i="2" s="1"/>
  <c r="E149" i="2"/>
  <c r="E117" i="2" s="1"/>
  <c r="D149" i="2"/>
  <c r="D117" i="2" s="1"/>
  <c r="C149" i="2"/>
  <c r="B149" i="2"/>
  <c r="B148" i="2"/>
  <c r="J145" i="2"/>
  <c r="I145" i="2"/>
  <c r="H145" i="2"/>
  <c r="G145" i="2"/>
  <c r="F145" i="2"/>
  <c r="E145" i="2"/>
  <c r="D145" i="2"/>
  <c r="C145" i="2"/>
  <c r="B145" i="2"/>
  <c r="J144" i="2"/>
  <c r="I144" i="2"/>
  <c r="H144" i="2"/>
  <c r="G144" i="2"/>
  <c r="F144" i="2"/>
  <c r="E144" i="2"/>
  <c r="D144" i="2"/>
  <c r="C144" i="2"/>
  <c r="B144" i="2"/>
  <c r="R141" i="2"/>
  <c r="R140" i="2"/>
  <c r="B139" i="2"/>
  <c r="J135" i="2"/>
  <c r="J152" i="2" s="1"/>
  <c r="I135" i="2"/>
  <c r="I152" i="2" s="1"/>
  <c r="H135" i="2"/>
  <c r="H152" i="2" s="1"/>
  <c r="G135" i="2"/>
  <c r="G152" i="2" s="1"/>
  <c r="F135" i="2"/>
  <c r="F152" i="2" s="1"/>
  <c r="E135" i="2"/>
  <c r="E152" i="2" s="1"/>
  <c r="E125" i="2" s="1"/>
  <c r="D135" i="2"/>
  <c r="D152" i="2" s="1"/>
  <c r="C135" i="2"/>
  <c r="C152" i="2" s="1"/>
  <c r="B135" i="2"/>
  <c r="B152" i="2" s="1"/>
  <c r="J134" i="2"/>
  <c r="I134" i="2"/>
  <c r="H134" i="2"/>
  <c r="G134" i="2"/>
  <c r="F134" i="2"/>
  <c r="F151" i="2" s="1"/>
  <c r="E134" i="2"/>
  <c r="D134" i="2"/>
  <c r="C134" i="2"/>
  <c r="C151" i="2" s="1"/>
  <c r="B134" i="2"/>
  <c r="B151" i="2" s="1"/>
  <c r="J133" i="2"/>
  <c r="J150" i="2" s="1"/>
  <c r="I133" i="2"/>
  <c r="I150" i="2" s="1"/>
  <c r="H133" i="2"/>
  <c r="H150" i="2" s="1"/>
  <c r="G133" i="2"/>
  <c r="G150" i="2" s="1"/>
  <c r="G119" i="2" s="1"/>
  <c r="F133" i="2"/>
  <c r="F150" i="2" s="1"/>
  <c r="E133" i="2"/>
  <c r="E150" i="2" s="1"/>
  <c r="E119" i="2" s="1"/>
  <c r="D133" i="2"/>
  <c r="D150" i="2" s="1"/>
  <c r="D119" i="2" s="1"/>
  <c r="C133" i="2"/>
  <c r="B133" i="2"/>
  <c r="B150" i="2" s="1"/>
  <c r="J132" i="2"/>
  <c r="I132" i="2"/>
  <c r="I136" i="2" s="1"/>
  <c r="H132" i="2"/>
  <c r="G132" i="2"/>
  <c r="F132" i="2"/>
  <c r="E132" i="2"/>
  <c r="D132" i="2"/>
  <c r="C132" i="2"/>
  <c r="C136" i="2" s="1"/>
  <c r="C153" i="2" s="1"/>
  <c r="B132" i="2"/>
  <c r="B136" i="2" s="1"/>
  <c r="C125" i="2"/>
  <c r="J124" i="2"/>
  <c r="I124" i="2"/>
  <c r="J123" i="2"/>
  <c r="I123" i="2"/>
  <c r="F123" i="2"/>
  <c r="D122" i="2"/>
  <c r="C122" i="2"/>
  <c r="C120" i="2"/>
  <c r="C119" i="2"/>
  <c r="I116" i="2"/>
  <c r="C115" i="2"/>
  <c r="L112" i="2"/>
  <c r="J112" i="2"/>
  <c r="I112" i="2"/>
  <c r="H112" i="2"/>
  <c r="G112" i="2"/>
  <c r="F112" i="2"/>
  <c r="K102" i="2" s="1"/>
  <c r="E112" i="2"/>
  <c r="D112" i="2"/>
  <c r="C112" i="2"/>
  <c r="B112" i="2"/>
  <c r="K103" i="2"/>
  <c r="C99" i="2"/>
  <c r="I94" i="2"/>
  <c r="H94" i="2"/>
  <c r="G94" i="2"/>
  <c r="F94" i="2"/>
  <c r="E94" i="2"/>
  <c r="D94" i="2"/>
  <c r="C94" i="2"/>
  <c r="B94" i="2"/>
  <c r="I93" i="2"/>
  <c r="H93" i="2"/>
  <c r="G93" i="2"/>
  <c r="F93" i="2"/>
  <c r="E93" i="2"/>
  <c r="D93" i="2"/>
  <c r="C93" i="2"/>
  <c r="B93" i="2"/>
  <c r="I92" i="2"/>
  <c r="H92" i="2"/>
  <c r="G92" i="2"/>
  <c r="F92" i="2"/>
  <c r="E92" i="2"/>
  <c r="D92" i="2"/>
  <c r="C92" i="2"/>
  <c r="B92" i="2"/>
  <c r="I91" i="2"/>
  <c r="H91" i="2"/>
  <c r="H95" i="2" s="1"/>
  <c r="G91" i="2"/>
  <c r="G95" i="2" s="1"/>
  <c r="F91" i="2"/>
  <c r="E91" i="2"/>
  <c r="D91" i="2"/>
  <c r="C91" i="2"/>
  <c r="B91" i="2"/>
  <c r="I90" i="2"/>
  <c r="H90" i="2"/>
  <c r="G90" i="2"/>
  <c r="F90" i="2"/>
  <c r="E90" i="2"/>
  <c r="D90" i="2"/>
  <c r="C90" i="2"/>
  <c r="B90" i="2"/>
  <c r="I89" i="2"/>
  <c r="H89" i="2"/>
  <c r="G89" i="2"/>
  <c r="F89" i="2"/>
  <c r="E89" i="2"/>
  <c r="D89" i="2"/>
  <c r="C89" i="2"/>
  <c r="B89" i="2"/>
  <c r="I88" i="2"/>
  <c r="H88" i="2"/>
  <c r="G88" i="2"/>
  <c r="F88" i="2"/>
  <c r="E88" i="2"/>
  <c r="D88" i="2"/>
  <c r="C88" i="2"/>
  <c r="B88" i="2"/>
  <c r="I87" i="2"/>
  <c r="H87" i="2"/>
  <c r="G87" i="2"/>
  <c r="F87" i="2"/>
  <c r="E87" i="2"/>
  <c r="D87" i="2"/>
  <c r="C87" i="2"/>
  <c r="B87" i="2"/>
  <c r="J86" i="2"/>
  <c r="I86" i="2"/>
  <c r="H86" i="2"/>
  <c r="G86" i="2"/>
  <c r="F86" i="2"/>
  <c r="E86" i="2"/>
  <c r="D86" i="2"/>
  <c r="C86" i="2"/>
  <c r="B86" i="2"/>
  <c r="J85" i="2"/>
  <c r="I85" i="2"/>
  <c r="H85" i="2"/>
  <c r="G85" i="2"/>
  <c r="F85" i="2"/>
  <c r="E85" i="2"/>
  <c r="D85" i="2"/>
  <c r="C85" i="2"/>
  <c r="B85" i="2"/>
  <c r="J84" i="2"/>
  <c r="I84" i="2"/>
  <c r="H84" i="2"/>
  <c r="G84" i="2"/>
  <c r="F84" i="2"/>
  <c r="E84" i="2"/>
  <c r="D84" i="2"/>
  <c r="C84" i="2"/>
  <c r="B84" i="2"/>
  <c r="J83" i="2"/>
  <c r="I83" i="2"/>
  <c r="I95" i="2" s="1"/>
  <c r="H83" i="2"/>
  <c r="G83" i="2"/>
  <c r="F83" i="2"/>
  <c r="E83" i="2"/>
  <c r="D83" i="2"/>
  <c r="C83" i="2"/>
  <c r="B83" i="2"/>
  <c r="I78" i="2"/>
  <c r="H78" i="2"/>
  <c r="G78" i="2"/>
  <c r="F78" i="2"/>
  <c r="E78" i="2"/>
  <c r="D78" i="2"/>
  <c r="C78" i="2"/>
  <c r="B78" i="2"/>
  <c r="I77" i="2"/>
  <c r="H77" i="2"/>
  <c r="G77" i="2"/>
  <c r="F77" i="2"/>
  <c r="E77" i="2"/>
  <c r="D77" i="2"/>
  <c r="C77" i="2"/>
  <c r="B77" i="2"/>
  <c r="I76" i="2"/>
  <c r="H76" i="2"/>
  <c r="G76" i="2"/>
  <c r="F76" i="2"/>
  <c r="E76" i="2"/>
  <c r="D76" i="2"/>
  <c r="C76" i="2"/>
  <c r="B76" i="2"/>
  <c r="I75" i="2"/>
  <c r="H75" i="2"/>
  <c r="G75" i="2"/>
  <c r="F75" i="2"/>
  <c r="E75" i="2"/>
  <c r="D75" i="2"/>
  <c r="C75" i="2"/>
  <c r="B75" i="2"/>
  <c r="I74" i="2"/>
  <c r="H74" i="2"/>
  <c r="G74" i="2"/>
  <c r="F74" i="2"/>
  <c r="E74" i="2"/>
  <c r="D74" i="2"/>
  <c r="C74" i="2"/>
  <c r="B74" i="2"/>
  <c r="I73" i="2"/>
  <c r="H73" i="2"/>
  <c r="G73" i="2"/>
  <c r="F73" i="2"/>
  <c r="E73" i="2"/>
  <c r="D73" i="2"/>
  <c r="C73" i="2"/>
  <c r="B73" i="2"/>
  <c r="I72" i="2"/>
  <c r="H72" i="2"/>
  <c r="G72" i="2"/>
  <c r="F72" i="2"/>
  <c r="E72" i="2"/>
  <c r="D72" i="2"/>
  <c r="C72" i="2"/>
  <c r="B72" i="2"/>
  <c r="I71" i="2"/>
  <c r="H71" i="2"/>
  <c r="G71" i="2"/>
  <c r="F71" i="2"/>
  <c r="E71" i="2"/>
  <c r="D71" i="2"/>
  <c r="C71" i="2"/>
  <c r="B71" i="2"/>
  <c r="J70" i="2"/>
  <c r="I70" i="2"/>
  <c r="H70" i="2"/>
  <c r="G70" i="2"/>
  <c r="F70" i="2"/>
  <c r="E70" i="2"/>
  <c r="D70" i="2"/>
  <c r="C70" i="2"/>
  <c r="B70" i="2"/>
  <c r="J69" i="2"/>
  <c r="I69" i="2"/>
  <c r="H69" i="2"/>
  <c r="G69" i="2"/>
  <c r="F69" i="2"/>
  <c r="E69" i="2"/>
  <c r="D69" i="2"/>
  <c r="C69" i="2"/>
  <c r="B69" i="2"/>
  <c r="J68" i="2"/>
  <c r="I68" i="2"/>
  <c r="H68" i="2"/>
  <c r="G68" i="2"/>
  <c r="F68" i="2"/>
  <c r="E68" i="2"/>
  <c r="D68" i="2"/>
  <c r="C68" i="2"/>
  <c r="B68" i="2"/>
  <c r="J67" i="2"/>
  <c r="I67" i="2"/>
  <c r="H67" i="2"/>
  <c r="G67" i="2"/>
  <c r="F67" i="2"/>
  <c r="E67" i="2"/>
  <c r="D67" i="2"/>
  <c r="C67" i="2"/>
  <c r="B67" i="2"/>
  <c r="B66" i="2"/>
  <c r="G63" i="2"/>
  <c r="F63" i="2"/>
  <c r="E63" i="2"/>
  <c r="I62" i="2"/>
  <c r="H62" i="2"/>
  <c r="G62" i="2"/>
  <c r="F62" i="2"/>
  <c r="E62" i="2"/>
  <c r="D62" i="2"/>
  <c r="C62" i="2"/>
  <c r="B62" i="2"/>
  <c r="I61" i="2"/>
  <c r="H61" i="2"/>
  <c r="G61" i="2"/>
  <c r="F61" i="2"/>
  <c r="E61" i="2"/>
  <c r="D61" i="2"/>
  <c r="C61" i="2"/>
  <c r="B61" i="2"/>
  <c r="I60" i="2"/>
  <c r="H60" i="2"/>
  <c r="G60" i="2"/>
  <c r="F60" i="2"/>
  <c r="E60" i="2"/>
  <c r="D60" i="2"/>
  <c r="C60" i="2"/>
  <c r="B60" i="2"/>
  <c r="I59" i="2"/>
  <c r="H59" i="2"/>
  <c r="G59" i="2"/>
  <c r="F59" i="2"/>
  <c r="E59" i="2"/>
  <c r="D59" i="2"/>
  <c r="C59" i="2"/>
  <c r="B59" i="2"/>
  <c r="I58" i="2"/>
  <c r="H58" i="2"/>
  <c r="G58" i="2"/>
  <c r="F58" i="2"/>
  <c r="E58" i="2"/>
  <c r="D58" i="2"/>
  <c r="C58" i="2"/>
  <c r="B58" i="2"/>
  <c r="I57" i="2"/>
  <c r="H57" i="2"/>
  <c r="G57" i="2"/>
  <c r="F57" i="2"/>
  <c r="E57" i="2"/>
  <c r="D57" i="2"/>
  <c r="C57" i="2"/>
  <c r="B57" i="2"/>
  <c r="I56" i="2"/>
  <c r="H56" i="2"/>
  <c r="G56" i="2"/>
  <c r="F56" i="2"/>
  <c r="E56" i="2"/>
  <c r="D56" i="2"/>
  <c r="C56" i="2"/>
  <c r="B56" i="2"/>
  <c r="I55" i="2"/>
  <c r="H55" i="2"/>
  <c r="G55" i="2"/>
  <c r="F55" i="2"/>
  <c r="E55" i="2"/>
  <c r="D55" i="2"/>
  <c r="C55" i="2"/>
  <c r="B55" i="2"/>
  <c r="J54" i="2"/>
  <c r="I54" i="2"/>
  <c r="H54" i="2"/>
  <c r="G54" i="2"/>
  <c r="F54" i="2"/>
  <c r="E54" i="2"/>
  <c r="D54" i="2"/>
  <c r="C54" i="2"/>
  <c r="B54" i="2"/>
  <c r="J53" i="2"/>
  <c r="I53" i="2"/>
  <c r="H53" i="2"/>
  <c r="G53" i="2"/>
  <c r="F53" i="2"/>
  <c r="E53" i="2"/>
  <c r="D53" i="2"/>
  <c r="C53" i="2"/>
  <c r="B53" i="2"/>
  <c r="J52" i="2"/>
  <c r="I52" i="2"/>
  <c r="I63" i="2" s="1"/>
  <c r="H52" i="2"/>
  <c r="H63" i="2" s="1"/>
  <c r="G52" i="2"/>
  <c r="F52" i="2"/>
  <c r="E52" i="2"/>
  <c r="D52" i="2"/>
  <c r="C52" i="2"/>
  <c r="B52" i="2"/>
  <c r="J51" i="2"/>
  <c r="I51" i="2"/>
  <c r="H51" i="2"/>
  <c r="G51" i="2"/>
  <c r="F51" i="2"/>
  <c r="E51" i="2"/>
  <c r="D51" i="2"/>
  <c r="C51" i="2"/>
  <c r="B51" i="2"/>
  <c r="M50" i="2"/>
  <c r="L50" i="2"/>
  <c r="K50" i="2"/>
  <c r="J50" i="2"/>
  <c r="I50" i="2"/>
  <c r="H50" i="2"/>
  <c r="G50" i="2"/>
  <c r="C47" i="2"/>
  <c r="B47" i="2"/>
  <c r="I46" i="2"/>
  <c r="H46" i="2"/>
  <c r="G46" i="2"/>
  <c r="F46" i="2"/>
  <c r="E46" i="2"/>
  <c r="D46" i="2"/>
  <c r="C46" i="2"/>
  <c r="B46" i="2"/>
  <c r="I45" i="2"/>
  <c r="H45" i="2"/>
  <c r="G45" i="2"/>
  <c r="F45" i="2"/>
  <c r="E45" i="2"/>
  <c r="D45" i="2"/>
  <c r="C45" i="2"/>
  <c r="B45" i="2"/>
  <c r="I44" i="2"/>
  <c r="H44" i="2"/>
  <c r="G44" i="2"/>
  <c r="F44" i="2"/>
  <c r="E44" i="2"/>
  <c r="D44" i="2"/>
  <c r="C44" i="2"/>
  <c r="B44" i="2"/>
  <c r="I43" i="2"/>
  <c r="H43" i="2"/>
  <c r="G43" i="2"/>
  <c r="F43" i="2"/>
  <c r="E43" i="2"/>
  <c r="D43" i="2"/>
  <c r="C43" i="2"/>
  <c r="B43" i="2"/>
  <c r="I42" i="2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I40" i="2"/>
  <c r="H40" i="2"/>
  <c r="G40" i="2"/>
  <c r="F40" i="2"/>
  <c r="E40" i="2"/>
  <c r="D40" i="2"/>
  <c r="C40" i="2"/>
  <c r="B40" i="2"/>
  <c r="I39" i="2"/>
  <c r="H39" i="2"/>
  <c r="G39" i="2"/>
  <c r="F39" i="2"/>
  <c r="E39" i="2"/>
  <c r="D39" i="2"/>
  <c r="C39" i="2"/>
  <c r="B39" i="2"/>
  <c r="J38" i="2"/>
  <c r="I38" i="2"/>
  <c r="H38" i="2"/>
  <c r="G38" i="2"/>
  <c r="F38" i="2"/>
  <c r="E38" i="2"/>
  <c r="D38" i="2"/>
  <c r="C38" i="2"/>
  <c r="B38" i="2"/>
  <c r="J37" i="2"/>
  <c r="I37" i="2"/>
  <c r="H37" i="2"/>
  <c r="G37" i="2"/>
  <c r="F37" i="2"/>
  <c r="E37" i="2"/>
  <c r="D37" i="2"/>
  <c r="C37" i="2"/>
  <c r="B37" i="2"/>
  <c r="J36" i="2"/>
  <c r="I36" i="2"/>
  <c r="H36" i="2"/>
  <c r="G36" i="2"/>
  <c r="F36" i="2"/>
  <c r="F47" i="2" s="1"/>
  <c r="E36" i="2"/>
  <c r="E47" i="2" s="1"/>
  <c r="D36" i="2"/>
  <c r="C36" i="2"/>
  <c r="B36" i="2"/>
  <c r="J35" i="2"/>
  <c r="I35" i="2"/>
  <c r="H35" i="2"/>
  <c r="G35" i="2"/>
  <c r="F35" i="2"/>
  <c r="E35" i="2"/>
  <c r="D35" i="2"/>
  <c r="C35" i="2"/>
  <c r="B35" i="2"/>
  <c r="B34" i="2"/>
  <c r="C131" i="2" s="1"/>
  <c r="C139" i="2" s="1"/>
  <c r="I31" i="2"/>
  <c r="X30" i="2" a="1"/>
  <c r="AA30" i="2" s="1"/>
  <c r="P30" i="2" a="1"/>
  <c r="U30" i="2" s="1"/>
  <c r="I30" i="2"/>
  <c r="H30" i="2"/>
  <c r="G30" i="2"/>
  <c r="F30" i="2"/>
  <c r="E30" i="2"/>
  <c r="D30" i="2"/>
  <c r="C30" i="2"/>
  <c r="B30" i="2"/>
  <c r="X29" i="2" a="1"/>
  <c r="AA29" i="2" s="1"/>
  <c r="U29" i="2"/>
  <c r="T29" i="2"/>
  <c r="R29" i="2"/>
  <c r="P29" i="2" a="1"/>
  <c r="I29" i="2"/>
  <c r="H29" i="2"/>
  <c r="G29" i="2"/>
  <c r="F29" i="2"/>
  <c r="E29" i="2"/>
  <c r="D29" i="2"/>
  <c r="C29" i="2"/>
  <c r="B29" i="2"/>
  <c r="X28" i="2" a="1"/>
  <c r="AA28" i="2" s="1"/>
  <c r="P28" i="2" a="1"/>
  <c r="I28" i="2"/>
  <c r="H28" i="2"/>
  <c r="G28" i="2"/>
  <c r="F28" i="2"/>
  <c r="F31" i="2" s="1"/>
  <c r="E28" i="2"/>
  <c r="D28" i="2"/>
  <c r="C28" i="2"/>
  <c r="B28" i="2"/>
  <c r="X27" i="2" a="1"/>
  <c r="AA27" i="2" s="1"/>
  <c r="P27" i="2" a="1"/>
  <c r="I27" i="2"/>
  <c r="H27" i="2"/>
  <c r="G27" i="2"/>
  <c r="F27" i="2"/>
  <c r="E27" i="2"/>
  <c r="D27" i="2"/>
  <c r="C27" i="2"/>
  <c r="B27" i="2"/>
  <c r="X26" i="2" a="1"/>
  <c r="AA26" i="2" s="1"/>
  <c r="U26" i="2"/>
  <c r="T26" i="2"/>
  <c r="P26" i="2"/>
  <c r="P26" i="2" a="1"/>
  <c r="I26" i="2"/>
  <c r="H26" i="2"/>
  <c r="G26" i="2"/>
  <c r="F26" i="2"/>
  <c r="E26" i="2"/>
  <c r="D26" i="2"/>
  <c r="C26" i="2"/>
  <c r="B26" i="2"/>
  <c r="X25" i="2" a="1"/>
  <c r="AA25" i="2" s="1"/>
  <c r="P25" i="2" a="1"/>
  <c r="I25" i="2"/>
  <c r="H25" i="2"/>
  <c r="H31" i="2" s="1"/>
  <c r="G25" i="2"/>
  <c r="F25" i="2"/>
  <c r="E25" i="2"/>
  <c r="D25" i="2"/>
  <c r="C25" i="2"/>
  <c r="B25" i="2"/>
  <c r="X24" i="2" a="1"/>
  <c r="AA24" i="2" s="1"/>
  <c r="P24" i="2" a="1"/>
  <c r="I24" i="2"/>
  <c r="H24" i="2"/>
  <c r="G24" i="2"/>
  <c r="F24" i="2"/>
  <c r="E24" i="2"/>
  <c r="D24" i="2"/>
  <c r="C24" i="2"/>
  <c r="B24" i="2"/>
  <c r="I23" i="2"/>
  <c r="H23" i="2"/>
  <c r="G23" i="2"/>
  <c r="F23" i="2"/>
  <c r="E23" i="2"/>
  <c r="D23" i="2"/>
  <c r="C23" i="2"/>
  <c r="B23" i="2"/>
  <c r="J22" i="2"/>
  <c r="I22" i="2"/>
  <c r="H22" i="2"/>
  <c r="G22" i="2"/>
  <c r="F22" i="2"/>
  <c r="E22" i="2"/>
  <c r="E31" i="2" s="1"/>
  <c r="D22" i="2"/>
  <c r="D31" i="2" s="1"/>
  <c r="C22" i="2"/>
  <c r="B22" i="2"/>
  <c r="J21" i="2"/>
  <c r="I21" i="2"/>
  <c r="H21" i="2"/>
  <c r="G21" i="2"/>
  <c r="G31" i="2" s="1"/>
  <c r="F21" i="2"/>
  <c r="E21" i="2"/>
  <c r="D21" i="2"/>
  <c r="C21" i="2"/>
  <c r="B21" i="2"/>
  <c r="X20" i="2"/>
  <c r="X20" i="2" a="1"/>
  <c r="P20" i="2" a="1"/>
  <c r="W20" i="2" s="1"/>
  <c r="J20" i="2"/>
  <c r="I20" i="2"/>
  <c r="H20" i="2"/>
  <c r="G20" i="2"/>
  <c r="F20" i="2"/>
  <c r="E20" i="2"/>
  <c r="D20" i="2"/>
  <c r="C20" i="2"/>
  <c r="B20" i="2"/>
  <c r="Y19" i="2"/>
  <c r="X19" i="2"/>
  <c r="X19" i="2" a="1"/>
  <c r="AA19" i="2" s="1"/>
  <c r="P19" i="2" a="1"/>
  <c r="W19" i="2" s="1"/>
  <c r="J19" i="2"/>
  <c r="I19" i="2"/>
  <c r="H19" i="2"/>
  <c r="G19" i="2"/>
  <c r="F19" i="2"/>
  <c r="E19" i="2"/>
  <c r="D19" i="2"/>
  <c r="C19" i="2"/>
  <c r="B19" i="2"/>
  <c r="B31" i="2" s="1"/>
  <c r="Z18" i="2"/>
  <c r="Y18" i="2"/>
  <c r="X18" i="2" a="1"/>
  <c r="P18" i="2" a="1"/>
  <c r="W18" i="2" s="1"/>
  <c r="M18" i="2"/>
  <c r="N115" i="2" s="1"/>
  <c r="B18" i="2"/>
  <c r="X17" i="2" a="1"/>
  <c r="W17" i="2"/>
  <c r="V17" i="2"/>
  <c r="U17" i="2"/>
  <c r="T17" i="2"/>
  <c r="S17" i="2"/>
  <c r="R17" i="2"/>
  <c r="P17" i="2" a="1"/>
  <c r="Q17" i="2" s="1"/>
  <c r="Y16" i="2"/>
  <c r="X16" i="2" a="1"/>
  <c r="AA16" i="2" s="1"/>
  <c r="P16" i="2" a="1"/>
  <c r="U16" i="2" s="1"/>
  <c r="X15" i="2" a="1"/>
  <c r="P15" i="2" a="1"/>
  <c r="AA14" i="2"/>
  <c r="Y14" i="2"/>
  <c r="X14" i="2"/>
  <c r="X14" i="2" a="1"/>
  <c r="Z14" i="2" s="1"/>
  <c r="W14" i="2"/>
  <c r="V14" i="2"/>
  <c r="U14" i="2"/>
  <c r="T14" i="2"/>
  <c r="S14" i="2"/>
  <c r="R14" i="2"/>
  <c r="Q14" i="2"/>
  <c r="P14" i="2"/>
  <c r="P14" i="2" a="1"/>
  <c r="M2" i="2"/>
  <c r="L2" i="2"/>
  <c r="L82" i="2" s="1"/>
  <c r="K2" i="2"/>
  <c r="J2" i="2"/>
  <c r="J66" i="2" s="1"/>
  <c r="I2" i="2"/>
  <c r="I66" i="2" s="1"/>
  <c r="H2" i="2"/>
  <c r="I99" i="2" s="1"/>
  <c r="G2" i="2"/>
  <c r="G66" i="2" s="1"/>
  <c r="F2" i="2"/>
  <c r="G99" i="2" s="1"/>
  <c r="E2" i="2"/>
  <c r="E34" i="2" s="1"/>
  <c r="F131" i="2" s="1"/>
  <c r="F148" i="2" s="1"/>
  <c r="D2" i="2"/>
  <c r="D34" i="2" s="1"/>
  <c r="E131" i="2" s="1"/>
  <c r="E148" i="2" s="1"/>
  <c r="C2" i="2"/>
  <c r="B2" i="2"/>
  <c r="B50" i="2" s="1"/>
  <c r="B112" i="1"/>
  <c r="I111" i="1"/>
  <c r="H111" i="1"/>
  <c r="G111" i="1"/>
  <c r="F111" i="1"/>
  <c r="E111" i="1"/>
  <c r="D111" i="1"/>
  <c r="C111" i="1"/>
  <c r="B111" i="1"/>
  <c r="A111" i="1"/>
  <c r="I110" i="1"/>
  <c r="H110" i="1"/>
  <c r="G110" i="1"/>
  <c r="F110" i="1"/>
  <c r="E110" i="1"/>
  <c r="D110" i="1"/>
  <c r="C110" i="1"/>
  <c r="B110" i="1"/>
  <c r="A110" i="1"/>
  <c r="I109" i="1"/>
  <c r="H109" i="1"/>
  <c r="G109" i="1"/>
  <c r="F109" i="1"/>
  <c r="E109" i="1"/>
  <c r="D109" i="1"/>
  <c r="C109" i="1"/>
  <c r="B109" i="1"/>
  <c r="I108" i="1"/>
  <c r="H108" i="1"/>
  <c r="G108" i="1"/>
  <c r="F108" i="1"/>
  <c r="E108" i="1"/>
  <c r="D108" i="1"/>
  <c r="C108" i="1"/>
  <c r="B108" i="1"/>
  <c r="A108" i="1"/>
  <c r="I107" i="1"/>
  <c r="I75" i="1" s="1"/>
  <c r="H107" i="1"/>
  <c r="G107" i="1"/>
  <c r="F107" i="1"/>
  <c r="E107" i="1"/>
  <c r="D107" i="1"/>
  <c r="C107" i="1"/>
  <c r="B107" i="1"/>
  <c r="I106" i="1"/>
  <c r="H106" i="1"/>
  <c r="G106" i="1"/>
  <c r="F106" i="1"/>
  <c r="E106" i="1"/>
  <c r="D106" i="1"/>
  <c r="C106" i="1"/>
  <c r="B106" i="1"/>
  <c r="A106" i="1"/>
  <c r="I105" i="1"/>
  <c r="H105" i="1"/>
  <c r="G105" i="1"/>
  <c r="F105" i="1"/>
  <c r="E105" i="1"/>
  <c r="D105" i="1"/>
  <c r="C105" i="1"/>
  <c r="B105" i="1"/>
  <c r="A105" i="1"/>
  <c r="I104" i="1"/>
  <c r="H104" i="1"/>
  <c r="G104" i="1"/>
  <c r="F104" i="1"/>
  <c r="E104" i="1"/>
  <c r="D104" i="1"/>
  <c r="C104" i="1"/>
  <c r="B104" i="1"/>
  <c r="I103" i="1"/>
  <c r="H103" i="1"/>
  <c r="G103" i="1"/>
  <c r="F103" i="1"/>
  <c r="E103" i="1"/>
  <c r="D103" i="1"/>
  <c r="C103" i="1"/>
  <c r="B103" i="1"/>
  <c r="I102" i="1"/>
  <c r="H102" i="1"/>
  <c r="G102" i="1"/>
  <c r="F102" i="1"/>
  <c r="E102" i="1"/>
  <c r="D102" i="1"/>
  <c r="C102" i="1"/>
  <c r="B102" i="1"/>
  <c r="I101" i="1"/>
  <c r="H101" i="1"/>
  <c r="G101" i="1"/>
  <c r="F101" i="1"/>
  <c r="E101" i="1"/>
  <c r="D101" i="1"/>
  <c r="C101" i="1"/>
  <c r="B101" i="1"/>
  <c r="A101" i="1"/>
  <c r="J100" i="1"/>
  <c r="I100" i="1"/>
  <c r="H100" i="1"/>
  <c r="G100" i="1"/>
  <c r="F100" i="1"/>
  <c r="E100" i="1"/>
  <c r="D100" i="1"/>
  <c r="C100" i="1"/>
  <c r="B100" i="1"/>
  <c r="M99" i="1"/>
  <c r="L99" i="1"/>
  <c r="K99" i="1"/>
  <c r="K95" i="1"/>
  <c r="K47" i="1" s="1"/>
  <c r="J95" i="1"/>
  <c r="I95" i="1"/>
  <c r="I47" i="1" s="1"/>
  <c r="H95" i="1"/>
  <c r="G95" i="1"/>
  <c r="F95" i="1"/>
  <c r="E95" i="1"/>
  <c r="E79" i="1" s="1"/>
  <c r="E31" i="1" s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C46" i="1" s="1"/>
  <c r="B94" i="1"/>
  <c r="B46" i="1" s="1"/>
  <c r="A94" i="1"/>
  <c r="K93" i="1"/>
  <c r="J93" i="1"/>
  <c r="I93" i="1"/>
  <c r="H93" i="1"/>
  <c r="G93" i="1"/>
  <c r="G45" i="1" s="1"/>
  <c r="F93" i="1"/>
  <c r="E93" i="1"/>
  <c r="D93" i="1"/>
  <c r="D77" i="1" s="1"/>
  <c r="C93" i="1"/>
  <c r="B93" i="1"/>
  <c r="A93" i="1"/>
  <c r="K92" i="1"/>
  <c r="J92" i="1"/>
  <c r="I92" i="1"/>
  <c r="H92" i="1"/>
  <c r="G92" i="1"/>
  <c r="G44" i="1" s="1"/>
  <c r="F92" i="1"/>
  <c r="F44" i="1" s="1"/>
  <c r="E92" i="1"/>
  <c r="E76" i="1" s="1"/>
  <c r="E28" i="1" s="1"/>
  <c r="D92" i="1"/>
  <c r="D44" i="1" s="1"/>
  <c r="C92" i="1"/>
  <c r="B92" i="1"/>
  <c r="B76" i="1" s="1"/>
  <c r="B28" i="1" s="1"/>
  <c r="A92" i="1"/>
  <c r="K91" i="1"/>
  <c r="J91" i="1"/>
  <c r="I91" i="1"/>
  <c r="H91" i="1"/>
  <c r="G91" i="1"/>
  <c r="F91" i="1"/>
  <c r="F75" i="1" s="1"/>
  <c r="E91" i="1"/>
  <c r="E75" i="1" s="1"/>
  <c r="D91" i="1"/>
  <c r="D75" i="1" s="1"/>
  <c r="C91" i="1"/>
  <c r="C75" i="1" s="1"/>
  <c r="B91" i="1"/>
  <c r="A91" i="1"/>
  <c r="K90" i="1"/>
  <c r="K42" i="1" s="1"/>
  <c r="J90" i="1"/>
  <c r="J42" i="1" s="1"/>
  <c r="I90" i="1"/>
  <c r="I74" i="1" s="1"/>
  <c r="I26" i="1" s="1"/>
  <c r="H90" i="1"/>
  <c r="H42" i="1" s="1"/>
  <c r="G90" i="1"/>
  <c r="G74" i="1" s="1"/>
  <c r="G26" i="1" s="1"/>
  <c r="F90" i="1"/>
  <c r="F74" i="1" s="1"/>
  <c r="F26" i="1" s="1"/>
  <c r="E90" i="1"/>
  <c r="E74" i="1" s="1"/>
  <c r="E26" i="1" s="1"/>
  <c r="D90" i="1"/>
  <c r="D74" i="1" s="1"/>
  <c r="D26" i="1" s="1"/>
  <c r="C90" i="1"/>
  <c r="B90" i="1"/>
  <c r="B42" i="1" s="1"/>
  <c r="A90" i="1"/>
  <c r="K89" i="1"/>
  <c r="J89" i="1"/>
  <c r="I89" i="1"/>
  <c r="G89" i="1"/>
  <c r="F89" i="1"/>
  <c r="E89" i="1"/>
  <c r="D89" i="1"/>
  <c r="D73" i="1" s="1"/>
  <c r="C89" i="1"/>
  <c r="B89" i="1"/>
  <c r="B41" i="1" s="1"/>
  <c r="A89" i="1"/>
  <c r="K88" i="1"/>
  <c r="K40" i="1" s="1"/>
  <c r="J88" i="1"/>
  <c r="I88" i="1"/>
  <c r="I72" i="1" s="1"/>
  <c r="I24" i="1" s="1"/>
  <c r="H88" i="1"/>
  <c r="H72" i="1" s="1"/>
  <c r="H24" i="1" s="1"/>
  <c r="G88" i="1"/>
  <c r="G40" i="1" s="1"/>
  <c r="F88" i="1"/>
  <c r="E88" i="1"/>
  <c r="E72" i="1" s="1"/>
  <c r="D88" i="1"/>
  <c r="C88" i="1"/>
  <c r="B88" i="1"/>
  <c r="B40" i="1" s="1"/>
  <c r="A88" i="1"/>
  <c r="K87" i="1"/>
  <c r="J87" i="1"/>
  <c r="I87" i="1"/>
  <c r="I71" i="1" s="1"/>
  <c r="H87" i="1"/>
  <c r="H71" i="1" s="1"/>
  <c r="G87" i="1"/>
  <c r="F87" i="1"/>
  <c r="F39" i="1" s="1"/>
  <c r="E87" i="1"/>
  <c r="E39" i="1" s="1"/>
  <c r="D87" i="1"/>
  <c r="B87" i="1"/>
  <c r="B71" i="1" s="1"/>
  <c r="B23" i="1" s="1"/>
  <c r="A87" i="1"/>
  <c r="K86" i="1"/>
  <c r="J86" i="1"/>
  <c r="I86" i="1"/>
  <c r="I70" i="1" s="1"/>
  <c r="I22" i="1" s="1"/>
  <c r="H86" i="1"/>
  <c r="G86" i="1"/>
  <c r="G38" i="1" s="1"/>
  <c r="F86" i="1"/>
  <c r="E86" i="1"/>
  <c r="E70" i="1" s="1"/>
  <c r="E22" i="1" s="1"/>
  <c r="D86" i="1"/>
  <c r="D38" i="1" s="1"/>
  <c r="C86" i="1"/>
  <c r="C70" i="1" s="1"/>
  <c r="B86" i="1"/>
  <c r="B70" i="1" s="1"/>
  <c r="A86" i="1"/>
  <c r="K85" i="1"/>
  <c r="H85" i="1"/>
  <c r="H69" i="1" s="1"/>
  <c r="H21" i="1" s="1"/>
  <c r="G85" i="1"/>
  <c r="G37" i="1" s="1"/>
  <c r="F85" i="1"/>
  <c r="F69" i="1" s="1"/>
  <c r="F21" i="1" s="1"/>
  <c r="E85" i="1"/>
  <c r="E69" i="1" s="1"/>
  <c r="D85" i="1"/>
  <c r="D69" i="1" s="1"/>
  <c r="D21" i="1" s="1"/>
  <c r="C85" i="1"/>
  <c r="C69" i="1" s="1"/>
  <c r="C21" i="1" s="1"/>
  <c r="B85" i="1"/>
  <c r="B37" i="1" s="1"/>
  <c r="A85" i="1"/>
  <c r="L84" i="1"/>
  <c r="K84" i="1"/>
  <c r="K96" i="1" s="1"/>
  <c r="J84" i="1"/>
  <c r="I84" i="1"/>
  <c r="I68" i="1" s="1"/>
  <c r="I20" i="1" s="1"/>
  <c r="H84" i="1"/>
  <c r="H68" i="1" s="1"/>
  <c r="H20" i="1" s="1"/>
  <c r="G84" i="1"/>
  <c r="F84" i="1"/>
  <c r="F68" i="1" s="1"/>
  <c r="F20" i="1" s="1"/>
  <c r="E84" i="1"/>
  <c r="D84" i="1"/>
  <c r="D68" i="1" s="1"/>
  <c r="D20" i="1" s="1"/>
  <c r="C84" i="1"/>
  <c r="B84" i="1"/>
  <c r="A84" i="1"/>
  <c r="M83" i="1"/>
  <c r="L83" i="1"/>
  <c r="K83" i="1"/>
  <c r="J83" i="1"/>
  <c r="I83" i="1"/>
  <c r="H83" i="1"/>
  <c r="G83" i="1"/>
  <c r="F83" i="1"/>
  <c r="E83" i="1"/>
  <c r="D83" i="1"/>
  <c r="C83" i="1"/>
  <c r="B83" i="1"/>
  <c r="A79" i="1"/>
  <c r="I78" i="1"/>
  <c r="H78" i="1"/>
  <c r="G78" i="1"/>
  <c r="F78" i="1"/>
  <c r="E78" i="1"/>
  <c r="D78" i="1"/>
  <c r="A78" i="1"/>
  <c r="C77" i="1"/>
  <c r="B77" i="1"/>
  <c r="A77" i="1"/>
  <c r="I76" i="1"/>
  <c r="H76" i="1"/>
  <c r="F76" i="1"/>
  <c r="F28" i="1" s="1"/>
  <c r="A76" i="1"/>
  <c r="H75" i="1"/>
  <c r="G75" i="1"/>
  <c r="B75" i="1"/>
  <c r="A75" i="1"/>
  <c r="A74" i="1"/>
  <c r="I73" i="1"/>
  <c r="I25" i="1" s="1"/>
  <c r="G73" i="1"/>
  <c r="G25" i="1" s="1"/>
  <c r="F73" i="1"/>
  <c r="E73" i="1"/>
  <c r="C73" i="1"/>
  <c r="A73" i="1"/>
  <c r="C72" i="1"/>
  <c r="B72" i="1"/>
  <c r="A72" i="1"/>
  <c r="G71" i="1"/>
  <c r="F71" i="1"/>
  <c r="F23" i="1" s="1"/>
  <c r="D71" i="1"/>
  <c r="D23" i="1" s="1"/>
  <c r="A71" i="1"/>
  <c r="G70" i="1"/>
  <c r="G22" i="1" s="1"/>
  <c r="F70" i="1"/>
  <c r="F22" i="1" s="1"/>
  <c r="D70" i="1"/>
  <c r="D22" i="1" s="1"/>
  <c r="A70" i="1"/>
  <c r="A69" i="1"/>
  <c r="J68" i="1"/>
  <c r="J20" i="1" s="1"/>
  <c r="G68" i="1"/>
  <c r="G20" i="1" s="1"/>
  <c r="E68" i="1"/>
  <c r="C68" i="1"/>
  <c r="B68" i="1"/>
  <c r="A68" i="1"/>
  <c r="M67" i="1"/>
  <c r="L67" i="1"/>
  <c r="K67" i="1"/>
  <c r="J67" i="1"/>
  <c r="I67" i="1"/>
  <c r="H67" i="1"/>
  <c r="G67" i="1"/>
  <c r="F67" i="1"/>
  <c r="E67" i="1"/>
  <c r="D67" i="1"/>
  <c r="C67" i="1"/>
  <c r="B67" i="1"/>
  <c r="K63" i="1"/>
  <c r="J63" i="1"/>
  <c r="I63" i="1"/>
  <c r="H63" i="1"/>
  <c r="G63" i="1"/>
  <c r="F63" i="1"/>
  <c r="E63" i="1"/>
  <c r="D63" i="1"/>
  <c r="C63" i="1"/>
  <c r="B63" i="1"/>
  <c r="A63" i="1"/>
  <c r="K62" i="1"/>
  <c r="K46" i="1" s="1"/>
  <c r="J62" i="1"/>
  <c r="I62" i="1"/>
  <c r="I30" i="1" s="1"/>
  <c r="H62" i="1"/>
  <c r="G62" i="1"/>
  <c r="F62" i="1"/>
  <c r="F64" i="1" s="1"/>
  <c r="F12" i="1" s="1"/>
  <c r="F4" i="1" s="1"/>
  <c r="E62" i="1"/>
  <c r="E46" i="1" s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J43" i="1" s="1"/>
  <c r="I59" i="1"/>
  <c r="I43" i="1" s="1"/>
  <c r="H59" i="1"/>
  <c r="G59" i="1"/>
  <c r="F59" i="1"/>
  <c r="E59" i="1"/>
  <c r="E43" i="1" s="1"/>
  <c r="D59" i="1"/>
  <c r="D43" i="1" s="1"/>
  <c r="C59" i="1"/>
  <c r="C43" i="1" s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K41" i="1" s="1"/>
  <c r="I57" i="1"/>
  <c r="I41" i="1" s="1"/>
  <c r="H57" i="1"/>
  <c r="G57" i="1"/>
  <c r="G41" i="1" s="1"/>
  <c r="F57" i="1"/>
  <c r="F41" i="1" s="1"/>
  <c r="E57" i="1"/>
  <c r="E41" i="1" s="1"/>
  <c r="D57" i="1"/>
  <c r="D64" i="1" s="1"/>
  <c r="D12" i="1" s="1"/>
  <c r="D4" i="1" s="1"/>
  <c r="C57" i="1"/>
  <c r="B57" i="1"/>
  <c r="A57" i="1"/>
  <c r="K56" i="1"/>
  <c r="J56" i="1"/>
  <c r="I56" i="1"/>
  <c r="H56" i="1"/>
  <c r="G56" i="1"/>
  <c r="F56" i="1"/>
  <c r="E56" i="1"/>
  <c r="E24" i="1" s="1"/>
  <c r="D56" i="1"/>
  <c r="C56" i="1"/>
  <c r="B56" i="1"/>
  <c r="B24" i="1" s="1"/>
  <c r="A56" i="1"/>
  <c r="K55" i="1"/>
  <c r="J55" i="1"/>
  <c r="J39" i="1" s="1"/>
  <c r="I55" i="1"/>
  <c r="I39" i="1" s="1"/>
  <c r="H55" i="1"/>
  <c r="H39" i="1" s="1"/>
  <c r="G55" i="1"/>
  <c r="G39" i="1" s="1"/>
  <c r="F55" i="1"/>
  <c r="E55" i="1"/>
  <c r="D55" i="1"/>
  <c r="D39" i="1" s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K37" i="1" s="1"/>
  <c r="J53" i="1"/>
  <c r="I53" i="1"/>
  <c r="H53" i="1"/>
  <c r="H37" i="1" s="1"/>
  <c r="G53" i="1"/>
  <c r="F53" i="1"/>
  <c r="D53" i="1"/>
  <c r="C53" i="1"/>
  <c r="B53" i="1"/>
  <c r="A53" i="1"/>
  <c r="L52" i="1"/>
  <c r="K52" i="1"/>
  <c r="K36" i="1" s="1"/>
  <c r="J52" i="1"/>
  <c r="J36" i="1" s="1"/>
  <c r="I52" i="1"/>
  <c r="H52" i="1"/>
  <c r="G52" i="1"/>
  <c r="F52" i="1"/>
  <c r="F36" i="1" s="1"/>
  <c r="E52" i="1"/>
  <c r="E36" i="1" s="1"/>
  <c r="D52" i="1"/>
  <c r="C52" i="1"/>
  <c r="C36" i="1" s="1"/>
  <c r="B52" i="1"/>
  <c r="B36" i="1" s="1"/>
  <c r="A52" i="1"/>
  <c r="M51" i="1"/>
  <c r="L51" i="1"/>
  <c r="K51" i="1"/>
  <c r="J51" i="1"/>
  <c r="I51" i="1"/>
  <c r="H51" i="1"/>
  <c r="G51" i="1"/>
  <c r="F51" i="1"/>
  <c r="E51" i="1"/>
  <c r="D51" i="1"/>
  <c r="C51" i="1"/>
  <c r="B51" i="1"/>
  <c r="E47" i="1"/>
  <c r="D47" i="1"/>
  <c r="C47" i="1"/>
  <c r="B47" i="1"/>
  <c r="A47" i="1"/>
  <c r="A46" i="1"/>
  <c r="H45" i="1"/>
  <c r="F45" i="1"/>
  <c r="E45" i="1"/>
  <c r="D45" i="1"/>
  <c r="C45" i="1"/>
  <c r="B45" i="1"/>
  <c r="A45" i="1"/>
  <c r="A109" i="1" s="1"/>
  <c r="A44" i="1"/>
  <c r="K43" i="1"/>
  <c r="A43" i="1"/>
  <c r="A107" i="1" s="1"/>
  <c r="G42" i="1"/>
  <c r="E42" i="1"/>
  <c r="D42" i="1"/>
  <c r="C42" i="1"/>
  <c r="A42" i="1"/>
  <c r="A41" i="1"/>
  <c r="F40" i="1"/>
  <c r="E40" i="1"/>
  <c r="D40" i="1"/>
  <c r="C40" i="1"/>
  <c r="A40" i="1"/>
  <c r="A104" i="1" s="1"/>
  <c r="K39" i="1"/>
  <c r="A39" i="1"/>
  <c r="A103" i="1" s="1"/>
  <c r="K38" i="1"/>
  <c r="J38" i="1"/>
  <c r="I38" i="1"/>
  <c r="H38" i="1"/>
  <c r="F38" i="1"/>
  <c r="C38" i="1"/>
  <c r="B38" i="1"/>
  <c r="A38" i="1"/>
  <c r="A102" i="1" s="1"/>
  <c r="F37" i="1"/>
  <c r="C37" i="1"/>
  <c r="A37" i="1"/>
  <c r="L36" i="1"/>
  <c r="I36" i="1"/>
  <c r="A36" i="1"/>
  <c r="A100" i="1" s="1"/>
  <c r="M35" i="1"/>
  <c r="L35" i="1"/>
  <c r="K35" i="1"/>
  <c r="J35" i="1"/>
  <c r="J99" i="1" s="1"/>
  <c r="I35" i="1"/>
  <c r="I99" i="1" s="1"/>
  <c r="H35" i="1"/>
  <c r="H99" i="1" s="1"/>
  <c r="G35" i="1"/>
  <c r="G99" i="1" s="1"/>
  <c r="F35" i="1"/>
  <c r="F99" i="1" s="1"/>
  <c r="E35" i="1"/>
  <c r="E99" i="1" s="1"/>
  <c r="D35" i="1"/>
  <c r="D99" i="1" s="1"/>
  <c r="C35" i="1"/>
  <c r="C99" i="1" s="1"/>
  <c r="B35" i="1"/>
  <c r="B99" i="1" s="1"/>
  <c r="E30" i="1"/>
  <c r="I27" i="1"/>
  <c r="F25" i="1"/>
  <c r="E25" i="1"/>
  <c r="C24" i="1"/>
  <c r="E20" i="1"/>
  <c r="A16" i="1"/>
  <c r="AP376" i="3" l="1"/>
  <c r="H140" i="14"/>
  <c r="H24" i="14" s="1"/>
  <c r="AO376" i="3"/>
  <c r="BA376" i="3"/>
  <c r="AM374" i="3"/>
  <c r="AT375" i="3"/>
  <c r="AU375" i="3"/>
  <c r="AM377" i="3"/>
  <c r="AL377" i="3"/>
  <c r="AL374" i="3"/>
  <c r="AG374" i="3"/>
  <c r="AP377" i="3"/>
  <c r="AQ377" i="3"/>
  <c r="AY375" i="3"/>
  <c r="AK376" i="3"/>
  <c r="AS377" i="3"/>
  <c r="BA375" i="3"/>
  <c r="AV377" i="3"/>
  <c r="CE70" i="3"/>
  <c r="AS375" i="3"/>
  <c r="AW374" i="3"/>
  <c r="AH375" i="3"/>
  <c r="BD375" i="3"/>
  <c r="BF377" i="3"/>
  <c r="AY374" i="3"/>
  <c r="AV374" i="3"/>
  <c r="BB374" i="3"/>
  <c r="BA374" i="3"/>
  <c r="AK374" i="3"/>
  <c r="CD69" i="3"/>
  <c r="BE374" i="3"/>
  <c r="BV43" i="3"/>
  <c r="DD38" i="3"/>
  <c r="AU374" i="3"/>
  <c r="AL375" i="3"/>
  <c r="AG375" i="3"/>
  <c r="BC375" i="3"/>
  <c r="AX375" i="3"/>
  <c r="AS376" i="3"/>
  <c r="AN376" i="3"/>
  <c r="AZ377" i="3"/>
  <c r="AU377" i="3"/>
  <c r="BB375" i="3"/>
  <c r="AO377" i="3"/>
  <c r="AM375" i="3"/>
  <c r="AT376" i="3"/>
  <c r="BA377" i="3"/>
  <c r="AP370" i="3"/>
  <c r="AY377" i="3"/>
  <c r="BC374" i="3"/>
  <c r="AN375" i="3"/>
  <c r="AI370" i="3"/>
  <c r="AU376" i="3"/>
  <c r="AF377" i="3"/>
  <c r="BB377" i="3"/>
  <c r="AX376" i="3"/>
  <c r="AF375" i="3"/>
  <c r="AO375" i="3"/>
  <c r="BF375" i="3"/>
  <c r="AV376" i="3"/>
  <c r="AQ376" i="3"/>
  <c r="AG377" i="3"/>
  <c r="BC377" i="3"/>
  <c r="AJ370" i="3"/>
  <c r="AR376" i="3"/>
  <c r="AI374" i="3"/>
  <c r="AP375" i="3"/>
  <c r="AW376" i="3"/>
  <c r="AH377" i="3"/>
  <c r="BD377" i="3"/>
  <c r="AG376" i="3"/>
  <c r="CB67" i="3"/>
  <c r="AZ370" i="3"/>
  <c r="BZ70" i="3"/>
  <c r="AJ374" i="3"/>
  <c r="BF370" i="3"/>
  <c r="BW71" i="3"/>
  <c r="BF374" i="3"/>
  <c r="BC376" i="3"/>
  <c r="AR377" i="3"/>
  <c r="AW375" i="3"/>
  <c r="AZ374" i="3"/>
  <c r="AR375" i="3"/>
  <c r="AY376" i="3"/>
  <c r="AJ377" i="3"/>
  <c r="AV375" i="3"/>
  <c r="AN377" i="3"/>
  <c r="AZ375" i="3"/>
  <c r="D79" i="1"/>
  <c r="D31" i="1" s="1"/>
  <c r="D72" i="1"/>
  <c r="Y235" i="3"/>
  <c r="Y251" i="3" s="1"/>
  <c r="D36" i="1"/>
  <c r="B29" i="1"/>
  <c r="E71" i="1"/>
  <c r="E23" i="1" s="1"/>
  <c r="D76" i="1"/>
  <c r="D28" i="1" s="1"/>
  <c r="C74" i="1"/>
  <c r="C26" i="1" s="1"/>
  <c r="E38" i="1"/>
  <c r="C29" i="1"/>
  <c r="B73" i="1"/>
  <c r="B25" i="1" s="1"/>
  <c r="F72" i="1"/>
  <c r="F24" i="1" s="1"/>
  <c r="N157" i="3"/>
  <c r="C157" i="3"/>
  <c r="BV154" i="3"/>
  <c r="D29" i="1"/>
  <c r="G72" i="1"/>
  <c r="G24" i="1" s="1"/>
  <c r="B79" i="1"/>
  <c r="B31" i="1" s="1"/>
  <c r="D157" i="3"/>
  <c r="BW156" i="3"/>
  <c r="D37" i="1"/>
  <c r="G36" i="1"/>
  <c r="E29" i="1"/>
  <c r="G76" i="1"/>
  <c r="G28" i="1" s="1"/>
  <c r="C78" i="1"/>
  <c r="C30" i="1" s="1"/>
  <c r="H70" i="1"/>
  <c r="H22" i="1" s="1"/>
  <c r="E77" i="1"/>
  <c r="C79" i="1"/>
  <c r="C31" i="1" s="1"/>
  <c r="AD234" i="3"/>
  <c r="H36" i="1"/>
  <c r="B22" i="1"/>
  <c r="F77" i="1"/>
  <c r="F29" i="1" s="1"/>
  <c r="V157" i="3"/>
  <c r="E140" i="14"/>
  <c r="C22" i="1"/>
  <c r="B69" i="1"/>
  <c r="G77" i="1"/>
  <c r="G29" i="1" s="1"/>
  <c r="AD123" i="3"/>
  <c r="J157" i="3"/>
  <c r="R157" i="3"/>
  <c r="F140" i="14"/>
  <c r="F27" i="1"/>
  <c r="H77" i="1"/>
  <c r="H29" i="1" s="1"/>
  <c r="B74" i="1"/>
  <c r="B26" i="1" s="1"/>
  <c r="J267" i="14"/>
  <c r="J34" i="14" s="1"/>
  <c r="J35" i="14" s="1"/>
  <c r="J41" i="14" s="1"/>
  <c r="C25" i="1"/>
  <c r="C41" i="1"/>
  <c r="B121" i="2"/>
  <c r="B119" i="2"/>
  <c r="B120" i="2"/>
  <c r="Q36" i="3"/>
  <c r="CO36" i="3" s="1"/>
  <c r="Q28" i="3"/>
  <c r="G27" i="1"/>
  <c r="E79" i="2"/>
  <c r="G127" i="2"/>
  <c r="G125" i="2"/>
  <c r="G126" i="2"/>
  <c r="H124" i="2"/>
  <c r="H122" i="2"/>
  <c r="H123" i="2"/>
  <c r="CK33" i="3"/>
  <c r="M81" i="3"/>
  <c r="W34" i="3"/>
  <c r="W28" i="3"/>
  <c r="G80" i="3"/>
  <c r="G44" i="3"/>
  <c r="G4" i="3" s="1"/>
  <c r="BW75" i="3"/>
  <c r="W89" i="3"/>
  <c r="CU41" i="3"/>
  <c r="B20" i="1"/>
  <c r="H27" i="1"/>
  <c r="H127" i="2"/>
  <c r="H125" i="2"/>
  <c r="H126" i="2"/>
  <c r="N81" i="3"/>
  <c r="CL33" i="3"/>
  <c r="B82" i="3"/>
  <c r="BZ34" i="3"/>
  <c r="X34" i="3"/>
  <c r="X28" i="3"/>
  <c r="S84" i="3"/>
  <c r="CQ36" i="3"/>
  <c r="M86" i="3"/>
  <c r="CK38" i="3"/>
  <c r="C20" i="1"/>
  <c r="D80" i="1"/>
  <c r="D5" i="1" s="1"/>
  <c r="F79" i="1"/>
  <c r="F31" i="1" s="1"/>
  <c r="F47" i="1"/>
  <c r="G79" i="2"/>
  <c r="I127" i="2"/>
  <c r="I125" i="2"/>
  <c r="I126" i="2"/>
  <c r="CM33" i="3"/>
  <c r="O81" i="3"/>
  <c r="C82" i="3"/>
  <c r="CA34" i="3"/>
  <c r="Y195" i="3"/>
  <c r="Y82" i="3"/>
  <c r="CW34" i="3"/>
  <c r="N86" i="3"/>
  <c r="CL38" i="3"/>
  <c r="M87" i="3"/>
  <c r="CK39" i="3"/>
  <c r="AG196" i="3"/>
  <c r="AG83" i="3"/>
  <c r="DE35" i="3"/>
  <c r="B126" i="2"/>
  <c r="B127" i="2"/>
  <c r="AF196" i="3"/>
  <c r="CF69" i="3"/>
  <c r="AF83" i="3"/>
  <c r="DD35" i="3"/>
  <c r="BV35" i="3"/>
  <c r="N87" i="3"/>
  <c r="CL39" i="3"/>
  <c r="AA15" i="2"/>
  <c r="X15" i="2"/>
  <c r="Z15" i="2"/>
  <c r="Y15" i="2"/>
  <c r="CL41" i="3"/>
  <c r="N89" i="3"/>
  <c r="D79" i="2"/>
  <c r="F127" i="2"/>
  <c r="F126" i="2"/>
  <c r="F125" i="2"/>
  <c r="V34" i="3"/>
  <c r="V28" i="3"/>
  <c r="U89" i="3"/>
  <c r="CS41" i="3"/>
  <c r="J127" i="2"/>
  <c r="J125" i="2"/>
  <c r="J126" i="2"/>
  <c r="H79" i="1"/>
  <c r="H31" i="1" s="1"/>
  <c r="H47" i="1"/>
  <c r="AA195" i="3"/>
  <c r="AA82" i="3"/>
  <c r="CA68" i="3"/>
  <c r="CY34" i="3"/>
  <c r="P86" i="3"/>
  <c r="CN38" i="3"/>
  <c r="S91" i="3"/>
  <c r="CQ43" i="3"/>
  <c r="B79" i="2"/>
  <c r="J136" i="2"/>
  <c r="J153" i="2" s="1"/>
  <c r="J149" i="2"/>
  <c r="AC196" i="3"/>
  <c r="AC83" i="3"/>
  <c r="DA35" i="3"/>
  <c r="CC69" i="3"/>
  <c r="C79" i="2"/>
  <c r="K81" i="3"/>
  <c r="CI33" i="3"/>
  <c r="I83" i="3"/>
  <c r="CG35" i="3"/>
  <c r="T84" i="3"/>
  <c r="CR36" i="3"/>
  <c r="G79" i="1"/>
  <c r="G31" i="1" s="1"/>
  <c r="G47" i="1"/>
  <c r="B125" i="2"/>
  <c r="CE44" i="3"/>
  <c r="L109" i="2"/>
  <c r="AA6" i="3"/>
  <c r="AA9" i="3" s="1"/>
  <c r="O89" i="3"/>
  <c r="CM41" i="3"/>
  <c r="C31" i="2"/>
  <c r="I120" i="2"/>
  <c r="I121" i="2"/>
  <c r="E139" i="2"/>
  <c r="AC32" i="3"/>
  <c r="AC28" i="3"/>
  <c r="B84" i="3"/>
  <c r="BZ36" i="3"/>
  <c r="E87" i="3"/>
  <c r="CC39" i="3"/>
  <c r="I44" i="1"/>
  <c r="I28" i="1"/>
  <c r="N44" i="3"/>
  <c r="N4" i="3" s="1"/>
  <c r="CL32" i="3"/>
  <c r="D25" i="1"/>
  <c r="D41" i="1"/>
  <c r="J41" i="1"/>
  <c r="K13" i="1"/>
  <c r="K6" i="1"/>
  <c r="E127" i="2"/>
  <c r="E126" i="2"/>
  <c r="C90" i="3"/>
  <c r="CA42" i="3"/>
  <c r="R84" i="3"/>
  <c r="CP36" i="3"/>
  <c r="C64" i="1"/>
  <c r="C12" i="1" s="1"/>
  <c r="C4" i="1" s="1"/>
  <c r="D6" i="3"/>
  <c r="D9" i="3" s="1"/>
  <c r="D7" i="3" s="1"/>
  <c r="J45" i="1"/>
  <c r="D24" i="1"/>
  <c r="J120" i="2"/>
  <c r="J121" i="2"/>
  <c r="F139" i="2"/>
  <c r="H28" i="3"/>
  <c r="H32" i="3"/>
  <c r="AD32" i="3"/>
  <c r="AD28" i="3"/>
  <c r="Y17" i="2"/>
  <c r="AA17" i="2"/>
  <c r="Z17" i="2"/>
  <c r="X17" i="2"/>
  <c r="B124" i="2"/>
  <c r="B122" i="2"/>
  <c r="B123" i="2"/>
  <c r="I28" i="3"/>
  <c r="I32" i="3"/>
  <c r="AE28" i="3"/>
  <c r="AE32" i="3"/>
  <c r="D84" i="3"/>
  <c r="CB36" i="3"/>
  <c r="G87" i="3"/>
  <c r="CE39" i="3"/>
  <c r="BY68" i="3"/>
  <c r="N303" i="14"/>
  <c r="N304" i="14" s="1"/>
  <c r="N305" i="14" s="1"/>
  <c r="N306" i="14" s="1"/>
  <c r="N307" i="14" s="1"/>
  <c r="N308" i="14" s="1"/>
  <c r="N309" i="14" s="1"/>
  <c r="N310" i="14" s="1"/>
  <c r="N311" i="14" s="1"/>
  <c r="N312" i="14" s="1"/>
  <c r="N313" i="14" s="1"/>
  <c r="J44" i="1"/>
  <c r="R89" i="3"/>
  <c r="CP41" i="3"/>
  <c r="CN41" i="3"/>
  <c r="P89" i="3"/>
  <c r="C124" i="2"/>
  <c r="C123" i="2"/>
  <c r="J32" i="3"/>
  <c r="J28" i="3"/>
  <c r="AF32" i="3"/>
  <c r="AF28" i="3"/>
  <c r="AF195" i="3"/>
  <c r="CF68" i="3"/>
  <c r="DD34" i="3"/>
  <c r="BV34" i="3"/>
  <c r="Q88" i="3"/>
  <c r="CO40" i="3"/>
  <c r="T88" i="3"/>
  <c r="CR40" i="3"/>
  <c r="B44" i="3"/>
  <c r="B4" i="3" s="1"/>
  <c r="U60" i="3"/>
  <c r="U5" i="3" s="1"/>
  <c r="N83" i="3"/>
  <c r="CL35" i="3"/>
  <c r="H119" i="2"/>
  <c r="H121" i="2"/>
  <c r="H120" i="2"/>
  <c r="F46" i="1"/>
  <c r="F30" i="1"/>
  <c r="B116" i="2"/>
  <c r="B117" i="2"/>
  <c r="B118" i="2"/>
  <c r="AG195" i="3"/>
  <c r="AG292" i="3" s="1"/>
  <c r="DE34" i="3"/>
  <c r="AG82" i="3"/>
  <c r="I87" i="3"/>
  <c r="CG39" i="3"/>
  <c r="CU33" i="3"/>
  <c r="BW67" i="3"/>
  <c r="CT40" i="3"/>
  <c r="V88" i="3"/>
  <c r="C44" i="3"/>
  <c r="C4" i="3" s="1"/>
  <c r="C6" i="3" s="1"/>
  <c r="C9" i="3" s="1"/>
  <c r="C7" i="3" s="1"/>
  <c r="V60" i="3"/>
  <c r="V5" i="3" s="1"/>
  <c r="AD196" i="3"/>
  <c r="AD83" i="3"/>
  <c r="DB35" i="3"/>
  <c r="P6" i="3"/>
  <c r="P9" i="3" s="1"/>
  <c r="P7" i="3" s="1"/>
  <c r="AA194" i="3"/>
  <c r="CA67" i="3"/>
  <c r="CY33" i="3"/>
  <c r="AA44" i="3"/>
  <c r="AA4" i="3" s="1"/>
  <c r="L103" i="2"/>
  <c r="O87" i="3"/>
  <c r="CM39" i="3"/>
  <c r="W15" i="2"/>
  <c r="V15" i="2"/>
  <c r="U15" i="2"/>
  <c r="T15" i="2"/>
  <c r="S15" i="2"/>
  <c r="R15" i="2"/>
  <c r="Q15" i="2"/>
  <c r="P15" i="2"/>
  <c r="D126" i="2"/>
  <c r="D127" i="2"/>
  <c r="P84" i="3"/>
  <c r="CN36" i="3"/>
  <c r="X120" i="3"/>
  <c r="C87" i="1"/>
  <c r="CI43" i="3"/>
  <c r="K91" i="3"/>
  <c r="G124" i="2"/>
  <c r="G122" i="2"/>
  <c r="G123" i="2"/>
  <c r="L81" i="3"/>
  <c r="CJ33" i="3"/>
  <c r="H79" i="2"/>
  <c r="O38" i="3"/>
  <c r="O44" i="3" s="1"/>
  <c r="O4" i="3" s="1"/>
  <c r="O6" i="3" s="1"/>
  <c r="O9" i="3" s="1"/>
  <c r="O7" i="3" s="1"/>
  <c r="O28" i="3"/>
  <c r="D125" i="2"/>
  <c r="T91" i="3"/>
  <c r="CR43" i="3"/>
  <c r="G46" i="1"/>
  <c r="G30" i="1"/>
  <c r="G64" i="1"/>
  <c r="G12" i="1" s="1"/>
  <c r="G4" i="1" s="1"/>
  <c r="I119" i="2"/>
  <c r="C116" i="2"/>
  <c r="C117" i="2"/>
  <c r="C118" i="2"/>
  <c r="G84" i="3"/>
  <c r="CE36" i="3"/>
  <c r="Y194" i="3"/>
  <c r="Y291" i="3" s="1"/>
  <c r="BY67" i="3"/>
  <c r="CW33" i="3"/>
  <c r="C50" i="2"/>
  <c r="C82" i="2"/>
  <c r="C18" i="2"/>
  <c r="D115" i="2" s="1"/>
  <c r="C34" i="2"/>
  <c r="D131" i="2" s="1"/>
  <c r="D99" i="2"/>
  <c r="C66" i="2"/>
  <c r="W25" i="2"/>
  <c r="V25" i="2"/>
  <c r="S25" i="2"/>
  <c r="Q25" i="2"/>
  <c r="U25" i="2"/>
  <c r="P25" i="2"/>
  <c r="R25" i="2"/>
  <c r="T25" i="2"/>
  <c r="D124" i="2"/>
  <c r="D123" i="2"/>
  <c r="G83" i="3"/>
  <c r="CE35" i="3"/>
  <c r="C91" i="3"/>
  <c r="CA43" i="3"/>
  <c r="E124" i="2"/>
  <c r="E122" i="2"/>
  <c r="E123" i="2"/>
  <c r="E82" i="3"/>
  <c r="I77" i="1"/>
  <c r="I29" i="1" s="1"/>
  <c r="I45" i="1"/>
  <c r="H44" i="1"/>
  <c r="H28" i="1"/>
  <c r="H30" i="1"/>
  <c r="H46" i="1"/>
  <c r="C112" i="1"/>
  <c r="J119" i="2"/>
  <c r="P37" i="3"/>
  <c r="P28" i="3"/>
  <c r="B86" i="3"/>
  <c r="BZ38" i="3"/>
  <c r="Z194" i="3"/>
  <c r="BZ67" i="3"/>
  <c r="CX33" i="3"/>
  <c r="Z44" i="3"/>
  <c r="Z4" i="3" s="1"/>
  <c r="F88" i="3"/>
  <c r="AC260" i="3"/>
  <c r="AC157" i="3"/>
  <c r="BW154" i="3"/>
  <c r="AC122" i="3"/>
  <c r="W28" i="2"/>
  <c r="V28" i="2"/>
  <c r="S28" i="2"/>
  <c r="C85" i="3"/>
  <c r="CA37" i="3"/>
  <c r="AB195" i="3"/>
  <c r="AB308" i="3" s="1"/>
  <c r="CB68" i="3"/>
  <c r="M44" i="3"/>
  <c r="M4" i="3" s="1"/>
  <c r="M6" i="3" s="1"/>
  <c r="M9" i="3" s="1"/>
  <c r="CK32" i="3"/>
  <c r="M80" i="3"/>
  <c r="G34" i="2"/>
  <c r="H131" i="2" s="1"/>
  <c r="D66" i="2"/>
  <c r="K105" i="2"/>
  <c r="CD35" i="3"/>
  <c r="E120" i="2"/>
  <c r="W24" i="2"/>
  <c r="V24" i="2"/>
  <c r="S24" i="2"/>
  <c r="AA197" i="3"/>
  <c r="CC49" i="3"/>
  <c r="CY36" i="3"/>
  <c r="BW36" i="3" s="1"/>
  <c r="BX36" i="3" s="1"/>
  <c r="X201" i="3"/>
  <c r="BX74" i="3"/>
  <c r="CV40" i="3"/>
  <c r="X88" i="3"/>
  <c r="CZ34" i="3"/>
  <c r="X115" i="3"/>
  <c r="X227" i="3" s="1"/>
  <c r="X243" i="3" s="1"/>
  <c r="W27" i="2"/>
  <c r="V27" i="2"/>
  <c r="S27" i="2"/>
  <c r="B63" i="2"/>
  <c r="J82" i="2"/>
  <c r="AB197" i="3"/>
  <c r="AB294" i="3" s="1"/>
  <c r="AB342" i="3" s="1"/>
  <c r="CZ36" i="3"/>
  <c r="AA198" i="3"/>
  <c r="CA71" i="3"/>
  <c r="CY37" i="3"/>
  <c r="BW37" i="3" s="1"/>
  <c r="X199" i="3"/>
  <c r="X86" i="3"/>
  <c r="BX72" i="3"/>
  <c r="CV38" i="3"/>
  <c r="X200" i="3"/>
  <c r="X297" i="3" s="1"/>
  <c r="BX73" i="3"/>
  <c r="CV39" i="3"/>
  <c r="F90" i="3"/>
  <c r="CD42" i="3"/>
  <c r="AB203" i="3"/>
  <c r="AB90" i="3"/>
  <c r="CB76" i="3"/>
  <c r="CH35" i="3"/>
  <c r="BX155" i="3"/>
  <c r="Y115" i="3"/>
  <c r="Y227" i="3" s="1"/>
  <c r="Y243" i="3" s="1"/>
  <c r="Y157" i="3"/>
  <c r="Y253" i="3" s="1"/>
  <c r="AE311" i="3"/>
  <c r="BV150" i="3"/>
  <c r="BY150" i="3"/>
  <c r="BX154" i="3"/>
  <c r="BW150" i="3"/>
  <c r="BX156" i="3"/>
  <c r="BY151" i="3"/>
  <c r="BX151" i="3"/>
  <c r="G82" i="2"/>
  <c r="G18" i="2"/>
  <c r="H115" i="2" s="1"/>
  <c r="AG194" i="3"/>
  <c r="AG291" i="3" s="1"/>
  <c r="AG81" i="3"/>
  <c r="DE33" i="3"/>
  <c r="CM32" i="3"/>
  <c r="O80" i="3"/>
  <c r="AF76" i="3"/>
  <c r="AF8" i="3" s="1"/>
  <c r="K299" i="14"/>
  <c r="K39" i="14"/>
  <c r="Z157" i="3"/>
  <c r="Z253" i="3" s="1"/>
  <c r="BW147" i="3"/>
  <c r="Z115" i="3"/>
  <c r="Q86" i="3"/>
  <c r="CO38" i="3"/>
  <c r="V84" i="3"/>
  <c r="CT36" i="3"/>
  <c r="I64" i="1"/>
  <c r="I12" i="1" s="1"/>
  <c r="I4" i="1" s="1"/>
  <c r="W84" i="3"/>
  <c r="CG49" i="3"/>
  <c r="CU36" i="3"/>
  <c r="G23" i="1"/>
  <c r="BW72" i="3"/>
  <c r="W86" i="3"/>
  <c r="CU38" i="3"/>
  <c r="F43" i="1"/>
  <c r="F91" i="3"/>
  <c r="H43" i="1"/>
  <c r="G69" i="1"/>
  <c r="G21" i="1" s="1"/>
  <c r="J85" i="1"/>
  <c r="M34" i="2"/>
  <c r="N131" i="2" s="1"/>
  <c r="M66" i="2"/>
  <c r="N99" i="2"/>
  <c r="T16" i="2"/>
  <c r="P18" i="2"/>
  <c r="Q19" i="2"/>
  <c r="R20" i="2"/>
  <c r="R24" i="2"/>
  <c r="Q27" i="2"/>
  <c r="P30" i="2"/>
  <c r="D63" i="2"/>
  <c r="H99" i="2"/>
  <c r="L108" i="2"/>
  <c r="E118" i="2"/>
  <c r="E121" i="2"/>
  <c r="Q81" i="3"/>
  <c r="Q92" i="3" s="1"/>
  <c r="CO33" i="3"/>
  <c r="M82" i="3"/>
  <c r="CK34" i="3"/>
  <c r="G85" i="3"/>
  <c r="CE37" i="3"/>
  <c r="AC198" i="3"/>
  <c r="AC85" i="3"/>
  <c r="CC71" i="3"/>
  <c r="DA37" i="3"/>
  <c r="D87" i="3"/>
  <c r="CB39" i="3"/>
  <c r="Z200" i="3"/>
  <c r="Z313" i="3" s="1"/>
  <c r="Z87" i="3"/>
  <c r="CX39" i="3"/>
  <c r="BZ73" i="3"/>
  <c r="H90" i="3"/>
  <c r="CF42" i="3"/>
  <c r="AD203" i="3"/>
  <c r="AD90" i="3"/>
  <c r="AA28" i="3"/>
  <c r="I81" i="3"/>
  <c r="CJ35" i="3"/>
  <c r="D60" i="3"/>
  <c r="D5" i="3" s="1"/>
  <c r="Q77" i="3" a="1"/>
  <c r="Q77" i="3" s="1"/>
  <c r="AF294" i="3"/>
  <c r="AF342" i="3" s="1"/>
  <c r="AF117" i="3"/>
  <c r="AF229" i="3" s="1"/>
  <c r="BV138" i="3"/>
  <c r="C76" i="1"/>
  <c r="C28" i="1" s="1"/>
  <c r="E50" i="2"/>
  <c r="E82" i="2"/>
  <c r="E18" i="2"/>
  <c r="F115" i="2" s="1"/>
  <c r="S86" i="3"/>
  <c r="CQ38" i="3"/>
  <c r="S81" i="3"/>
  <c r="J108" i="1"/>
  <c r="F119" i="2"/>
  <c r="F120" i="2"/>
  <c r="T28" i="2"/>
  <c r="Y197" i="3"/>
  <c r="Y84" i="3"/>
  <c r="CW36" i="3"/>
  <c r="AA204" i="3"/>
  <c r="CA77" i="3"/>
  <c r="CY43" i="3"/>
  <c r="AA91" i="3"/>
  <c r="I18" i="2"/>
  <c r="J115" i="2" s="1"/>
  <c r="I34" i="2"/>
  <c r="J131" i="2" s="1"/>
  <c r="AB204" i="3"/>
  <c r="AB301" i="3" s="1"/>
  <c r="CZ43" i="3"/>
  <c r="I82" i="2"/>
  <c r="BZ40" i="3"/>
  <c r="B88" i="3"/>
  <c r="AD157" i="3"/>
  <c r="I85" i="1"/>
  <c r="P19" i="2"/>
  <c r="C63" i="2"/>
  <c r="V16" i="2"/>
  <c r="Q18" i="2"/>
  <c r="R19" i="2"/>
  <c r="S20" i="2"/>
  <c r="T24" i="2"/>
  <c r="R27" i="2"/>
  <c r="Q30" i="2"/>
  <c r="M82" i="2"/>
  <c r="F118" i="2"/>
  <c r="F121" i="2"/>
  <c r="Z6" i="3"/>
  <c r="Z9" i="3" s="1"/>
  <c r="Z7" i="3" s="1"/>
  <c r="R81" i="3"/>
  <c r="CP33" i="3"/>
  <c r="CL34" i="3"/>
  <c r="N82" i="3"/>
  <c r="M83" i="3"/>
  <c r="CK35" i="3"/>
  <c r="AD85" i="3"/>
  <c r="AD198" i="3"/>
  <c r="AD311" i="3" s="1"/>
  <c r="AA200" i="3"/>
  <c r="AA87" i="3"/>
  <c r="CA73" i="3"/>
  <c r="AB201" i="3"/>
  <c r="CB74" i="3"/>
  <c r="CZ40" i="3"/>
  <c r="AB202" i="3"/>
  <c r="CZ41" i="3"/>
  <c r="BW41" i="3" s="1"/>
  <c r="CB75" i="3"/>
  <c r="I90" i="3"/>
  <c r="CG42" i="3"/>
  <c r="AE203" i="3"/>
  <c r="AE300" i="3" s="1"/>
  <c r="AE90" i="3"/>
  <c r="CE76" i="3"/>
  <c r="U90" i="3"/>
  <c r="AF259" i="3"/>
  <c r="AF119" i="3"/>
  <c r="AF231" i="3" s="1"/>
  <c r="AA203" i="3"/>
  <c r="AA316" i="3" s="1"/>
  <c r="CA76" i="3"/>
  <c r="AA90" i="3"/>
  <c r="AC203" i="3"/>
  <c r="AC90" i="3"/>
  <c r="DA42" i="3"/>
  <c r="K104" i="2"/>
  <c r="S303" i="14"/>
  <c r="S304" i="14"/>
  <c r="S305" i="14" s="1"/>
  <c r="S306" i="14" s="1"/>
  <c r="S307" i="14" s="1"/>
  <c r="S308" i="14" s="1"/>
  <c r="S309" i="14" s="1"/>
  <c r="S310" i="14" s="1"/>
  <c r="S311" i="14" s="1"/>
  <c r="S312" i="14" s="1"/>
  <c r="S313" i="14" s="1"/>
  <c r="CC35" i="3"/>
  <c r="E83" i="3"/>
  <c r="Y204" i="3"/>
  <c r="Y301" i="3" s="1"/>
  <c r="Y91" i="3"/>
  <c r="BY77" i="3"/>
  <c r="CW43" i="3"/>
  <c r="N80" i="3"/>
  <c r="J64" i="1"/>
  <c r="J12" i="1" s="1"/>
  <c r="J4" i="1" s="1"/>
  <c r="X203" i="3"/>
  <c r="BX76" i="3"/>
  <c r="CV42" i="3"/>
  <c r="X90" i="3"/>
  <c r="T81" i="3"/>
  <c r="AC56" i="14"/>
  <c r="AB56" i="14"/>
  <c r="L85" i="3"/>
  <c r="CJ37" i="3"/>
  <c r="CN32" i="3"/>
  <c r="P44" i="3"/>
  <c r="P4" i="3" s="1"/>
  <c r="V86" i="3"/>
  <c r="CT38" i="3"/>
  <c r="H40" i="1"/>
  <c r="J102" i="1"/>
  <c r="F66" i="2"/>
  <c r="D85" i="3"/>
  <c r="CB37" i="3"/>
  <c r="I40" i="1"/>
  <c r="G43" i="1"/>
  <c r="F96" i="1"/>
  <c r="Q24" i="2"/>
  <c r="P81" i="3"/>
  <c r="CN33" i="3"/>
  <c r="Y87" i="3"/>
  <c r="Y200" i="3"/>
  <c r="Y297" i="3" s="1"/>
  <c r="BY73" i="3"/>
  <c r="Z28" i="3"/>
  <c r="CI35" i="3"/>
  <c r="CW39" i="3"/>
  <c r="W16" i="2"/>
  <c r="R18" i="2"/>
  <c r="S19" i="2"/>
  <c r="T20" i="2"/>
  <c r="U24" i="2"/>
  <c r="T27" i="2"/>
  <c r="R30" i="2"/>
  <c r="G47" i="2"/>
  <c r="B95" i="2"/>
  <c r="J99" i="2"/>
  <c r="G118" i="2"/>
  <c r="G121" i="2"/>
  <c r="CM34" i="3"/>
  <c r="O82" i="3"/>
  <c r="I85" i="3"/>
  <c r="CG37" i="3"/>
  <c r="AE85" i="3"/>
  <c r="AE198" i="3"/>
  <c r="CE71" i="3"/>
  <c r="F87" i="3"/>
  <c r="CD39" i="3"/>
  <c r="AB200" i="3"/>
  <c r="AB297" i="3" s="1"/>
  <c r="AB87" i="3"/>
  <c r="CZ39" i="3"/>
  <c r="BW39" i="3" s="1"/>
  <c r="BX39" i="3" s="1"/>
  <c r="AC201" i="3"/>
  <c r="CC74" i="3"/>
  <c r="DA40" i="3"/>
  <c r="BW40" i="3" s="1"/>
  <c r="J90" i="3"/>
  <c r="CH42" i="3"/>
  <c r="AF203" i="3"/>
  <c r="AF90" i="3"/>
  <c r="BV42" i="3"/>
  <c r="CF76" i="3"/>
  <c r="CG33" i="3"/>
  <c r="D86" i="3"/>
  <c r="CB38" i="3"/>
  <c r="C88" i="3"/>
  <c r="CA40" i="3"/>
  <c r="U84" i="3"/>
  <c r="CS36" i="3"/>
  <c r="CK43" i="3"/>
  <c r="M91" i="3"/>
  <c r="R303" i="14"/>
  <c r="R304" i="14"/>
  <c r="R305" i="14" s="1"/>
  <c r="R306" i="14" s="1"/>
  <c r="R307" i="14" s="1"/>
  <c r="R308" i="14" s="1"/>
  <c r="R309" i="14" s="1"/>
  <c r="R310" i="14" s="1"/>
  <c r="R311" i="14" s="1"/>
  <c r="R312" i="14" s="1"/>
  <c r="R313" i="14" s="1"/>
  <c r="F42" i="1"/>
  <c r="P28" i="2"/>
  <c r="X197" i="3"/>
  <c r="X84" i="3"/>
  <c r="BX70" i="3"/>
  <c r="CV36" i="3"/>
  <c r="F85" i="3"/>
  <c r="CD37" i="3"/>
  <c r="O91" i="3"/>
  <c r="CM43" i="3"/>
  <c r="AC195" i="3"/>
  <c r="DA34" i="3"/>
  <c r="U88" i="3"/>
  <c r="CS40" i="3"/>
  <c r="H85" i="3"/>
  <c r="CF37" i="3"/>
  <c r="CN43" i="3"/>
  <c r="P91" i="3"/>
  <c r="AG32" i="3"/>
  <c r="J76" i="3"/>
  <c r="J8" i="3" s="1"/>
  <c r="H23" i="1"/>
  <c r="I112" i="1"/>
  <c r="P16" i="2"/>
  <c r="BV31" i="3"/>
  <c r="CS38" i="3"/>
  <c r="K18" i="2"/>
  <c r="L115" i="2" s="1"/>
  <c r="K34" i="2"/>
  <c r="L131" i="2" s="1"/>
  <c r="K66" i="2"/>
  <c r="R16" i="2"/>
  <c r="P24" i="2"/>
  <c r="F99" i="2"/>
  <c r="I46" i="1"/>
  <c r="S18" i="2"/>
  <c r="T19" i="2"/>
  <c r="U20" i="2"/>
  <c r="U27" i="2"/>
  <c r="T30" i="2"/>
  <c r="H47" i="2"/>
  <c r="C95" i="2"/>
  <c r="L99" i="2"/>
  <c r="K109" i="2"/>
  <c r="H118" i="2"/>
  <c r="AB8" i="3"/>
  <c r="W80" i="3"/>
  <c r="W44" i="3"/>
  <c r="W4" i="3" s="1"/>
  <c r="W6" i="3" s="1"/>
  <c r="W9" i="3" s="1"/>
  <c r="W7" i="3" s="1"/>
  <c r="BW66" i="3"/>
  <c r="K84" i="3"/>
  <c r="J85" i="3"/>
  <c r="CH37" i="3"/>
  <c r="AF85" i="3"/>
  <c r="AF198" i="3"/>
  <c r="DD37" i="3"/>
  <c r="BV37" i="3"/>
  <c r="BX37" i="3" s="1"/>
  <c r="CF71" i="3"/>
  <c r="AC87" i="3"/>
  <c r="DA39" i="3"/>
  <c r="AC200" i="3"/>
  <c r="CA36" i="3"/>
  <c r="Z199" i="3"/>
  <c r="BZ72" i="3"/>
  <c r="Z86" i="3"/>
  <c r="CQ41" i="3"/>
  <c r="BZ49" i="3"/>
  <c r="BW70" i="3"/>
  <c r="AC202" i="3"/>
  <c r="AC315" i="3" s="1"/>
  <c r="AC89" i="3"/>
  <c r="CC75" i="3"/>
  <c r="DA41" i="3"/>
  <c r="D112" i="1"/>
  <c r="R86" i="3"/>
  <c r="CP38" i="3"/>
  <c r="CC43" i="3"/>
  <c r="E91" i="3"/>
  <c r="U28" i="2"/>
  <c r="Z198" i="3"/>
  <c r="Z295" i="3" s="1"/>
  <c r="Z85" i="3"/>
  <c r="BZ71" i="3"/>
  <c r="CX37" i="3"/>
  <c r="L18" i="2"/>
  <c r="M115" i="2" s="1"/>
  <c r="L34" i="2"/>
  <c r="M131" i="2" s="1"/>
  <c r="L66" i="2"/>
  <c r="K82" i="2"/>
  <c r="Y199" i="3"/>
  <c r="BY72" i="3"/>
  <c r="CW38" i="3"/>
  <c r="C27" i="1"/>
  <c r="D27" i="1"/>
  <c r="J46" i="1"/>
  <c r="D96" i="1"/>
  <c r="E112" i="1"/>
  <c r="J103" i="1" s="1"/>
  <c r="T18" i="2"/>
  <c r="U19" i="2"/>
  <c r="V20" i="2"/>
  <c r="I47" i="2"/>
  <c r="D95" i="2"/>
  <c r="M99" i="2"/>
  <c r="D116" i="2"/>
  <c r="I118" i="2"/>
  <c r="I128" i="2" s="1"/>
  <c r="D136" i="2"/>
  <c r="D153" i="2" s="1"/>
  <c r="B28" i="3"/>
  <c r="X80" i="3"/>
  <c r="BX66" i="3"/>
  <c r="Q82" i="3"/>
  <c r="K85" i="3"/>
  <c r="CI37" i="3"/>
  <c r="H87" i="3"/>
  <c r="CF39" i="3"/>
  <c r="AD200" i="3"/>
  <c r="AD87" i="3"/>
  <c r="DB39" i="3"/>
  <c r="CG41" i="3"/>
  <c r="I89" i="3"/>
  <c r="Y196" i="3"/>
  <c r="CW35" i="3"/>
  <c r="AB199" i="3"/>
  <c r="CB49" i="3"/>
  <c r="BY70" i="3"/>
  <c r="T77" i="3" a="1"/>
  <c r="T77" i="3" s="1"/>
  <c r="Z291" i="3"/>
  <c r="Z114" i="3"/>
  <c r="BW130" i="3"/>
  <c r="Z195" i="3"/>
  <c r="Z308" i="3" s="1"/>
  <c r="Z82" i="3"/>
  <c r="BW77" i="3"/>
  <c r="CU43" i="3"/>
  <c r="X204" i="3"/>
  <c r="X317" i="3" s="1"/>
  <c r="BX77" i="3"/>
  <c r="CV43" i="3"/>
  <c r="DD41" i="3"/>
  <c r="CF75" i="3"/>
  <c r="BV41" i="3"/>
  <c r="AF202" i="3"/>
  <c r="AF315" i="3" s="1"/>
  <c r="M28" i="3"/>
  <c r="G112" i="1"/>
  <c r="K100" i="1" s="1"/>
  <c r="N28" i="3"/>
  <c r="T86" i="3"/>
  <c r="CR38" i="3"/>
  <c r="K64" i="1"/>
  <c r="K12" i="1" s="1"/>
  <c r="K4" i="1" s="1"/>
  <c r="H82" i="2"/>
  <c r="H18" i="2"/>
  <c r="I115" i="2" s="1"/>
  <c r="H66" i="2"/>
  <c r="AD195" i="3"/>
  <c r="AD308" i="3" s="1"/>
  <c r="CD68" i="3"/>
  <c r="U81" i="3"/>
  <c r="H83" i="3"/>
  <c r="CF35" i="3"/>
  <c r="CB42" i="3"/>
  <c r="D90" i="3"/>
  <c r="CX34" i="3"/>
  <c r="I23" i="1"/>
  <c r="AF81" i="3"/>
  <c r="D121" i="2"/>
  <c r="AB198" i="3"/>
  <c r="CZ37" i="3"/>
  <c r="E27" i="1"/>
  <c r="J47" i="1"/>
  <c r="H89" i="1"/>
  <c r="H73" i="1" s="1"/>
  <c r="H25" i="1" s="1"/>
  <c r="U18" i="2"/>
  <c r="V19" i="2"/>
  <c r="AA20" i="2"/>
  <c r="Z20" i="2"/>
  <c r="Y20" i="2"/>
  <c r="W26" i="2"/>
  <c r="V26" i="2"/>
  <c r="S26" i="2"/>
  <c r="E95" i="2"/>
  <c r="E116" i="2"/>
  <c r="E128" i="2" s="1"/>
  <c r="E136" i="2"/>
  <c r="E153" i="2" s="1"/>
  <c r="C28" i="3"/>
  <c r="Y28" i="3"/>
  <c r="Y32" i="3"/>
  <c r="AE200" i="3"/>
  <c r="AE87" i="3"/>
  <c r="DC39" i="3"/>
  <c r="CE73" i="3"/>
  <c r="Z196" i="3"/>
  <c r="CX35" i="3"/>
  <c r="AC199" i="3"/>
  <c r="CC72" i="3"/>
  <c r="DA38" i="3"/>
  <c r="CY42" i="3"/>
  <c r="BW42" i="3" s="1"/>
  <c r="Q60" i="3"/>
  <c r="Q5" i="3" s="1"/>
  <c r="CD49" i="3"/>
  <c r="BW69" i="3"/>
  <c r="CB71" i="3"/>
  <c r="Z118" i="3"/>
  <c r="Z230" i="3" s="1"/>
  <c r="Z246" i="3" s="1"/>
  <c r="E53" i="1"/>
  <c r="S16" i="2"/>
  <c r="C87" i="3"/>
  <c r="CA39" i="3"/>
  <c r="V18" i="2"/>
  <c r="W29" i="2"/>
  <c r="V29" i="2"/>
  <c r="S29" i="2"/>
  <c r="F95" i="2"/>
  <c r="F116" i="2"/>
  <c r="F136" i="2"/>
  <c r="F153" i="2" s="1"/>
  <c r="D80" i="3"/>
  <c r="D44" i="3"/>
  <c r="D4" i="3" s="1"/>
  <c r="CB32" i="3"/>
  <c r="Z193" i="3"/>
  <c r="Z80" i="3"/>
  <c r="BZ66" i="3"/>
  <c r="CX32" i="3"/>
  <c r="M85" i="3"/>
  <c r="CK37" i="3"/>
  <c r="J87" i="3"/>
  <c r="CH39" i="3"/>
  <c r="AF200" i="3"/>
  <c r="AF297" i="3" s="1"/>
  <c r="AF345" i="3" s="1"/>
  <c r="AF87" i="3"/>
  <c r="DD39" i="3"/>
  <c r="CF73" i="3"/>
  <c r="CI41" i="3"/>
  <c r="K89" i="3"/>
  <c r="AA196" i="3"/>
  <c r="CY35" i="3"/>
  <c r="AA83" i="3"/>
  <c r="AE199" i="3"/>
  <c r="CE72" i="3"/>
  <c r="AE86" i="3"/>
  <c r="CZ42" i="3"/>
  <c r="CE49" i="3"/>
  <c r="CA70" i="3"/>
  <c r="CD71" i="3"/>
  <c r="AI67" i="3"/>
  <c r="C83" i="3"/>
  <c r="D50" i="2"/>
  <c r="D82" i="2"/>
  <c r="C126" i="2"/>
  <c r="C127" i="2"/>
  <c r="B43" i="1"/>
  <c r="B27" i="1"/>
  <c r="H64" i="1"/>
  <c r="H12" i="1" s="1"/>
  <c r="H4" i="1" s="1"/>
  <c r="F79" i="2"/>
  <c r="I153" i="2"/>
  <c r="L28" i="3"/>
  <c r="L32" i="3"/>
  <c r="CT42" i="3"/>
  <c r="V90" i="3"/>
  <c r="K32" i="3"/>
  <c r="F50" i="2"/>
  <c r="F82" i="2"/>
  <c r="F18" i="2"/>
  <c r="G115" i="2" s="1"/>
  <c r="F34" i="2"/>
  <c r="G131" i="2" s="1"/>
  <c r="Q28" i="2"/>
  <c r="Z197" i="3"/>
  <c r="Z84" i="3"/>
  <c r="CX36" i="3"/>
  <c r="AD76" i="3"/>
  <c r="AD8" i="3" s="1"/>
  <c r="R28" i="2"/>
  <c r="AE299" i="3"/>
  <c r="BW138" i="3"/>
  <c r="AE122" i="3"/>
  <c r="H34" i="2"/>
  <c r="I131" i="2" s="1"/>
  <c r="E66" i="2"/>
  <c r="L101" i="2"/>
  <c r="L106" i="2"/>
  <c r="L100" i="2"/>
  <c r="L105" i="2"/>
  <c r="Y198" i="3"/>
  <c r="BY71" i="3"/>
  <c r="Z203" i="3"/>
  <c r="BZ76" i="3"/>
  <c r="CX42" i="3"/>
  <c r="Z90" i="3"/>
  <c r="D18" i="2"/>
  <c r="E115" i="2" s="1"/>
  <c r="AE196" i="3"/>
  <c r="AE83" i="3"/>
  <c r="CE69" i="3"/>
  <c r="DC35" i="3"/>
  <c r="E90" i="3"/>
  <c r="CC42" i="3"/>
  <c r="AE195" i="3"/>
  <c r="CE68" i="3"/>
  <c r="DC34" i="3"/>
  <c r="I79" i="1"/>
  <c r="I31" i="1" s="1"/>
  <c r="E96" i="1"/>
  <c r="P20" i="2"/>
  <c r="K45" i="1"/>
  <c r="H74" i="1"/>
  <c r="H26" i="1" s="1"/>
  <c r="Q20" i="2"/>
  <c r="P27" i="2"/>
  <c r="Z201" i="3"/>
  <c r="BZ74" i="3"/>
  <c r="Z88" i="3"/>
  <c r="B39" i="1"/>
  <c r="B48" i="1" s="1"/>
  <c r="B11" i="1" s="1"/>
  <c r="B44" i="1"/>
  <c r="B21" i="1"/>
  <c r="E44" i="1"/>
  <c r="G96" i="1"/>
  <c r="H112" i="1"/>
  <c r="Q26" i="2"/>
  <c r="P29" i="2"/>
  <c r="L102" i="2"/>
  <c r="L110" i="2"/>
  <c r="G116" i="2"/>
  <c r="G136" i="2"/>
  <c r="G153" i="2" s="1"/>
  <c r="F124" i="2"/>
  <c r="F122" i="2"/>
  <c r="B153" i="2"/>
  <c r="C148" i="2"/>
  <c r="E32" i="3"/>
  <c r="E28" i="3"/>
  <c r="AA193" i="3"/>
  <c r="AA80" i="3"/>
  <c r="CA66" i="3"/>
  <c r="X194" i="3"/>
  <c r="CV33" i="3"/>
  <c r="BX67" i="3"/>
  <c r="CR34" i="3"/>
  <c r="T82" i="3"/>
  <c r="CJ41" i="3"/>
  <c r="L89" i="3"/>
  <c r="Q91" i="3"/>
  <c r="CO43" i="3"/>
  <c r="AB196" i="3"/>
  <c r="CZ35" i="3"/>
  <c r="DB42" i="3"/>
  <c r="K60" i="3"/>
  <c r="K5" i="3" s="1"/>
  <c r="S60" i="3"/>
  <c r="S5" i="3" s="1"/>
  <c r="CF49" i="3"/>
  <c r="BY69" i="3"/>
  <c r="CB70" i="3"/>
  <c r="D83" i="3"/>
  <c r="K44" i="1"/>
  <c r="K48" i="1" s="1"/>
  <c r="K11" i="1" s="1"/>
  <c r="K107" i="2"/>
  <c r="K101" i="2"/>
  <c r="K106" i="2"/>
  <c r="K100" i="2"/>
  <c r="K110" i="2"/>
  <c r="D28" i="3"/>
  <c r="AE202" i="3"/>
  <c r="DC41" i="3"/>
  <c r="CE75" i="3"/>
  <c r="D120" i="2"/>
  <c r="Y203" i="3"/>
  <c r="BY76" i="3"/>
  <c r="Y90" i="3"/>
  <c r="B96" i="1"/>
  <c r="J18" i="2"/>
  <c r="K115" i="2" s="1"/>
  <c r="J34" i="2"/>
  <c r="K131" i="2" s="1"/>
  <c r="K99" i="2"/>
  <c r="Q16" i="2"/>
  <c r="E99" i="2"/>
  <c r="M112" i="2"/>
  <c r="G120" i="2"/>
  <c r="Q44" i="3"/>
  <c r="Q4" i="3" s="1"/>
  <c r="Q6" i="3" s="1"/>
  <c r="Q9" i="3" s="1"/>
  <c r="Q7" i="3" s="1"/>
  <c r="CO32" i="3"/>
  <c r="CY44" i="3"/>
  <c r="J40" i="1"/>
  <c r="W30" i="2"/>
  <c r="V30" i="2"/>
  <c r="S30" i="2"/>
  <c r="K108" i="2"/>
  <c r="D118" i="2"/>
  <c r="AC197" i="3"/>
  <c r="CA49" i="3"/>
  <c r="AB91" i="3"/>
  <c r="AE118" i="3"/>
  <c r="C44" i="1"/>
  <c r="I42" i="1"/>
  <c r="D46" i="1"/>
  <c r="D30" i="1"/>
  <c r="B64" i="1"/>
  <c r="B12" i="1" s="1"/>
  <c r="B4" i="1" s="1"/>
  <c r="B78" i="1"/>
  <c r="B30" i="1" s="1"/>
  <c r="H96" i="1"/>
  <c r="AA18" i="2"/>
  <c r="X18" i="2"/>
  <c r="R26" i="2"/>
  <c r="Q29" i="2"/>
  <c r="D47" i="2"/>
  <c r="I79" i="2"/>
  <c r="H116" i="2"/>
  <c r="H136" i="2"/>
  <c r="H153" i="2" s="1"/>
  <c r="B80" i="3"/>
  <c r="B6" i="3"/>
  <c r="B9" i="3" s="1"/>
  <c r="B7" i="3" s="1"/>
  <c r="AG76" i="3"/>
  <c r="AG9" i="3"/>
  <c r="M10" i="3"/>
  <c r="N3" i="3" s="1"/>
  <c r="F32" i="3"/>
  <c r="F28" i="3"/>
  <c r="AB32" i="3"/>
  <c r="AB28" i="3"/>
  <c r="U82" i="3"/>
  <c r="CS34" i="3"/>
  <c r="CJ38" i="3"/>
  <c r="L86" i="3"/>
  <c r="CJ39" i="3"/>
  <c r="L87" i="3"/>
  <c r="M89" i="3"/>
  <c r="R91" i="3"/>
  <c r="CP43" i="3"/>
  <c r="CB34" i="3"/>
  <c r="DC42" i="3"/>
  <c r="BZ69" i="3"/>
  <c r="CC70" i="3"/>
  <c r="Z83" i="3"/>
  <c r="AA201" i="3"/>
  <c r="AA88" i="3"/>
  <c r="Q89" i="3"/>
  <c r="Z204" i="3"/>
  <c r="Z91" i="3"/>
  <c r="BZ77" i="3"/>
  <c r="N91" i="3"/>
  <c r="CL43" i="3"/>
  <c r="L60" i="3"/>
  <c r="L5" i="3" s="1"/>
  <c r="V81" i="3"/>
  <c r="U83" i="3"/>
  <c r="E86" i="3"/>
  <c r="AA86" i="3"/>
  <c r="AB252" i="3"/>
  <c r="AA308" i="3"/>
  <c r="AA115" i="3"/>
  <c r="AA227" i="3" s="1"/>
  <c r="AA243" i="3" s="1"/>
  <c r="W81" i="3"/>
  <c r="AB86" i="3"/>
  <c r="AC252" i="3"/>
  <c r="Z19" i="2"/>
  <c r="AD197" i="3"/>
  <c r="AD294" i="3" s="1"/>
  <c r="CD70" i="3"/>
  <c r="P87" i="3"/>
  <c r="AD201" i="3"/>
  <c r="AC204" i="3"/>
  <c r="CC77" i="3"/>
  <c r="CF36" i="3"/>
  <c r="X198" i="3"/>
  <c r="BX71" i="3"/>
  <c r="CV37" i="3"/>
  <c r="AC91" i="3"/>
  <c r="H86" i="3"/>
  <c r="AD86" i="3"/>
  <c r="G88" i="3"/>
  <c r="AC88" i="3"/>
  <c r="Z227" i="3"/>
  <c r="Z243" i="3" s="1"/>
  <c r="AC247" i="3"/>
  <c r="X16" i="2"/>
  <c r="B82" i="2"/>
  <c r="I84" i="3"/>
  <c r="CG36" i="3"/>
  <c r="DC36" i="3"/>
  <c r="AE197" i="3"/>
  <c r="AE294" i="3" s="1"/>
  <c r="R85" i="3"/>
  <c r="CP37" i="3"/>
  <c r="AA199" i="3"/>
  <c r="CA72" i="3"/>
  <c r="CY38" i="3"/>
  <c r="AE201" i="3"/>
  <c r="AC194" i="3"/>
  <c r="CC67" i="3"/>
  <c r="DA33" i="3"/>
  <c r="CI36" i="3"/>
  <c r="Y201" i="3"/>
  <c r="Y298" i="3" s="1"/>
  <c r="BY74" i="3"/>
  <c r="Y88" i="3"/>
  <c r="D81" i="3"/>
  <c r="Z81" i="3"/>
  <c r="H88" i="3"/>
  <c r="AD88" i="3"/>
  <c r="AB225" i="3"/>
  <c r="AB257" i="3"/>
  <c r="AB141" i="3"/>
  <c r="AA314" i="3"/>
  <c r="AA121" i="3"/>
  <c r="AA233" i="3" s="1"/>
  <c r="R44" i="3"/>
  <c r="R4" i="3" s="1"/>
  <c r="R6" i="3" s="1"/>
  <c r="R9" i="3" s="1"/>
  <c r="CP32" i="3"/>
  <c r="CF70" i="3"/>
  <c r="AF197" i="3"/>
  <c r="AF84" i="3"/>
  <c r="AF201" i="3"/>
  <c r="AF314" i="3" s="1"/>
  <c r="BV40" i="3"/>
  <c r="P90" i="3"/>
  <c r="CN42" i="3"/>
  <c r="CN39" i="3"/>
  <c r="DB40" i="3"/>
  <c r="P60" i="3"/>
  <c r="P5" i="3" s="1"/>
  <c r="B76" i="3"/>
  <c r="B8" i="3" s="1"/>
  <c r="X76" i="3"/>
  <c r="X8" i="3" s="1"/>
  <c r="C76" i="3"/>
  <c r="C8" i="3" s="1"/>
  <c r="Y77" i="3" a="1"/>
  <c r="Y77" i="3" s="1"/>
  <c r="Y76" i="3"/>
  <c r="Y8" i="3" s="1"/>
  <c r="CA74" i="3"/>
  <c r="E81" i="3"/>
  <c r="AA81" i="3"/>
  <c r="AF86" i="3"/>
  <c r="S87" i="3"/>
  <c r="AC257" i="3"/>
  <c r="AC113" i="3"/>
  <c r="AC141" i="3"/>
  <c r="AC11" i="3" s="1"/>
  <c r="AB292" i="3"/>
  <c r="AB340" i="3" s="1"/>
  <c r="BW131" i="3"/>
  <c r="AC120" i="3"/>
  <c r="AC232" i="3" s="1"/>
  <c r="AD252" i="3"/>
  <c r="F112" i="1"/>
  <c r="Z16" i="2"/>
  <c r="X24" i="2"/>
  <c r="X25" i="2"/>
  <c r="X26" i="2"/>
  <c r="X27" i="2"/>
  <c r="X28" i="2"/>
  <c r="X29" i="2"/>
  <c r="X30" i="2"/>
  <c r="AH9" i="3"/>
  <c r="S28" i="3"/>
  <c r="F81" i="3"/>
  <c r="CD33" i="3"/>
  <c r="AB194" i="3"/>
  <c r="AB307" i="3" s="1"/>
  <c r="AB81" i="3"/>
  <c r="CZ33" i="3"/>
  <c r="X196" i="3"/>
  <c r="CV35" i="3"/>
  <c r="X83" i="3"/>
  <c r="CH43" i="3"/>
  <c r="J91" i="3"/>
  <c r="AF204" i="3"/>
  <c r="CF77" i="3"/>
  <c r="DD43" i="3"/>
  <c r="S32" i="3"/>
  <c r="CO39" i="3"/>
  <c r="DC40" i="3"/>
  <c r="R60" i="3"/>
  <c r="R5" i="3" s="1"/>
  <c r="W76" i="3"/>
  <c r="W8" i="3" s="1"/>
  <c r="D76" i="3"/>
  <c r="D8" i="3" s="1"/>
  <c r="E76" i="3"/>
  <c r="E8" i="3" s="1"/>
  <c r="CD74" i="3"/>
  <c r="K86" i="3"/>
  <c r="T87" i="3"/>
  <c r="J88" i="3"/>
  <c r="AF88" i="3"/>
  <c r="AD257" i="3"/>
  <c r="AD141" i="3"/>
  <c r="AD113" i="3"/>
  <c r="AD225" i="3" s="1"/>
  <c r="AC292" i="3"/>
  <c r="AC115" i="3"/>
  <c r="AC227" i="3" s="1"/>
  <c r="BV136" i="3"/>
  <c r="Y24" i="2"/>
  <c r="Y25" i="2"/>
  <c r="Y26" i="2"/>
  <c r="Y27" i="2"/>
  <c r="Y28" i="2"/>
  <c r="Y29" i="2"/>
  <c r="Y30" i="2"/>
  <c r="AJ7" i="3"/>
  <c r="AI9" i="3"/>
  <c r="T28" i="3"/>
  <c r="T32" i="3"/>
  <c r="AD199" i="3"/>
  <c r="CD72" i="3"/>
  <c r="BX75" i="3"/>
  <c r="X202" i="3"/>
  <c r="CV41" i="3"/>
  <c r="CP39" i="3"/>
  <c r="DD40" i="3"/>
  <c r="CX43" i="3"/>
  <c r="CE74" i="3"/>
  <c r="P82" i="3"/>
  <c r="M84" i="3"/>
  <c r="N84" i="3"/>
  <c r="K88" i="3"/>
  <c r="AE257" i="3"/>
  <c r="BY134" i="3"/>
  <c r="BX129" i="3"/>
  <c r="BY140" i="3"/>
  <c r="BV129" i="3"/>
  <c r="AE225" i="3"/>
  <c r="BX137" i="3"/>
  <c r="AE113" i="3"/>
  <c r="BX140" i="3"/>
  <c r="BY138" i="3"/>
  <c r="BX138" i="3"/>
  <c r="BY135" i="3"/>
  <c r="BY132" i="3"/>
  <c r="AE141" i="3"/>
  <c r="BY130" i="3"/>
  <c r="BX130" i="3"/>
  <c r="BX132" i="3"/>
  <c r="BY139" i="3"/>
  <c r="BX136" i="3"/>
  <c r="BX139" i="3"/>
  <c r="BW129" i="3"/>
  <c r="BY131" i="3"/>
  <c r="BY137" i="3"/>
  <c r="BX131" i="3"/>
  <c r="BY136" i="3"/>
  <c r="BX135" i="3"/>
  <c r="BX134" i="3"/>
  <c r="BY133" i="3"/>
  <c r="BX133" i="3"/>
  <c r="BY129" i="3"/>
  <c r="AD292" i="3"/>
  <c r="AD115" i="3"/>
  <c r="AD227" i="3" s="1"/>
  <c r="BV131" i="3"/>
  <c r="W236" i="3"/>
  <c r="W252" i="3" s="1"/>
  <c r="W301" i="3"/>
  <c r="Z24" i="2"/>
  <c r="Z25" i="2"/>
  <c r="Z26" i="2"/>
  <c r="Z27" i="2"/>
  <c r="Z28" i="2"/>
  <c r="Z29" i="2"/>
  <c r="Z30" i="2"/>
  <c r="U28" i="3"/>
  <c r="U32" i="3"/>
  <c r="AD194" i="3"/>
  <c r="AD291" i="3" s="1"/>
  <c r="CD67" i="3"/>
  <c r="DB33" i="3"/>
  <c r="U87" i="3"/>
  <c r="CS39" i="3"/>
  <c r="Y202" i="3"/>
  <c r="BY75" i="3"/>
  <c r="CW41" i="3"/>
  <c r="AE204" i="3"/>
  <c r="DA43" i="3"/>
  <c r="T60" i="3"/>
  <c r="T5" i="3" s="1"/>
  <c r="CF74" i="3"/>
  <c r="S82" i="3"/>
  <c r="AD84" i="3"/>
  <c r="V87" i="3"/>
  <c r="AB115" i="3"/>
  <c r="AB120" i="3"/>
  <c r="AB232" i="3" s="1"/>
  <c r="AB299" i="3"/>
  <c r="AB234" i="3"/>
  <c r="AB122" i="3"/>
  <c r="P17" i="2"/>
  <c r="CT32" i="3"/>
  <c r="AE194" i="3"/>
  <c r="AE81" i="3"/>
  <c r="CE67" i="3"/>
  <c r="DC33" i="3"/>
  <c r="CP34" i="3"/>
  <c r="R82" i="3"/>
  <c r="AF199" i="3"/>
  <c r="CF72" i="3"/>
  <c r="N88" i="3"/>
  <c r="CL40" i="3"/>
  <c r="Z202" i="3"/>
  <c r="BZ75" i="3"/>
  <c r="CX41" i="3"/>
  <c r="DC43" i="3"/>
  <c r="W87" i="3"/>
  <c r="AD120" i="3"/>
  <c r="AD232" i="3" s="1"/>
  <c r="AF194" i="3"/>
  <c r="CF67" i="3"/>
  <c r="BV33" i="3"/>
  <c r="O84" i="3"/>
  <c r="CM36" i="3"/>
  <c r="BW73" i="3"/>
  <c r="CU39" i="3"/>
  <c r="AA202" i="3"/>
  <c r="AA299" i="3" s="1"/>
  <c r="CA75" i="3"/>
  <c r="CH38" i="3"/>
  <c r="T89" i="3"/>
  <c r="B85" i="3"/>
  <c r="X85" i="3"/>
  <c r="B87" i="3"/>
  <c r="X87" i="3"/>
  <c r="AD117" i="3"/>
  <c r="AD229" i="3" s="1"/>
  <c r="BV133" i="3"/>
  <c r="BW74" i="3"/>
  <c r="W88" i="3"/>
  <c r="V76" i="3"/>
  <c r="V8" i="3" s="1"/>
  <c r="X77" i="3" a="1"/>
  <c r="X77" i="3" s="1"/>
  <c r="C81" i="3"/>
  <c r="Y81" i="3"/>
  <c r="J82" i="3"/>
  <c r="AF82" i="3"/>
  <c r="E85" i="3"/>
  <c r="AA85" i="3"/>
  <c r="I88" i="3"/>
  <c r="AE88" i="3"/>
  <c r="I91" i="3"/>
  <c r="AF248" i="3"/>
  <c r="AG19" i="12"/>
  <c r="AG83" i="12" s="1"/>
  <c r="AG128" i="12" s="1"/>
  <c r="AG115" i="3"/>
  <c r="AG227" i="3" s="1"/>
  <c r="AC294" i="3"/>
  <c r="BW133" i="3"/>
  <c r="AA297" i="3"/>
  <c r="BW136" i="3"/>
  <c r="AA120" i="3"/>
  <c r="AA232" i="3" s="1"/>
  <c r="F60" i="3"/>
  <c r="F5" i="3" s="1"/>
  <c r="AB60" i="3"/>
  <c r="P76" i="3"/>
  <c r="P8" i="3" s="1"/>
  <c r="S83" i="3"/>
  <c r="S80" i="3"/>
  <c r="S92" i="3" s="1"/>
  <c r="AG21" i="12"/>
  <c r="AG229" i="3"/>
  <c r="AG117" i="3"/>
  <c r="AB157" i="3"/>
  <c r="BW76" i="3"/>
  <c r="CU42" i="3"/>
  <c r="G60" i="3"/>
  <c r="G5" i="3" s="1"/>
  <c r="G6" i="3" s="1"/>
  <c r="G9" i="3" s="1"/>
  <c r="G7" i="3" s="1"/>
  <c r="AC60" i="3"/>
  <c r="AC5" i="3" s="1"/>
  <c r="Z76" i="3"/>
  <c r="Z8" i="3" s="1"/>
  <c r="E84" i="3"/>
  <c r="AA84" i="3"/>
  <c r="Z258" i="3"/>
  <c r="Z116" i="3"/>
  <c r="Z228" i="3" s="1"/>
  <c r="Z244" i="3" s="1"/>
  <c r="H60" i="3"/>
  <c r="H5" i="3" s="1"/>
  <c r="AD60" i="3"/>
  <c r="AD5" i="3" s="1"/>
  <c r="R76" i="3"/>
  <c r="R8" i="3" s="1"/>
  <c r="R77" i="3" a="1"/>
  <c r="R77" i="3" s="1"/>
  <c r="F84" i="3"/>
  <c r="AB84" i="3"/>
  <c r="C89" i="3"/>
  <c r="Y89" i="3"/>
  <c r="AC226" i="3"/>
  <c r="AC114" i="3"/>
  <c r="AA293" i="3"/>
  <c r="AA258" i="3"/>
  <c r="AA228" i="3"/>
  <c r="AA244" i="3" s="1"/>
  <c r="AA116" i="3"/>
  <c r="AB312" i="3"/>
  <c r="AB119" i="3"/>
  <c r="AD204" i="3"/>
  <c r="AD301" i="3" s="1"/>
  <c r="DB43" i="3"/>
  <c r="I60" i="3"/>
  <c r="I5" i="3" s="1"/>
  <c r="S76" i="3"/>
  <c r="S8" i="3" s="1"/>
  <c r="V83" i="3"/>
  <c r="AC84" i="3"/>
  <c r="P88" i="3"/>
  <c r="K90" i="3"/>
  <c r="AC117" i="3"/>
  <c r="AC229" i="3" s="1"/>
  <c r="AB259" i="3"/>
  <c r="AC334" i="3"/>
  <c r="H89" i="3"/>
  <c r="CF41" i="3"/>
  <c r="AD202" i="3"/>
  <c r="DB41" i="3"/>
  <c r="CR42" i="3"/>
  <c r="T90" i="3"/>
  <c r="J60" i="3"/>
  <c r="J5" i="3" s="1"/>
  <c r="AF60" i="3"/>
  <c r="P77" i="3" a="1"/>
  <c r="P77" i="3" s="1"/>
  <c r="W83" i="3"/>
  <c r="E89" i="3"/>
  <c r="AA89" i="3"/>
  <c r="L90" i="3"/>
  <c r="Y299" i="3"/>
  <c r="Y234" i="3"/>
  <c r="Y250" i="3" s="1"/>
  <c r="AD334" i="3"/>
  <c r="AH324" i="3" s="1"/>
  <c r="Z77" i="3" a="1"/>
  <c r="Z77" i="3" s="1"/>
  <c r="AE84" i="3"/>
  <c r="F89" i="3"/>
  <c r="AB89" i="3"/>
  <c r="M90" i="3"/>
  <c r="Z122" i="3"/>
  <c r="Z234" i="3" s="1"/>
  <c r="Z250" i="3" s="1"/>
  <c r="AE312" i="3"/>
  <c r="AE119" i="3"/>
  <c r="Y314" i="3"/>
  <c r="Y121" i="3"/>
  <c r="Y233" i="3" s="1"/>
  <c r="Y249" i="3" s="1"/>
  <c r="AI66" i="3"/>
  <c r="AA76" i="3"/>
  <c r="AA8" i="3" s="1"/>
  <c r="U77" i="3" a="1"/>
  <c r="U77" i="3" s="1"/>
  <c r="Y83" i="3"/>
  <c r="J84" i="3"/>
  <c r="N90" i="3"/>
  <c r="C80" i="3"/>
  <c r="Y80" i="3"/>
  <c r="AA234" i="3"/>
  <c r="AA122" i="3"/>
  <c r="Z314" i="3"/>
  <c r="Z121" i="3"/>
  <c r="CU40" i="3"/>
  <c r="T76" i="3"/>
  <c r="T8" i="3" s="1"/>
  <c r="L84" i="3"/>
  <c r="C86" i="3"/>
  <c r="AA295" i="3"/>
  <c r="AA230" i="3"/>
  <c r="AC299" i="3"/>
  <c r="AC234" i="3"/>
  <c r="AF157" i="3"/>
  <c r="AB83" i="3"/>
  <c r="J89" i="3"/>
  <c r="AF89" i="3"/>
  <c r="V91" i="3"/>
  <c r="AA257" i="3"/>
  <c r="AA141" i="3"/>
  <c r="AA113" i="3"/>
  <c r="AB295" i="3"/>
  <c r="AB230" i="3"/>
  <c r="AD250" i="3"/>
  <c r="BW146" i="3"/>
  <c r="U157" i="3"/>
  <c r="AH69" i="3"/>
  <c r="V77" i="3" a="1"/>
  <c r="V77" i="3" s="1"/>
  <c r="AC77" i="3" a="1"/>
  <c r="AC77" i="3" s="1"/>
  <c r="G81" i="3"/>
  <c r="AC81" i="3"/>
  <c r="H82" i="3"/>
  <c r="AD82" i="3"/>
  <c r="AF257" i="3"/>
  <c r="AF141" i="3"/>
  <c r="AF113" i="3"/>
  <c r="AF311" i="3"/>
  <c r="W77" i="3" a="1"/>
  <c r="W77" i="3" s="1"/>
  <c r="H81" i="3"/>
  <c r="AD81" i="3"/>
  <c r="I82" i="3"/>
  <c r="AE82" i="3"/>
  <c r="M88" i="3"/>
  <c r="V80" i="3"/>
  <c r="AG257" i="3"/>
  <c r="AG225" i="3"/>
  <c r="G157" i="3"/>
  <c r="W314" i="3"/>
  <c r="W121" i="3"/>
  <c r="AD121" i="3"/>
  <c r="BV121" i="3" s="1"/>
  <c r="I76" i="3"/>
  <c r="I8" i="3" s="1"/>
  <c r="AE77" i="3" a="1"/>
  <c r="AE77" i="3" s="1"/>
  <c r="AE76" i="3"/>
  <c r="O88" i="3"/>
  <c r="U91" i="3"/>
  <c r="AD247" i="3"/>
  <c r="J42" i="9"/>
  <c r="J14" i="9"/>
  <c r="C42" i="9"/>
  <c r="C17" i="9"/>
  <c r="K76" i="3"/>
  <c r="K8" i="3" s="1"/>
  <c r="W91" i="3"/>
  <c r="AA313" i="3"/>
  <c r="L76" i="3"/>
  <c r="L8" i="3" s="1"/>
  <c r="AH64" i="3"/>
  <c r="R88" i="3"/>
  <c r="B91" i="3"/>
  <c r="X91" i="3"/>
  <c r="W300" i="3"/>
  <c r="W235" i="3"/>
  <c r="W251" i="3" s="1"/>
  <c r="W60" i="3"/>
  <c r="W5" i="3" s="1"/>
  <c r="M76" i="3"/>
  <c r="M8" i="3" s="1"/>
  <c r="N85" i="3"/>
  <c r="S88" i="3"/>
  <c r="V89" i="3"/>
  <c r="E157" i="3"/>
  <c r="X316" i="3"/>
  <c r="X123" i="3"/>
  <c r="B60" i="3"/>
  <c r="B5" i="3" s="1"/>
  <c r="X60" i="3"/>
  <c r="X5" i="3" s="1"/>
  <c r="N76" i="3"/>
  <c r="N8" i="3" s="1"/>
  <c r="O83" i="3"/>
  <c r="O85" i="3"/>
  <c r="F157" i="3"/>
  <c r="C60" i="3"/>
  <c r="C5" i="3" s="1"/>
  <c r="Y60" i="3"/>
  <c r="Y5" i="3" s="1"/>
  <c r="O76" i="3"/>
  <c r="O8" i="3" s="1"/>
  <c r="P83" i="3"/>
  <c r="Q84" i="3"/>
  <c r="B89" i="3"/>
  <c r="X89" i="3"/>
  <c r="W295" i="3"/>
  <c r="W118" i="3"/>
  <c r="W230" i="3" s="1"/>
  <c r="W246" i="3" s="1"/>
  <c r="Y312" i="3"/>
  <c r="AJ11" i="7"/>
  <c r="AC11" i="7"/>
  <c r="AI11" i="7" s="1"/>
  <c r="X295" i="3"/>
  <c r="X118" i="3"/>
  <c r="X230" i="3" s="1"/>
  <c r="X246" i="3" s="1"/>
  <c r="W299" i="3"/>
  <c r="W122" i="3"/>
  <c r="W234" i="3" s="1"/>
  <c r="W250" i="3" s="1"/>
  <c r="H157" i="3"/>
  <c r="L157" i="3"/>
  <c r="Z119" i="3"/>
  <c r="Z231" i="3" s="1"/>
  <c r="Z247" i="3" s="1"/>
  <c r="E60" i="3"/>
  <c r="E5" i="3" s="1"/>
  <c r="AA60" i="3"/>
  <c r="AA5" i="3" s="1"/>
  <c r="Q76" i="3"/>
  <c r="Q8" i="3" s="1"/>
  <c r="R83" i="3"/>
  <c r="D89" i="3"/>
  <c r="Z89" i="3"/>
  <c r="X116" i="3"/>
  <c r="X228" i="3" s="1"/>
  <c r="X244" i="3" s="1"/>
  <c r="Y230" i="3"/>
  <c r="Y246" i="3" s="1"/>
  <c r="Y141" i="3"/>
  <c r="X122" i="3"/>
  <c r="X234" i="3" s="1"/>
  <c r="X250" i="3" s="1"/>
  <c r="AB300" i="3"/>
  <c r="AB123" i="3"/>
  <c r="AB235" i="3" s="1"/>
  <c r="I157" i="3"/>
  <c r="BX152" i="3"/>
  <c r="BY148" i="3"/>
  <c r="BX148" i="3"/>
  <c r="BY153" i="3"/>
  <c r="BX153" i="3"/>
  <c r="BY154" i="3"/>
  <c r="BX150" i="3"/>
  <c r="BY155" i="3"/>
  <c r="BY152" i="3"/>
  <c r="BY145" i="3"/>
  <c r="BY147" i="3"/>
  <c r="BX145" i="3"/>
  <c r="BW145" i="3"/>
  <c r="BY149" i="3"/>
  <c r="BV145" i="3"/>
  <c r="BX149" i="3"/>
  <c r="BY156" i="3"/>
  <c r="AA312" i="3"/>
  <c r="AA119" i="3"/>
  <c r="AA231" i="3" s="1"/>
  <c r="AE157" i="3"/>
  <c r="AF264" i="3"/>
  <c r="AB293" i="3"/>
  <c r="AB258" i="3"/>
  <c r="AB228" i="3"/>
  <c r="AC295" i="3"/>
  <c r="AC230" i="3"/>
  <c r="AE297" i="3"/>
  <c r="AE345" i="3" s="1"/>
  <c r="Z300" i="3"/>
  <c r="Z235" i="3"/>
  <c r="Z251" i="3" s="1"/>
  <c r="S157" i="3"/>
  <c r="AB314" i="3"/>
  <c r="AB121" i="3"/>
  <c r="AA260" i="3"/>
  <c r="AE233" i="3"/>
  <c r="AB291" i="3"/>
  <c r="AC293" i="3"/>
  <c r="AC228" i="3"/>
  <c r="AA300" i="3"/>
  <c r="AA348" i="3" s="1"/>
  <c r="AA123" i="3"/>
  <c r="AA235" i="3" s="1"/>
  <c r="T157" i="3"/>
  <c r="Y309" i="3"/>
  <c r="AB260" i="3"/>
  <c r="X173" i="3"/>
  <c r="X12" i="3" s="1"/>
  <c r="AC258" i="3"/>
  <c r="AF77" i="3" a="1"/>
  <c r="AF77" i="3" s="1"/>
  <c r="AD226" i="3"/>
  <c r="AE258" i="3"/>
  <c r="AE228" i="3"/>
  <c r="BV132" i="3"/>
  <c r="AF295" i="3"/>
  <c r="AF118" i="3"/>
  <c r="AF230" i="3" s="1"/>
  <c r="W231" i="3"/>
  <c r="W247" i="3" s="1"/>
  <c r="W296" i="3"/>
  <c r="W233" i="3"/>
  <c r="W249" i="3" s="1"/>
  <c r="W298" i="3"/>
  <c r="AC235" i="3"/>
  <c r="X236" i="3"/>
  <c r="X252" i="3" s="1"/>
  <c r="AE313" i="3"/>
  <c r="BW152" i="3"/>
  <c r="BV152" i="3"/>
  <c r="AD315" i="3"/>
  <c r="AD260" i="3"/>
  <c r="AE226" i="3"/>
  <c r="BV130" i="3"/>
  <c r="AF228" i="3"/>
  <c r="BW132" i="3"/>
  <c r="X231" i="3"/>
  <c r="X247" i="3" s="1"/>
  <c r="X233" i="3"/>
  <c r="X249" i="3" s="1"/>
  <c r="W157" i="3"/>
  <c r="AB309" i="3"/>
  <c r="Y310" i="3"/>
  <c r="AE315" i="3"/>
  <c r="AE260" i="3"/>
  <c r="AA263" i="3"/>
  <c r="W173" i="3"/>
  <c r="AA173" i="3"/>
  <c r="AA12" i="3" s="1"/>
  <c r="AF291" i="3"/>
  <c r="AF226" i="3"/>
  <c r="AG228" i="3"/>
  <c r="AG293" i="3"/>
  <c r="BW139" i="3"/>
  <c r="BV139" i="3"/>
  <c r="Z301" i="3"/>
  <c r="Z236" i="3"/>
  <c r="Z252" i="3" s="1"/>
  <c r="AC309" i="3"/>
  <c r="AF260" i="3"/>
  <c r="AF122" i="3"/>
  <c r="AF234" i="3" s="1"/>
  <c r="Z317" i="3"/>
  <c r="AE291" i="3"/>
  <c r="Z259" i="3"/>
  <c r="Z298" i="3"/>
  <c r="AF300" i="3"/>
  <c r="AF235" i="3"/>
  <c r="AA301" i="3"/>
  <c r="AA236" i="3"/>
  <c r="AD116" i="3"/>
  <c r="AA310" i="3"/>
  <c r="BW149" i="3"/>
  <c r="AA317" i="3"/>
  <c r="AC263" i="3"/>
  <c r="AC267" i="3" s="1"/>
  <c r="AC173" i="3"/>
  <c r="AC12" i="3" s="1"/>
  <c r="AE123" i="3"/>
  <c r="AA296" i="3"/>
  <c r="AA259" i="3"/>
  <c r="AA298" i="3"/>
  <c r="AE309" i="3"/>
  <c r="BV148" i="3"/>
  <c r="AB310" i="3"/>
  <c r="AB296" i="3"/>
  <c r="AA157" i="3"/>
  <c r="AA253" i="3" s="1"/>
  <c r="AC310" i="3"/>
  <c r="X290" i="3"/>
  <c r="X225" i="3"/>
  <c r="X241" i="3" s="1"/>
  <c r="X141" i="3"/>
  <c r="Z294" i="3"/>
  <c r="Z117" i="3"/>
  <c r="AC296" i="3"/>
  <c r="AC259" i="3"/>
  <c r="AG309" i="3"/>
  <c r="AD310" i="3"/>
  <c r="AT374" i="3"/>
  <c r="AT370" i="3"/>
  <c r="AO370" i="3"/>
  <c r="AO374" i="3"/>
  <c r="AL376" i="3"/>
  <c r="AL370" i="3"/>
  <c r="AB114" i="3"/>
  <c r="AB226" i="3" s="1"/>
  <c r="Z292" i="3"/>
  <c r="AA294" i="3"/>
  <c r="AA342" i="3" s="1"/>
  <c r="AD296" i="3"/>
  <c r="AD259" i="3"/>
  <c r="AE301" i="3"/>
  <c r="AE349" i="3" s="1"/>
  <c r="BW140" i="3"/>
  <c r="AE236" i="3"/>
  <c r="BV140" i="3"/>
  <c r="AE124" i="3"/>
  <c r="B157" i="3"/>
  <c r="X157" i="3"/>
  <c r="AE263" i="3"/>
  <c r="AE267" i="3" s="1"/>
  <c r="Z225" i="3"/>
  <c r="Z241" i="3" s="1"/>
  <c r="Z141" i="3"/>
  <c r="Z290" i="3"/>
  <c r="AA292" i="3"/>
  <c r="AA340" i="3" s="1"/>
  <c r="AB117" i="3"/>
  <c r="AB229" i="3" s="1"/>
  <c r="AE296" i="3"/>
  <c r="AE344" i="3" s="1"/>
  <c r="AE259" i="3"/>
  <c r="BV135" i="3"/>
  <c r="AF301" i="3"/>
  <c r="AF124" i="3"/>
  <c r="AF236" i="3" s="1"/>
  <c r="AF310" i="3"/>
  <c r="AD264" i="3"/>
  <c r="AB231" i="3"/>
  <c r="AE293" i="3"/>
  <c r="AE341" i="3" s="1"/>
  <c r="Z310" i="3"/>
  <c r="X312" i="3"/>
  <c r="AE314" i="3"/>
  <c r="BW153" i="3"/>
  <c r="BV153" i="3"/>
  <c r="Z260" i="3"/>
  <c r="AB265" i="3"/>
  <c r="AN370" i="3"/>
  <c r="O303" i="14"/>
  <c r="O304" i="14"/>
  <c r="O305" i="14" s="1"/>
  <c r="O306" i="14" s="1"/>
  <c r="O307" i="14" s="1"/>
  <c r="O308" i="14" s="1"/>
  <c r="O309" i="14" s="1"/>
  <c r="O310" i="14" s="1"/>
  <c r="O311" i="14" s="1"/>
  <c r="O312" i="14" s="1"/>
  <c r="O313" i="14" s="1"/>
  <c r="P307" i="14"/>
  <c r="P308" i="14" s="1"/>
  <c r="P309" i="14" s="1"/>
  <c r="P310" i="14" s="1"/>
  <c r="P311" i="14" s="1"/>
  <c r="P312" i="14" s="1"/>
  <c r="P313" i="14" s="1"/>
  <c r="P303" i="14"/>
  <c r="P304" i="14" s="1"/>
  <c r="P305" i="14" s="1"/>
  <c r="P306" i="14" s="1"/>
  <c r="AK375" i="3"/>
  <c r="AK370" i="3"/>
  <c r="AF396" i="3"/>
  <c r="Z178" i="14"/>
  <c r="Q303" i="14"/>
  <c r="Q304" i="14" s="1"/>
  <c r="Q305" i="14" s="1"/>
  <c r="Q306" i="14" s="1"/>
  <c r="Q307" i="14" s="1"/>
  <c r="Q308" i="14" s="1"/>
  <c r="Q309" i="14" s="1"/>
  <c r="Q310" i="14" s="1"/>
  <c r="Q311" i="14" s="1"/>
  <c r="Q312" i="14" s="1"/>
  <c r="Q313" i="14" s="1"/>
  <c r="A4" i="6"/>
  <c r="S3" i="6"/>
  <c r="Z55" i="6"/>
  <c r="K41" i="9"/>
  <c r="K25" i="9" s="1"/>
  <c r="K14" i="9"/>
  <c r="K26" i="9" s="1"/>
  <c r="T303" i="14"/>
  <c r="T304" i="14" s="1"/>
  <c r="T305" i="14" s="1"/>
  <c r="T306" i="14" s="1"/>
  <c r="T307" i="14" s="1"/>
  <c r="T308" i="14" s="1"/>
  <c r="T309" i="14" s="1"/>
  <c r="T310" i="14" s="1"/>
  <c r="T311" i="14" s="1"/>
  <c r="T312" i="14" s="1"/>
  <c r="T313" i="14" s="1"/>
  <c r="AH374" i="3"/>
  <c r="AH370" i="3"/>
  <c r="BD370" i="3"/>
  <c r="BD374" i="3"/>
  <c r="D21" i="9"/>
  <c r="D42" i="9"/>
  <c r="F23" i="9"/>
  <c r="F26" i="9" s="1"/>
  <c r="F42" i="9"/>
  <c r="U303" i="14"/>
  <c r="U304" i="14" s="1"/>
  <c r="U305" i="14" s="1"/>
  <c r="U306" i="14" s="1"/>
  <c r="U307" i="14" s="1"/>
  <c r="U308" i="14" s="1"/>
  <c r="U309" i="14" s="1"/>
  <c r="U310" i="14" s="1"/>
  <c r="U311" i="14" s="1"/>
  <c r="U312" i="14" s="1"/>
  <c r="U313" i="14" s="1"/>
  <c r="BE370" i="3"/>
  <c r="E21" i="9"/>
  <c r="E42" i="9"/>
  <c r="G42" i="9"/>
  <c r="G23" i="9"/>
  <c r="V304" i="14"/>
  <c r="V305" i="14" s="1"/>
  <c r="V306" i="14" s="1"/>
  <c r="V307" i="14" s="1"/>
  <c r="V308" i="14" s="1"/>
  <c r="V309" i="14" s="1"/>
  <c r="V310" i="14" s="1"/>
  <c r="V311" i="14" s="1"/>
  <c r="V312" i="14" s="1"/>
  <c r="V313" i="14" s="1"/>
  <c r="V303" i="14"/>
  <c r="X291" i="3"/>
  <c r="X226" i="3"/>
  <c r="X242" i="3" s="1"/>
  <c r="AE227" i="3"/>
  <c r="AB233" i="3"/>
  <c r="Y313" i="3"/>
  <c r="AD118" i="3"/>
  <c r="AD230" i="3" s="1"/>
  <c r="Y226" i="3"/>
  <c r="Y242" i="3" s="1"/>
  <c r="AF227" i="3"/>
  <c r="W294" i="3"/>
  <c r="W141" i="3"/>
  <c r="W237" i="3" s="1"/>
  <c r="BW134" i="3"/>
  <c r="W297" i="3"/>
  <c r="W232" i="3"/>
  <c r="W248" i="3" s="1"/>
  <c r="AC233" i="3"/>
  <c r="M157" i="3"/>
  <c r="Z311" i="3"/>
  <c r="BW155" i="3"/>
  <c r="AE173" i="3"/>
  <c r="AE12" i="3" s="1"/>
  <c r="AA226" i="3"/>
  <c r="AA242" i="3" s="1"/>
  <c r="Y294" i="3"/>
  <c r="AE298" i="3"/>
  <c r="AE346" i="3" s="1"/>
  <c r="X300" i="3"/>
  <c r="X235" i="3"/>
  <c r="X251" i="3" s="1"/>
  <c r="O157" i="3"/>
  <c r="Y307" i="3"/>
  <c r="Z309" i="3"/>
  <c r="AB313" i="3"/>
  <c r="AF233" i="3"/>
  <c r="Y300" i="3"/>
  <c r="Y348" i="3" s="1"/>
  <c r="P157" i="3"/>
  <c r="W229" i="3"/>
  <c r="W245" i="3" s="1"/>
  <c r="AE33" i="11"/>
  <c r="AE29" i="11"/>
  <c r="AE5" i="11" s="1"/>
  <c r="AE7" i="11" s="1"/>
  <c r="AE10" i="11" s="1"/>
  <c r="AE8" i="11" s="1"/>
  <c r="AJ96" i="7"/>
  <c r="AB140" i="7"/>
  <c r="AC96" i="7"/>
  <c r="Y225" i="3"/>
  <c r="Y241" i="3" s="1"/>
  <c r="AG18" i="12"/>
  <c r="AG226" i="3"/>
  <c r="Y293" i="3"/>
  <c r="Y341" i="3" s="1"/>
  <c r="Y228" i="3"/>
  <c r="Y244" i="3" s="1"/>
  <c r="AE229" i="3"/>
  <c r="Y231" i="3"/>
  <c r="Y247" i="3" s="1"/>
  <c r="AE232" i="3"/>
  <c r="AD300" i="3"/>
  <c r="AD235" i="3"/>
  <c r="AF309" i="3"/>
  <c r="X315" i="3"/>
  <c r="AC317" i="3"/>
  <c r="Z265" i="3"/>
  <c r="Z267" i="3" s="1"/>
  <c r="W85" i="7"/>
  <c r="V86" i="7"/>
  <c r="AE334" i="3"/>
  <c r="AG332" i="3" s="1"/>
  <c r="AJ74" i="7"/>
  <c r="AC74" i="7"/>
  <c r="AI74" i="7" s="1"/>
  <c r="AJ73" i="12"/>
  <c r="AB263" i="3"/>
  <c r="AA265" i="3"/>
  <c r="AF334" i="3"/>
  <c r="AH322" i="3" s="1"/>
  <c r="AJ38" i="11"/>
  <c r="AI38" i="11"/>
  <c r="AJ70" i="11"/>
  <c r="AJ71" i="11"/>
  <c r="AJ67" i="11"/>
  <c r="AJ75" i="11"/>
  <c r="AJ68" i="11"/>
  <c r="AI73" i="12"/>
  <c r="AF313" i="3"/>
  <c r="Y316" i="3"/>
  <c r="AD317" i="3"/>
  <c r="AD263" i="3"/>
  <c r="AD267" i="3" s="1"/>
  <c r="AC265" i="3"/>
  <c r="AA266" i="3"/>
  <c r="X334" i="3"/>
  <c r="AP374" i="3"/>
  <c r="AH376" i="3"/>
  <c r="BD376" i="3"/>
  <c r="AC63" i="7"/>
  <c r="AI63" i="7" s="1"/>
  <c r="AK71" i="11"/>
  <c r="AK67" i="11"/>
  <c r="AK75" i="11"/>
  <c r="AK74" i="11"/>
  <c r="AK68" i="11"/>
  <c r="Z316" i="3"/>
  <c r="AE317" i="3"/>
  <c r="AD265" i="3"/>
  <c r="AB266" i="3"/>
  <c r="AB45" i="11"/>
  <c r="AG38" i="11"/>
  <c r="AI51" i="11"/>
  <c r="AI50" i="11"/>
  <c r="AC6" i="11"/>
  <c r="AH53" i="11"/>
  <c r="AI49" i="11"/>
  <c r="AG57" i="11"/>
  <c r="AL68" i="11"/>
  <c r="AL66" i="11"/>
  <c r="AL71" i="11"/>
  <c r="AL67" i="11"/>
  <c r="AL75" i="11"/>
  <c r="Z307" i="3"/>
  <c r="X311" i="3"/>
  <c r="AC312" i="3"/>
  <c r="AF263" i="3"/>
  <c r="AC266" i="3"/>
  <c r="AH38" i="11"/>
  <c r="AB316" i="3"/>
  <c r="AG263" i="3"/>
  <c r="AF265" i="3"/>
  <c r="N13" i="9"/>
  <c r="N61" i="9"/>
  <c r="V99" i="11"/>
  <c r="V83" i="11"/>
  <c r="O61" i="9"/>
  <c r="O13" i="9"/>
  <c r="AF34" i="11"/>
  <c r="AF29" i="11"/>
  <c r="AF5" i="11" s="1"/>
  <c r="AD258" i="3"/>
  <c r="X232" i="3"/>
  <c r="X248" i="3" s="1"/>
  <c r="AB298" i="3"/>
  <c r="AB346" i="3" s="1"/>
  <c r="AC307" i="3"/>
  <c r="AA311" i="3"/>
  <c r="AF312" i="3"/>
  <c r="Y315" i="3"/>
  <c r="AD316" i="3"/>
  <c r="AB173" i="3"/>
  <c r="AB12" i="3" s="1"/>
  <c r="AG326" i="3"/>
  <c r="U16" i="7"/>
  <c r="AB27" i="7"/>
  <c r="AG34" i="11"/>
  <c r="AB311" i="3"/>
  <c r="AD173" i="3"/>
  <c r="AD12" i="3" s="1"/>
  <c r="Q61" i="9"/>
  <c r="Q13" i="9"/>
  <c r="L52" i="9"/>
  <c r="M67" i="9"/>
  <c r="Z7" i="11"/>
  <c r="Z10" i="11" s="1"/>
  <c r="Z8" i="11" s="1"/>
  <c r="AF258" i="3"/>
  <c r="Z297" i="3"/>
  <c r="Z345" i="3" s="1"/>
  <c r="Z232" i="3"/>
  <c r="Z248" i="3" s="1"/>
  <c r="Z306" i="3"/>
  <c r="AA315" i="3"/>
  <c r="AF316" i="3"/>
  <c r="BV156" i="3"/>
  <c r="AJ66" i="7"/>
  <c r="AC66" i="7"/>
  <c r="AI66" i="7" s="1"/>
  <c r="I32" i="11"/>
  <c r="I80" i="11"/>
  <c r="I48" i="11"/>
  <c r="I16" i="11"/>
  <c r="I96" i="11"/>
  <c r="I64" i="11"/>
  <c r="AE32" i="11"/>
  <c r="AE111" i="11"/>
  <c r="AE80" i="11"/>
  <c r="AE48" i="11"/>
  <c r="AE64" i="11"/>
  <c r="AE16" i="11"/>
  <c r="AE96" i="11"/>
  <c r="P8" i="11"/>
  <c r="AU370" i="3"/>
  <c r="AM376" i="3"/>
  <c r="AT377" i="3"/>
  <c r="R8" i="11"/>
  <c r="AJ50" i="7"/>
  <c r="AJ78" i="7"/>
  <c r="AC78" i="7"/>
  <c r="AI78" i="7" s="1"/>
  <c r="AI80" i="11"/>
  <c r="AI48" i="11"/>
  <c r="AI32" i="11"/>
  <c r="AI64" i="11"/>
  <c r="AI16" i="11"/>
  <c r="AI111" i="11"/>
  <c r="AI96" i="11"/>
  <c r="AG55" i="7"/>
  <c r="AJ61" i="7"/>
  <c r="D58" i="9"/>
  <c r="E82" i="12"/>
  <c r="AG102" i="12"/>
  <c r="AG35" i="13"/>
  <c r="AX374" i="3"/>
  <c r="AX370" i="3"/>
  <c r="AS370" i="3"/>
  <c r="AI375" i="3"/>
  <c r="BE375" i="3"/>
  <c r="AW377" i="3"/>
  <c r="S97" i="11"/>
  <c r="T81" i="11"/>
  <c r="T98" i="11"/>
  <c r="T97" i="11"/>
  <c r="S98" i="11"/>
  <c r="I111" i="11"/>
  <c r="AY370" i="3"/>
  <c r="AJ375" i="3"/>
  <c r="AX377" i="3"/>
  <c r="AE396" i="3"/>
  <c r="AI123" i="7"/>
  <c r="AI167" i="7" s="1"/>
  <c r="AI41" i="11"/>
  <c r="AJ7" i="7"/>
  <c r="AC7" i="7"/>
  <c r="AI7" i="7" s="1"/>
  <c r="L47" i="9"/>
  <c r="AJ41" i="11"/>
  <c r="AK41" i="11" s="1"/>
  <c r="AE45" i="12"/>
  <c r="AG327" i="3"/>
  <c r="BA370" i="3"/>
  <c r="AV370" i="3"/>
  <c r="AQ374" i="3"/>
  <c r="AQ370" i="3"/>
  <c r="AM370" i="3"/>
  <c r="K21" i="9"/>
  <c r="AI40" i="11"/>
  <c r="AG38" i="13"/>
  <c r="AF370" i="3"/>
  <c r="AF374" i="3"/>
  <c r="BB370" i="3"/>
  <c r="AB18" i="7"/>
  <c r="AC37" i="7"/>
  <c r="AI37" i="7" s="1"/>
  <c r="AB162" i="7"/>
  <c r="AJ118" i="7"/>
  <c r="AJ162" i="7" s="1"/>
  <c r="AC118" i="7"/>
  <c r="V29" i="11"/>
  <c r="V5" i="11" s="1"/>
  <c r="V7" i="11" s="1"/>
  <c r="V10" i="11" s="1"/>
  <c r="V8" i="11" s="1"/>
  <c r="X97" i="11"/>
  <c r="W97" i="11"/>
  <c r="AG370" i="3"/>
  <c r="BC370" i="3"/>
  <c r="J15" i="9"/>
  <c r="W7" i="11"/>
  <c r="W10" i="11" s="1"/>
  <c r="W8" i="11" s="1"/>
  <c r="AH41" i="11"/>
  <c r="U99" i="11"/>
  <c r="AA55" i="6"/>
  <c r="AJ48" i="7"/>
  <c r="AJ124" i="7"/>
  <c r="AJ168" i="7" s="1"/>
  <c r="AC124" i="7"/>
  <c r="R61" i="9"/>
  <c r="R13" i="9"/>
  <c r="L55" i="9"/>
  <c r="AI99" i="11"/>
  <c r="AQ375" i="3"/>
  <c r="AI377" i="3"/>
  <c r="BE377" i="3"/>
  <c r="AJ35" i="7"/>
  <c r="AC48" i="7"/>
  <c r="AI48" i="7" s="1"/>
  <c r="AJ83" i="7"/>
  <c r="AC83" i="7"/>
  <c r="AI83" i="7" s="1"/>
  <c r="AJ110" i="7"/>
  <c r="AJ154" i="7" s="1"/>
  <c r="AC110" i="7"/>
  <c r="AB154" i="7"/>
  <c r="AK99" i="11"/>
  <c r="AH326" i="3"/>
  <c r="AC55" i="6"/>
  <c r="AJ70" i="7"/>
  <c r="AC70" i="7"/>
  <c r="AI70" i="7" s="1"/>
  <c r="AA117" i="7"/>
  <c r="AG114" i="7"/>
  <c r="AG158" i="7" s="1"/>
  <c r="AA157" i="7"/>
  <c r="U82" i="11"/>
  <c r="W55" i="6"/>
  <c r="AD55" i="6"/>
  <c r="AG56" i="7"/>
  <c r="AA56" i="7" s="1"/>
  <c r="AG57" i="7" s="1"/>
  <c r="V82" i="11"/>
  <c r="X55" i="6"/>
  <c r="AB25" i="7"/>
  <c r="U14" i="7"/>
  <c r="AB14" i="7" s="1"/>
  <c r="Y79" i="7"/>
  <c r="AC157" i="7"/>
  <c r="AI113" i="7"/>
  <c r="AI157" i="7" s="1"/>
  <c r="AL58" i="13"/>
  <c r="AJ58" i="13"/>
  <c r="AI58" i="13"/>
  <c r="AK58" i="13"/>
  <c r="AN374" i="3"/>
  <c r="AF376" i="3"/>
  <c r="BB376" i="3"/>
  <c r="Y55" i="6"/>
  <c r="AJ15" i="7"/>
  <c r="AC15" i="7"/>
  <c r="AI15" i="7" s="1"/>
  <c r="AI92" i="7"/>
  <c r="AC136" i="7"/>
  <c r="AC105" i="7"/>
  <c r="AB160" i="7"/>
  <c r="AJ116" i="7"/>
  <c r="AJ160" i="7" s="1"/>
  <c r="AC116" i="7"/>
  <c r="AI54" i="12"/>
  <c r="AI55" i="12"/>
  <c r="AI56" i="12"/>
  <c r="AI58" i="12"/>
  <c r="AI50" i="12"/>
  <c r="AI59" i="12"/>
  <c r="AI49" i="12"/>
  <c r="AJ33" i="7"/>
  <c r="AC76" i="7"/>
  <c r="AI76" i="7" s="1"/>
  <c r="D26" i="9"/>
  <c r="E18" i="9"/>
  <c r="AG43" i="11"/>
  <c r="V55" i="6"/>
  <c r="AH43" i="11"/>
  <c r="AJ2" i="13"/>
  <c r="AJ111" i="12"/>
  <c r="AJ48" i="12"/>
  <c r="AJ80" i="12"/>
  <c r="AJ32" i="12"/>
  <c r="AJ96" i="12"/>
  <c r="AJ16" i="12"/>
  <c r="AJ2" i="11"/>
  <c r="AJ64" i="12"/>
  <c r="AE100" i="12"/>
  <c r="AE84" i="12" s="1"/>
  <c r="AE129" i="12" s="1"/>
  <c r="AZ100" i="12"/>
  <c r="AI376" i="3"/>
  <c r="BE376" i="3"/>
  <c r="AB55" i="6"/>
  <c r="AB21" i="7"/>
  <c r="AJ26" i="7"/>
  <c r="AC26" i="7"/>
  <c r="AI26" i="7" s="1"/>
  <c r="AB147" i="7"/>
  <c r="AJ103" i="7"/>
  <c r="AJ147" i="7" s="1"/>
  <c r="AB155" i="7"/>
  <c r="AJ111" i="7"/>
  <c r="AJ155" i="7" s="1"/>
  <c r="AB157" i="7"/>
  <c r="AR374" i="3"/>
  <c r="AJ376" i="3"/>
  <c r="BF376" i="3"/>
  <c r="AJ41" i="7"/>
  <c r="AC41" i="7"/>
  <c r="AI41" i="7" s="1"/>
  <c r="AJ90" i="7"/>
  <c r="AI95" i="7"/>
  <c r="AC139" i="7"/>
  <c r="AC103" i="7"/>
  <c r="AJ105" i="7"/>
  <c r="AJ149" i="7" s="1"/>
  <c r="AC111" i="7"/>
  <c r="H18" i="9"/>
  <c r="K73" i="9"/>
  <c r="G7" i="11"/>
  <c r="G10" i="11" s="1"/>
  <c r="G8" i="11" s="1"/>
  <c r="J7" i="12"/>
  <c r="J10" i="12" s="1"/>
  <c r="J8" i="12" s="1"/>
  <c r="AG37" i="12"/>
  <c r="AH37" i="12" s="1"/>
  <c r="AS374" i="3"/>
  <c r="AC142" i="7"/>
  <c r="AI98" i="7"/>
  <c r="AI142" i="7" s="1"/>
  <c r="D74" i="9"/>
  <c r="AG40" i="11"/>
  <c r="AJ35" i="11"/>
  <c r="AK35" i="11" s="1"/>
  <c r="AI35" i="11"/>
  <c r="AR370" i="3"/>
  <c r="AJ88" i="7"/>
  <c r="AC88" i="7"/>
  <c r="Z157" i="7"/>
  <c r="K57" i="9"/>
  <c r="J80" i="11"/>
  <c r="J48" i="11"/>
  <c r="J16" i="11"/>
  <c r="J96" i="11"/>
  <c r="AF111" i="11"/>
  <c r="AF80" i="11"/>
  <c r="AF48" i="11"/>
  <c r="AF32" i="11"/>
  <c r="AF64" i="11"/>
  <c r="AF16" i="11"/>
  <c r="AC33" i="11"/>
  <c r="AC29" i="11"/>
  <c r="AC5" i="11" s="1"/>
  <c r="AC7" i="11" s="1"/>
  <c r="AC10" i="11" s="1"/>
  <c r="AC8" i="11" s="1"/>
  <c r="AG55" i="11"/>
  <c r="AG53" i="11"/>
  <c r="AG58" i="11"/>
  <c r="AA6" i="11"/>
  <c r="AA7" i="11" s="1"/>
  <c r="AA10" i="11" s="1"/>
  <c r="AA8" i="11" s="1"/>
  <c r="C81" i="11"/>
  <c r="B97" i="11"/>
  <c r="X98" i="11"/>
  <c r="X99" i="11" s="1"/>
  <c r="Y81" i="11"/>
  <c r="U55" i="6"/>
  <c r="AJ22" i="7"/>
  <c r="AC22" i="7"/>
  <c r="AI22" i="7" s="1"/>
  <c r="AJ101" i="7"/>
  <c r="AJ145" i="7" s="1"/>
  <c r="K80" i="11"/>
  <c r="K48" i="11"/>
  <c r="K96" i="11"/>
  <c r="AG111" i="11"/>
  <c r="AG80" i="11"/>
  <c r="AG48" i="11"/>
  <c r="AG32" i="11"/>
  <c r="AG64" i="11"/>
  <c r="AG16" i="11"/>
  <c r="AD33" i="11"/>
  <c r="AD29" i="11"/>
  <c r="AD5" i="11" s="1"/>
  <c r="AD7" i="11" s="1"/>
  <c r="AD10" i="11" s="1"/>
  <c r="AD8" i="11" s="1"/>
  <c r="Y29" i="11"/>
  <c r="Y5" i="11" s="1"/>
  <c r="Y7" i="11" s="1"/>
  <c r="Y10" i="11" s="1"/>
  <c r="Y8" i="11" s="1"/>
  <c r="AH42" i="11"/>
  <c r="AI42" i="11" s="1"/>
  <c r="AH55" i="11"/>
  <c r="AH51" i="11"/>
  <c r="AH58" i="11"/>
  <c r="AH50" i="11"/>
  <c r="AB6" i="11"/>
  <c r="AB7" i="11" s="1"/>
  <c r="AB10" i="11" s="1"/>
  <c r="AB8" i="11" s="1"/>
  <c r="AH57" i="11"/>
  <c r="AH49" i="11"/>
  <c r="AJ122" i="7"/>
  <c r="AJ166" i="7" s="1"/>
  <c r="M80" i="11"/>
  <c r="M48" i="11"/>
  <c r="M96" i="11"/>
  <c r="O8" i="11"/>
  <c r="AB82" i="11"/>
  <c r="E98" i="11"/>
  <c r="E97" i="11"/>
  <c r="AA98" i="11"/>
  <c r="AA99" i="11" s="1"/>
  <c r="AB81" i="11"/>
  <c r="AA100" i="11"/>
  <c r="AG80" i="13"/>
  <c r="AG111" i="13"/>
  <c r="AG32" i="13"/>
  <c r="AG96" i="13"/>
  <c r="AG16" i="13"/>
  <c r="AG64" i="13"/>
  <c r="E6" i="14"/>
  <c r="E7" i="14"/>
  <c r="AA5" i="14"/>
  <c r="AJ19" i="7"/>
  <c r="AC19" i="7"/>
  <c r="AI19" i="7" s="1"/>
  <c r="AJ31" i="7"/>
  <c r="AC31" i="7"/>
  <c r="AI31" i="7" s="1"/>
  <c r="AJ46" i="7"/>
  <c r="AC46" i="7"/>
  <c r="AI46" i="7" s="1"/>
  <c r="AI119" i="7"/>
  <c r="AI163" i="7" s="1"/>
  <c r="I125" i="7"/>
  <c r="AG165" i="3" s="1"/>
  <c r="AG197" i="3" s="1"/>
  <c r="AG310" i="3" s="1"/>
  <c r="C58" i="9"/>
  <c r="AF96" i="11"/>
  <c r="AD81" i="11"/>
  <c r="AG39" i="12"/>
  <c r="AE83" i="12"/>
  <c r="AE128" i="12" s="1"/>
  <c r="J111" i="13"/>
  <c r="J96" i="13"/>
  <c r="J80" i="13"/>
  <c r="J32" i="13"/>
  <c r="J64" i="13"/>
  <c r="J16" i="13"/>
  <c r="J48" i="13"/>
  <c r="AN80" i="13"/>
  <c r="AN111" i="13"/>
  <c r="AN64" i="13"/>
  <c r="AN96" i="13"/>
  <c r="AN48" i="13"/>
  <c r="AN16" i="13"/>
  <c r="AN32" i="13"/>
  <c r="AW370" i="3"/>
  <c r="AJ8" i="7"/>
  <c r="AC8" i="7"/>
  <c r="AI8" i="7" s="1"/>
  <c r="AJ59" i="7"/>
  <c r="X84" i="7"/>
  <c r="AJ86" i="7"/>
  <c r="AB130" i="7"/>
  <c r="AJ114" i="7"/>
  <c r="AJ158" i="7" s="1"/>
  <c r="AB132" i="7"/>
  <c r="AG96" i="11"/>
  <c r="AH39" i="12"/>
  <c r="AY96" i="13"/>
  <c r="AY80" i="13"/>
  <c r="AY48" i="13"/>
  <c r="AY111" i="13"/>
  <c r="AY32" i="13"/>
  <c r="AY16" i="13"/>
  <c r="AY64" i="13"/>
  <c r="T55" i="6"/>
  <c r="U17" i="7"/>
  <c r="AB28" i="7"/>
  <c r="AC59" i="7"/>
  <c r="AI59" i="7" s="1"/>
  <c r="AJ72" i="7"/>
  <c r="AC86" i="7"/>
  <c r="AJ99" i="7"/>
  <c r="AJ143" i="7" s="1"/>
  <c r="AC99" i="7"/>
  <c r="AC158" i="7"/>
  <c r="AI114" i="7"/>
  <c r="AI158" i="7" s="1"/>
  <c r="E58" i="9"/>
  <c r="I74" i="9"/>
  <c r="L64" i="9" s="1"/>
  <c r="AG60" i="11"/>
  <c r="AJ13" i="7"/>
  <c r="AC13" i="7"/>
  <c r="AI13" i="7" s="1"/>
  <c r="AJ39" i="7"/>
  <c r="AC72" i="7"/>
  <c r="AI72" i="7" s="1"/>
  <c r="AC89" i="7"/>
  <c r="B26" i="9"/>
  <c r="F58" i="9"/>
  <c r="J74" i="9"/>
  <c r="AI36" i="12"/>
  <c r="AB100" i="13"/>
  <c r="C26" i="9"/>
  <c r="L46" i="9"/>
  <c r="X45" i="11"/>
  <c r="Z82" i="12"/>
  <c r="Z127" i="12" s="1"/>
  <c r="Z34" i="12"/>
  <c r="AG114" i="12"/>
  <c r="AA7" i="13"/>
  <c r="AA10" i="13" s="1"/>
  <c r="AA8" i="13" s="1"/>
  <c r="AB151" i="7"/>
  <c r="AJ107" i="7"/>
  <c r="AJ151" i="7" s="1"/>
  <c r="AJ112" i="7"/>
  <c r="AJ156" i="7" s="1"/>
  <c r="H24" i="9"/>
  <c r="H58" i="9"/>
  <c r="L54" i="9" s="1"/>
  <c r="Y45" i="11"/>
  <c r="AG64" i="12"/>
  <c r="AG32" i="12"/>
  <c r="AG80" i="12"/>
  <c r="AG48" i="12"/>
  <c r="AG96" i="12"/>
  <c r="AG16" i="12"/>
  <c r="AG111" i="12"/>
  <c r="AA7" i="12"/>
  <c r="AA10" i="12" s="1"/>
  <c r="AA8" i="12" s="1"/>
  <c r="AC107" i="7"/>
  <c r="AI112" i="7"/>
  <c r="AI156" i="7" s="1"/>
  <c r="AC156" i="7"/>
  <c r="AJ120" i="7"/>
  <c r="AJ164" i="7" s="1"/>
  <c r="AC120" i="7"/>
  <c r="E14" i="9"/>
  <c r="E26" i="9" s="1"/>
  <c r="H26" i="9"/>
  <c r="C74" i="9"/>
  <c r="Z45" i="11"/>
  <c r="AG54" i="11"/>
  <c r="C97" i="11"/>
  <c r="AH2" i="13"/>
  <c r="AH32" i="12"/>
  <c r="AH111" i="12"/>
  <c r="AH48" i="12"/>
  <c r="AH96" i="12"/>
  <c r="AH64" i="12"/>
  <c r="AH80" i="12"/>
  <c r="AH16" i="12"/>
  <c r="AH2" i="11"/>
  <c r="AB7" i="12"/>
  <c r="AB10" i="12" s="1"/>
  <c r="AB8" i="12" s="1"/>
  <c r="AG53" i="12"/>
  <c r="AI53" i="12" s="1"/>
  <c r="AG54" i="12"/>
  <c r="AG55" i="12"/>
  <c r="AG56" i="12"/>
  <c r="AG57" i="12"/>
  <c r="AG60" i="12" s="1"/>
  <c r="AG52" i="12"/>
  <c r="AG58" i="12"/>
  <c r="AG59" i="12"/>
  <c r="AG36" i="12"/>
  <c r="AJ57" i="7"/>
  <c r="AJ92" i="7"/>
  <c r="AJ125" i="7"/>
  <c r="G19" i="9"/>
  <c r="G26" i="9" s="1"/>
  <c r="J24" i="9"/>
  <c r="I14" i="9"/>
  <c r="I26" i="9" s="1"/>
  <c r="I42" i="9"/>
  <c r="B42" i="9"/>
  <c r="B58" i="9"/>
  <c r="J7" i="11"/>
  <c r="J10" i="11" s="1"/>
  <c r="J8" i="11" s="1"/>
  <c r="AF7" i="11"/>
  <c r="AF10" i="11" s="1"/>
  <c r="AF8" i="11" s="1"/>
  <c r="AH54" i="11"/>
  <c r="AH54" i="12"/>
  <c r="AH55" i="12"/>
  <c r="AH52" i="12"/>
  <c r="AH58" i="12"/>
  <c r="AH50" i="12"/>
  <c r="AJ50" i="12" s="1"/>
  <c r="AH56" i="12"/>
  <c r="AH53" i="12"/>
  <c r="AH51" i="12"/>
  <c r="AJ51" i="12" s="1"/>
  <c r="AH57" i="12"/>
  <c r="AH59" i="12"/>
  <c r="AH49" i="12"/>
  <c r="AG74" i="12"/>
  <c r="AG75" i="12"/>
  <c r="AG72" i="12"/>
  <c r="AG70" i="12"/>
  <c r="AG69" i="12"/>
  <c r="AG68" i="12"/>
  <c r="AG71" i="12"/>
  <c r="AH36" i="12"/>
  <c r="AH44" i="11"/>
  <c r="AI44" i="11" s="1"/>
  <c r="C98" i="11"/>
  <c r="Y99" i="11"/>
  <c r="Y98" i="11"/>
  <c r="AJ58" i="12"/>
  <c r="AJ59" i="12"/>
  <c r="AI44" i="12"/>
  <c r="L81" i="12"/>
  <c r="L98" i="12"/>
  <c r="U12" i="7"/>
  <c r="AB12" i="7" s="1"/>
  <c r="AC33" i="7"/>
  <c r="AI33" i="7" s="1"/>
  <c r="AC57" i="7"/>
  <c r="AI57" i="7" s="1"/>
  <c r="AC68" i="7"/>
  <c r="AI68" i="7" s="1"/>
  <c r="AC90" i="7"/>
  <c r="AC101" i="7"/>
  <c r="I7" i="11"/>
  <c r="I10" i="11" s="1"/>
  <c r="I8" i="11" s="1"/>
  <c r="AH40" i="11"/>
  <c r="D98" i="11"/>
  <c r="Z99" i="11"/>
  <c r="Z98" i="11"/>
  <c r="Y82" i="12"/>
  <c r="Y127" i="12" s="1"/>
  <c r="Y34" i="12"/>
  <c r="Y45" i="12" s="1"/>
  <c r="AW98" i="13"/>
  <c r="I14" i="14"/>
  <c r="J6" i="14"/>
  <c r="K7" i="11"/>
  <c r="K10" i="11" s="1"/>
  <c r="K8" i="11" s="1"/>
  <c r="AA37" i="11"/>
  <c r="AA45" i="11" s="1"/>
  <c r="AH56" i="11"/>
  <c r="D97" i="11"/>
  <c r="F97" i="11"/>
  <c r="AB98" i="11"/>
  <c r="N81" i="12"/>
  <c r="M97" i="12"/>
  <c r="AI98" i="12"/>
  <c r="AJ97" i="12"/>
  <c r="AI97" i="12"/>
  <c r="O98" i="13"/>
  <c r="O82" i="13"/>
  <c r="O81" i="13"/>
  <c r="AF112" i="7"/>
  <c r="AB145" i="7"/>
  <c r="AB156" i="7"/>
  <c r="AB167" i="7"/>
  <c r="G74" i="9"/>
  <c r="L67" i="9" s="1"/>
  <c r="W64" i="11"/>
  <c r="W16" i="11"/>
  <c r="W96" i="11"/>
  <c r="W111" i="11"/>
  <c r="W32" i="11"/>
  <c r="L7" i="11"/>
  <c r="L10" i="11" s="1"/>
  <c r="L8" i="11" s="1"/>
  <c r="AB37" i="11"/>
  <c r="AB99" i="11"/>
  <c r="P98" i="13"/>
  <c r="P81" i="13"/>
  <c r="P82" i="13"/>
  <c r="F99" i="13"/>
  <c r="AC40" i="7"/>
  <c r="AI40" i="7" s="1"/>
  <c r="AC77" i="7"/>
  <c r="AI77" i="7" s="1"/>
  <c r="AC97" i="7"/>
  <c r="AC108" i="7"/>
  <c r="G58" i="9"/>
  <c r="L49" i="9" s="1"/>
  <c r="H74" i="9"/>
  <c r="B96" i="11"/>
  <c r="B111" i="11"/>
  <c r="B64" i="11"/>
  <c r="B16" i="11"/>
  <c r="B32" i="11"/>
  <c r="X96" i="11"/>
  <c r="X64" i="11"/>
  <c r="X16" i="11"/>
  <c r="X111" i="11"/>
  <c r="X32" i="11"/>
  <c r="M7" i="11"/>
  <c r="M10" i="11" s="1"/>
  <c r="M8" i="11" s="1"/>
  <c r="AV111" i="12"/>
  <c r="AV2" i="13"/>
  <c r="AV96" i="12"/>
  <c r="AV64" i="12"/>
  <c r="AV48" i="12"/>
  <c r="AA82" i="12"/>
  <c r="AA127" i="12" s="1"/>
  <c r="AB158" i="7"/>
  <c r="C96" i="11"/>
  <c r="C111" i="11"/>
  <c r="C64" i="11"/>
  <c r="C16" i="11"/>
  <c r="C32" i="11"/>
  <c r="Y96" i="11"/>
  <c r="Y111" i="11"/>
  <c r="Y64" i="11"/>
  <c r="Y16" i="11"/>
  <c r="Y32" i="11"/>
  <c r="AG39" i="11"/>
  <c r="AI37" i="11"/>
  <c r="Z81" i="11"/>
  <c r="AW111" i="12"/>
  <c r="AW96" i="12"/>
  <c r="AW2" i="13"/>
  <c r="AW64" i="12"/>
  <c r="AW16" i="12"/>
  <c r="X29" i="12"/>
  <c r="X5" i="12" s="1"/>
  <c r="X7" i="12" s="1"/>
  <c r="X10" i="12" s="1"/>
  <c r="X8" i="12" s="1"/>
  <c r="X81" i="12"/>
  <c r="AW48" i="12"/>
  <c r="AF100" i="12"/>
  <c r="R81" i="13"/>
  <c r="AC9" i="7"/>
  <c r="AI9" i="7" s="1"/>
  <c r="I58" i="9"/>
  <c r="D96" i="11"/>
  <c r="D32" i="11"/>
  <c r="D80" i="11"/>
  <c r="D48" i="11"/>
  <c r="Z96" i="11"/>
  <c r="Z111" i="11"/>
  <c r="Z32" i="11"/>
  <c r="Z80" i="11"/>
  <c r="Z48" i="11"/>
  <c r="AJ37" i="11"/>
  <c r="AK37" i="11" s="1"/>
  <c r="AA81" i="11"/>
  <c r="L83" i="11"/>
  <c r="AX96" i="12"/>
  <c r="AX2" i="13"/>
  <c r="AX16" i="12"/>
  <c r="AX111" i="12"/>
  <c r="AX64" i="12"/>
  <c r="V7" i="12"/>
  <c r="V10" i="12" s="1"/>
  <c r="V8" i="12" s="1"/>
  <c r="Y29" i="12"/>
  <c r="Y5" i="12" s="1"/>
  <c r="Y7" i="12" s="1"/>
  <c r="Y10" i="12" s="1"/>
  <c r="Y8" i="12" s="1"/>
  <c r="Y81" i="12"/>
  <c r="W37" i="12"/>
  <c r="W45" i="12" s="1"/>
  <c r="W29" i="12"/>
  <c r="W5" i="12" s="1"/>
  <c r="W7" i="12" s="1"/>
  <c r="W10" i="12" s="1"/>
  <c r="W8" i="12" s="1"/>
  <c r="AX48" i="12"/>
  <c r="AH99" i="12"/>
  <c r="AC29" i="7"/>
  <c r="AI29" i="7" s="1"/>
  <c r="J58" i="9"/>
  <c r="E111" i="11"/>
  <c r="E32" i="11"/>
  <c r="E80" i="11"/>
  <c r="E48" i="11"/>
  <c r="AA111" i="11"/>
  <c r="AA96" i="11"/>
  <c r="AA32" i="11"/>
  <c r="AA80" i="11"/>
  <c r="AA48" i="11"/>
  <c r="U81" i="11"/>
  <c r="AJ44" i="11"/>
  <c r="B48" i="11"/>
  <c r="D64" i="11"/>
  <c r="AG72" i="11"/>
  <c r="M99" i="11"/>
  <c r="AY96" i="12"/>
  <c r="AY64" i="12"/>
  <c r="AY16" i="12"/>
  <c r="AY111" i="12"/>
  <c r="Z33" i="12"/>
  <c r="Z45" i="12" s="1"/>
  <c r="Z29" i="12"/>
  <c r="Z5" i="12" s="1"/>
  <c r="Z7" i="12" s="1"/>
  <c r="Z10" i="12" s="1"/>
  <c r="Z8" i="12" s="1"/>
  <c r="Z81" i="12"/>
  <c r="AY48" i="12"/>
  <c r="F111" i="11"/>
  <c r="F32" i="11"/>
  <c r="F80" i="11"/>
  <c r="F48" i="11"/>
  <c r="AB111" i="11"/>
  <c r="AB96" i="11"/>
  <c r="AB32" i="11"/>
  <c r="AB80" i="11"/>
  <c r="AB48" i="11"/>
  <c r="AH36" i="11"/>
  <c r="AI36" i="11" s="1"/>
  <c r="AJ36" i="11" s="1"/>
  <c r="C48" i="11"/>
  <c r="E64" i="11"/>
  <c r="AG74" i="11"/>
  <c r="AI74" i="11" s="1"/>
  <c r="AG70" i="11"/>
  <c r="AG73" i="11"/>
  <c r="AG69" i="11"/>
  <c r="AC81" i="11"/>
  <c r="O100" i="11"/>
  <c r="O84" i="11" s="1"/>
  <c r="AZ96" i="12"/>
  <c r="AZ64" i="12"/>
  <c r="AZ111" i="12"/>
  <c r="AA33" i="12"/>
  <c r="AA45" i="12" s="1"/>
  <c r="AA29" i="12"/>
  <c r="AA5" i="12" s="1"/>
  <c r="AA81" i="12"/>
  <c r="AE29" i="12"/>
  <c r="AE5" i="12" s="1"/>
  <c r="AZ48" i="12"/>
  <c r="AF83" i="12"/>
  <c r="AF128" i="12" s="1"/>
  <c r="G111" i="11"/>
  <c r="G32" i="11"/>
  <c r="G80" i="11"/>
  <c r="G48" i="11"/>
  <c r="AC111" i="11"/>
  <c r="AC96" i="11"/>
  <c r="AC32" i="11"/>
  <c r="AC80" i="11"/>
  <c r="AC48" i="11"/>
  <c r="C7" i="11"/>
  <c r="C10" i="11" s="1"/>
  <c r="C8" i="11" s="1"/>
  <c r="T29" i="11"/>
  <c r="T5" i="11" s="1"/>
  <c r="T7" i="11" s="1"/>
  <c r="T10" i="11" s="1"/>
  <c r="T8" i="11" s="1"/>
  <c r="F64" i="11"/>
  <c r="AH74" i="11"/>
  <c r="AH70" i="11"/>
  <c r="AH66" i="11"/>
  <c r="AJ66" i="11" s="1"/>
  <c r="AH73" i="11"/>
  <c r="AH69" i="11"/>
  <c r="AH65" i="11"/>
  <c r="AJ65" i="11" s="1"/>
  <c r="AH76" i="11"/>
  <c r="AE2" i="13"/>
  <c r="AE64" i="12"/>
  <c r="AE80" i="12"/>
  <c r="AE32" i="12"/>
  <c r="AE48" i="12"/>
  <c r="AE96" i="12"/>
  <c r="AE16" i="12"/>
  <c r="AE111" i="12"/>
  <c r="AF29" i="12"/>
  <c r="AF5" i="12" s="1"/>
  <c r="AF7" i="12" s="1"/>
  <c r="AF10" i="12" s="1"/>
  <c r="AF8" i="12" s="1"/>
  <c r="AV32" i="12"/>
  <c r="H32" i="11"/>
  <c r="H80" i="11"/>
  <c r="H48" i="11"/>
  <c r="AD96" i="11"/>
  <c r="AD32" i="11"/>
  <c r="AD111" i="11"/>
  <c r="AD80" i="11"/>
  <c r="AD48" i="11"/>
  <c r="U29" i="11"/>
  <c r="U5" i="11" s="1"/>
  <c r="U7" i="11" s="1"/>
  <c r="U10" i="11" s="1"/>
  <c r="U8" i="11" s="1"/>
  <c r="G64" i="11"/>
  <c r="AI66" i="11"/>
  <c r="AI65" i="11"/>
  <c r="E81" i="11"/>
  <c r="AF64" i="12"/>
  <c r="AF111" i="12"/>
  <c r="AF2" i="13"/>
  <c r="AF80" i="12"/>
  <c r="AF48" i="12"/>
  <c r="AF96" i="12"/>
  <c r="AF32" i="12"/>
  <c r="AF16" i="12"/>
  <c r="AW32" i="12"/>
  <c r="O16" i="11"/>
  <c r="AK16" i="11"/>
  <c r="G97" i="11"/>
  <c r="AC97" i="11"/>
  <c r="AC98" i="11" s="1"/>
  <c r="AK2" i="13"/>
  <c r="AK111" i="12"/>
  <c r="AK96" i="12"/>
  <c r="AK80" i="12"/>
  <c r="AK48" i="12"/>
  <c r="AK32" i="12"/>
  <c r="I7" i="12"/>
  <c r="I10" i="12" s="1"/>
  <c r="I8" i="12" s="1"/>
  <c r="AE7" i="12"/>
  <c r="AE10" i="12" s="1"/>
  <c r="AE8" i="12" s="1"/>
  <c r="AK51" i="12"/>
  <c r="AG33" i="12"/>
  <c r="AH33" i="12" s="1"/>
  <c r="AG34" i="12"/>
  <c r="AH40" i="13"/>
  <c r="AI40" i="13" s="1"/>
  <c r="AL2" i="13"/>
  <c r="AL111" i="12"/>
  <c r="AL48" i="12"/>
  <c r="AL80" i="12"/>
  <c r="AL32" i="12"/>
  <c r="AL96" i="12"/>
  <c r="AC45" i="12"/>
  <c r="Q97" i="12"/>
  <c r="P97" i="12"/>
  <c r="AL98" i="12"/>
  <c r="AL97" i="12"/>
  <c r="H97" i="11"/>
  <c r="I97" i="11"/>
  <c r="AE97" i="11"/>
  <c r="AM51" i="12"/>
  <c r="AD45" i="12"/>
  <c r="AH35" i="12"/>
  <c r="S96" i="11"/>
  <c r="J97" i="11"/>
  <c r="AF97" i="11"/>
  <c r="V111" i="11"/>
  <c r="AN111" i="12"/>
  <c r="AN48" i="12"/>
  <c r="AN96" i="12"/>
  <c r="AN80" i="12"/>
  <c r="AN32" i="12"/>
  <c r="L7" i="12"/>
  <c r="L10" i="12" s="1"/>
  <c r="L8" i="12" s="1"/>
  <c r="AE126" i="12"/>
  <c r="R97" i="12"/>
  <c r="S97" i="12"/>
  <c r="AN97" i="12"/>
  <c r="AO97" i="12"/>
  <c r="AF7" i="13"/>
  <c r="AF10" i="13" s="1"/>
  <c r="AF8" i="13" s="1"/>
  <c r="U97" i="13"/>
  <c r="V81" i="13"/>
  <c r="AQ98" i="13"/>
  <c r="AQ99" i="13" s="1"/>
  <c r="AL2" i="11"/>
  <c r="S16" i="11"/>
  <c r="AG59" i="11"/>
  <c r="T96" i="11"/>
  <c r="K97" i="11"/>
  <c r="AG97" i="11"/>
  <c r="AF45" i="12"/>
  <c r="AH38" i="12"/>
  <c r="AB81" i="12"/>
  <c r="AM97" i="12"/>
  <c r="V98" i="13"/>
  <c r="V99" i="13" s="1"/>
  <c r="W81" i="13"/>
  <c r="V97" i="13"/>
  <c r="AR97" i="13"/>
  <c r="AR98" i="13" s="1"/>
  <c r="T16" i="11"/>
  <c r="AH59" i="11"/>
  <c r="U96" i="11"/>
  <c r="N7" i="12"/>
  <c r="N10" i="12" s="1"/>
  <c r="N8" i="12" s="1"/>
  <c r="AC81" i="12"/>
  <c r="AT98" i="12"/>
  <c r="AU99" i="12"/>
  <c r="W97" i="13"/>
  <c r="W98" i="13" s="1"/>
  <c r="AS98" i="13"/>
  <c r="U16" i="11"/>
  <c r="AG52" i="11"/>
  <c r="AI59" i="11"/>
  <c r="U64" i="11"/>
  <c r="AD98" i="11"/>
  <c r="AD82" i="11" s="1"/>
  <c r="L100" i="11"/>
  <c r="AI38" i="12"/>
  <c r="AG40" i="12"/>
  <c r="AH74" i="12"/>
  <c r="AH75" i="12"/>
  <c r="AH65" i="12"/>
  <c r="AH76" i="12" s="1"/>
  <c r="AH67" i="12"/>
  <c r="AH72" i="12"/>
  <c r="AH70" i="12"/>
  <c r="AD81" i="12"/>
  <c r="F82" i="12"/>
  <c r="F81" i="12"/>
  <c r="B98" i="13"/>
  <c r="B97" i="13"/>
  <c r="B99" i="13"/>
  <c r="B100" i="13"/>
  <c r="B101" i="13"/>
  <c r="X97" i="13"/>
  <c r="X98" i="13" s="1"/>
  <c r="Y81" i="13"/>
  <c r="AT97" i="13"/>
  <c r="AH52" i="11"/>
  <c r="V64" i="11"/>
  <c r="AE98" i="11"/>
  <c r="AR111" i="12"/>
  <c r="AR96" i="12"/>
  <c r="AR80" i="12"/>
  <c r="AR2" i="13"/>
  <c r="AR48" i="12"/>
  <c r="AR16" i="12"/>
  <c r="AH40" i="12"/>
  <c r="AF81" i="12"/>
  <c r="G82" i="12"/>
  <c r="G81" i="12"/>
  <c r="Q100" i="13"/>
  <c r="Q83" i="13"/>
  <c r="L48" i="11"/>
  <c r="AG56" i="11"/>
  <c r="AI56" i="11" s="1"/>
  <c r="O101" i="11"/>
  <c r="AS111" i="12"/>
  <c r="AS96" i="12"/>
  <c r="AS80" i="12"/>
  <c r="AS2" i="13"/>
  <c r="AS48" i="12"/>
  <c r="AK16" i="12"/>
  <c r="AG41" i="12"/>
  <c r="AG42" i="12"/>
  <c r="AG43" i="12"/>
  <c r="AB29" i="12"/>
  <c r="AB5" i="12" s="1"/>
  <c r="AH69" i="12"/>
  <c r="H81" i="12"/>
  <c r="H98" i="12"/>
  <c r="W99" i="13"/>
  <c r="AG98" i="11"/>
  <c r="P98" i="11"/>
  <c r="AL98" i="11"/>
  <c r="AT111" i="12"/>
  <c r="AT80" i="12"/>
  <c r="AT2" i="13"/>
  <c r="AT48" i="12"/>
  <c r="AT96" i="12"/>
  <c r="AT16" i="12"/>
  <c r="AL16" i="12"/>
  <c r="AH41" i="12"/>
  <c r="AH42" i="12"/>
  <c r="AH43" i="12"/>
  <c r="AC29" i="12"/>
  <c r="AC5" i="12" s="1"/>
  <c r="AC7" i="12" s="1"/>
  <c r="AC10" i="12" s="1"/>
  <c r="AC8" i="12" s="1"/>
  <c r="I82" i="12"/>
  <c r="I81" i="12"/>
  <c r="I98" i="12"/>
  <c r="I99" i="12" s="1"/>
  <c r="C99" i="12"/>
  <c r="M98" i="13"/>
  <c r="M82" i="13"/>
  <c r="M81" i="13"/>
  <c r="AQ97" i="13"/>
  <c r="N48" i="11"/>
  <c r="H98" i="11"/>
  <c r="AH98" i="11"/>
  <c r="R98" i="11"/>
  <c r="Q98" i="11"/>
  <c r="AU111" i="12"/>
  <c r="AU96" i="12"/>
  <c r="AU2" i="13"/>
  <c r="AU64" i="12"/>
  <c r="AU16" i="12"/>
  <c r="AI42" i="12"/>
  <c r="AJ42" i="12" s="1"/>
  <c r="AG44" i="12"/>
  <c r="AH44" i="12" s="1"/>
  <c r="AD29" i="12"/>
  <c r="AD5" i="12" s="1"/>
  <c r="AD7" i="12" s="1"/>
  <c r="AD10" i="12" s="1"/>
  <c r="AD8" i="12" s="1"/>
  <c r="AR32" i="12"/>
  <c r="AL73" i="12"/>
  <c r="Y100" i="12"/>
  <c r="Y84" i="12"/>
  <c r="Y129" i="12" s="1"/>
  <c r="AL69" i="13"/>
  <c r="AK69" i="13"/>
  <c r="AS97" i="13"/>
  <c r="AI75" i="12"/>
  <c r="AI65" i="12"/>
  <c r="AI66" i="12"/>
  <c r="T96" i="13"/>
  <c r="T80" i="13"/>
  <c r="T64" i="13"/>
  <c r="T48" i="13"/>
  <c r="T32" i="13"/>
  <c r="T16" i="13"/>
  <c r="T111" i="13"/>
  <c r="I8" i="13"/>
  <c r="AL51" i="12"/>
  <c r="AN51" i="12" s="1"/>
  <c r="AJ75" i="12"/>
  <c r="AJ65" i="12"/>
  <c r="AJ66" i="12"/>
  <c r="AJ67" i="12"/>
  <c r="K100" i="12"/>
  <c r="K84" i="12" s="1"/>
  <c r="K129" i="12" s="1"/>
  <c r="AE123" i="12"/>
  <c r="AE122" i="12"/>
  <c r="AE121" i="12"/>
  <c r="AE120" i="12"/>
  <c r="AE119" i="12"/>
  <c r="AE118" i="12"/>
  <c r="AE117" i="12"/>
  <c r="AI2" i="13"/>
  <c r="AI32" i="12"/>
  <c r="AI111" i="12"/>
  <c r="AI96" i="12"/>
  <c r="AK55" i="12"/>
  <c r="AK58" i="12"/>
  <c r="AK59" i="12"/>
  <c r="AK66" i="12"/>
  <c r="AB82" i="12"/>
  <c r="AB127" i="12" s="1"/>
  <c r="J84" i="12"/>
  <c r="J129" i="12" s="1"/>
  <c r="J100" i="12"/>
  <c r="J126" i="12"/>
  <c r="AH116" i="12"/>
  <c r="N7" i="13"/>
  <c r="N10" i="13" s="1"/>
  <c r="N8" i="13" s="1"/>
  <c r="T29" i="13"/>
  <c r="T5" i="13" s="1"/>
  <c r="T7" i="13" s="1"/>
  <c r="T10" i="13" s="1"/>
  <c r="T8" i="13" s="1"/>
  <c r="AK53" i="12"/>
  <c r="AM66" i="12"/>
  <c r="B111" i="13"/>
  <c r="B96" i="13"/>
  <c r="B32" i="13"/>
  <c r="B80" i="13"/>
  <c r="B16" i="13"/>
  <c r="B48" i="13"/>
  <c r="X111" i="13"/>
  <c r="X96" i="13"/>
  <c r="X80" i="13"/>
  <c r="X48" i="13"/>
  <c r="X64" i="13"/>
  <c r="X16" i="13"/>
  <c r="X32" i="13"/>
  <c r="U29" i="13"/>
  <c r="U5" i="13" s="1"/>
  <c r="U7" i="13" s="1"/>
  <c r="U10" i="13" s="1"/>
  <c r="U8" i="13" s="1"/>
  <c r="AI48" i="12"/>
  <c r="AE82" i="12"/>
  <c r="AE127" i="12" s="1"/>
  <c r="AG112" i="12"/>
  <c r="AH112" i="12" s="1"/>
  <c r="AI115" i="12"/>
  <c r="C111" i="13"/>
  <c r="C96" i="13"/>
  <c r="C16" i="13"/>
  <c r="C32" i="13"/>
  <c r="C80" i="13"/>
  <c r="C64" i="13"/>
  <c r="C48" i="13"/>
  <c r="Y111" i="13"/>
  <c r="Y96" i="13"/>
  <c r="Y16" i="13"/>
  <c r="Y48" i="13"/>
  <c r="Y64" i="13"/>
  <c r="Y80" i="13"/>
  <c r="V29" i="13"/>
  <c r="V5" i="13" s="1"/>
  <c r="V7" i="13" s="1"/>
  <c r="V10" i="13" s="1"/>
  <c r="V8" i="13" s="1"/>
  <c r="N98" i="11"/>
  <c r="AJ98" i="11"/>
  <c r="AM111" i="12"/>
  <c r="AM48" i="12"/>
  <c r="AM96" i="12"/>
  <c r="AM2" i="13"/>
  <c r="AL75" i="12"/>
  <c r="AG82" i="12"/>
  <c r="AG127" i="12" s="1"/>
  <c r="K83" i="12"/>
  <c r="K128" i="12" s="1"/>
  <c r="AF82" i="12"/>
  <c r="AF127" i="12" s="1"/>
  <c r="AJ115" i="12"/>
  <c r="K7" i="13"/>
  <c r="K10" i="13" s="1"/>
  <c r="K8" i="13" s="1"/>
  <c r="AI80" i="12"/>
  <c r="X83" i="12"/>
  <c r="X128" i="12" s="1"/>
  <c r="Z45" i="13"/>
  <c r="AO111" i="12"/>
  <c r="AO48" i="12"/>
  <c r="AO96" i="12"/>
  <c r="AO2" i="13"/>
  <c r="AM32" i="12"/>
  <c r="AI67" i="12"/>
  <c r="B98" i="12"/>
  <c r="B82" i="12" s="1"/>
  <c r="Y83" i="12"/>
  <c r="Y128" i="12" s="1"/>
  <c r="E99" i="12"/>
  <c r="E83" i="12" s="1"/>
  <c r="AA98" i="12"/>
  <c r="AA99" i="12"/>
  <c r="AW97" i="12"/>
  <c r="Y33" i="13"/>
  <c r="Y45" i="13" s="1"/>
  <c r="Y29" i="13"/>
  <c r="Y5" i="13" s="1"/>
  <c r="Y7" i="13" s="1"/>
  <c r="Y10" i="13" s="1"/>
  <c r="Y8" i="13" s="1"/>
  <c r="AI42" i="13"/>
  <c r="AH53" i="13"/>
  <c r="AD6" i="13"/>
  <c r="AH55" i="13"/>
  <c r="B64" i="13"/>
  <c r="AP48" i="12"/>
  <c r="AP96" i="12"/>
  <c r="AP80" i="12"/>
  <c r="AP2" i="13"/>
  <c r="AL58" i="12"/>
  <c r="AA100" i="12"/>
  <c r="G99" i="12"/>
  <c r="F99" i="12"/>
  <c r="F83" i="12" s="1"/>
  <c r="AB99" i="12"/>
  <c r="AC98" i="12"/>
  <c r="AC82" i="12" s="1"/>
  <c r="AC127" i="12" s="1"/>
  <c r="AB98" i="12"/>
  <c r="AY97" i="12"/>
  <c r="AY98" i="12" s="1"/>
  <c r="AX97" i="12"/>
  <c r="AX98" i="12"/>
  <c r="AX99" i="12" s="1"/>
  <c r="AH37" i="13"/>
  <c r="AI37" i="13" s="1"/>
  <c r="AQ96" i="12"/>
  <c r="AQ80" i="12"/>
  <c r="AQ2" i="13"/>
  <c r="AO32" i="12"/>
  <c r="AK50" i="12"/>
  <c r="AI64" i="12"/>
  <c r="AM80" i="12"/>
  <c r="D82" i="12"/>
  <c r="AD98" i="12"/>
  <c r="AA29" i="13"/>
  <c r="AA5" i="13" s="1"/>
  <c r="AA33" i="13"/>
  <c r="AA45" i="13" s="1"/>
  <c r="AI73" i="13"/>
  <c r="G299" i="14"/>
  <c r="G39" i="14"/>
  <c r="T96" i="14"/>
  <c r="S234" i="14"/>
  <c r="S250" i="14" s="1"/>
  <c r="T92" i="14"/>
  <c r="R97" i="14"/>
  <c r="R223" i="14"/>
  <c r="R92" i="14"/>
  <c r="R12" i="14" s="1"/>
  <c r="R93" i="14" s="1"/>
  <c r="P224" i="14"/>
  <c r="P98" i="14"/>
  <c r="P114" i="14" s="1"/>
  <c r="N98" i="12"/>
  <c r="L7" i="13"/>
  <c r="L10" i="13" s="1"/>
  <c r="L8" i="13" s="1"/>
  <c r="W29" i="13"/>
  <c r="W5" i="13" s="1"/>
  <c r="W7" i="13" s="1"/>
  <c r="W10" i="13" s="1"/>
  <c r="W8" i="13" s="1"/>
  <c r="AC83" i="13"/>
  <c r="C98" i="13"/>
  <c r="C99" i="13" s="1"/>
  <c r="C97" i="13"/>
  <c r="C81" i="13" s="1"/>
  <c r="Y97" i="13"/>
  <c r="Z81" i="13"/>
  <c r="Z98" i="13"/>
  <c r="Z97" i="13"/>
  <c r="AU97" i="13"/>
  <c r="AV99" i="13"/>
  <c r="P15" i="14"/>
  <c r="O98" i="12"/>
  <c r="AK98" i="12"/>
  <c r="X33" i="13"/>
  <c r="X45" i="13" s="1"/>
  <c r="X29" i="13"/>
  <c r="X5" i="13" s="1"/>
  <c r="X7" i="13" s="1"/>
  <c r="X10" i="13" s="1"/>
  <c r="X8" i="13" s="1"/>
  <c r="E81" i="13"/>
  <c r="D97" i="13"/>
  <c r="N11" i="14"/>
  <c r="N16" i="14" s="1"/>
  <c r="AV98" i="12"/>
  <c r="X99" i="12"/>
  <c r="K80" i="13"/>
  <c r="K111" i="13"/>
  <c r="K32" i="13"/>
  <c r="K64" i="13"/>
  <c r="K16" i="13"/>
  <c r="K96" i="13"/>
  <c r="Z29" i="13"/>
  <c r="Z5" i="13" s="1"/>
  <c r="Z7" i="13" s="1"/>
  <c r="Z10" i="13" s="1"/>
  <c r="Z8" i="13" s="1"/>
  <c r="AK101" i="13"/>
  <c r="K81" i="12"/>
  <c r="O97" i="12"/>
  <c r="O81" i="12" s="1"/>
  <c r="V35" i="14"/>
  <c r="V41" i="14" s="1"/>
  <c r="V36" i="14" s="1"/>
  <c r="T97" i="12"/>
  <c r="AP97" i="12"/>
  <c r="AG39" i="13"/>
  <c r="AI39" i="13" s="1"/>
  <c r="U97" i="12"/>
  <c r="AQ97" i="12"/>
  <c r="AH39" i="13"/>
  <c r="V97" i="12"/>
  <c r="AR97" i="12"/>
  <c r="AE29" i="13"/>
  <c r="AE5" i="13" s="1"/>
  <c r="AE7" i="13" s="1"/>
  <c r="AE10" i="13" s="1"/>
  <c r="AE8" i="13" s="1"/>
  <c r="AE33" i="13"/>
  <c r="AH36" i="13"/>
  <c r="AJ36" i="13" s="1"/>
  <c r="AH41" i="13"/>
  <c r="W97" i="12"/>
  <c r="AS97" i="12"/>
  <c r="AG113" i="12"/>
  <c r="Q111" i="13"/>
  <c r="Q80" i="13"/>
  <c r="Q64" i="13"/>
  <c r="Q48" i="13"/>
  <c r="Q32" i="13"/>
  <c r="AF29" i="13"/>
  <c r="AF5" i="13" s="1"/>
  <c r="AF33" i="13"/>
  <c r="AH35" i="13"/>
  <c r="AI36" i="13"/>
  <c r="W45" i="13"/>
  <c r="AI41" i="13"/>
  <c r="AG43" i="13"/>
  <c r="AH43" i="13" s="1"/>
  <c r="AI68" i="13"/>
  <c r="AM100" i="13"/>
  <c r="D299" i="14"/>
  <c r="D39" i="14"/>
  <c r="X100" i="12"/>
  <c r="R80" i="13"/>
  <c r="R48" i="13"/>
  <c r="R111" i="13"/>
  <c r="R32" i="13"/>
  <c r="R96" i="13"/>
  <c r="R64" i="13"/>
  <c r="AI75" i="13"/>
  <c r="AL75" i="13" s="1"/>
  <c r="AO98" i="13"/>
  <c r="AK99" i="12"/>
  <c r="S80" i="13"/>
  <c r="S64" i="13"/>
  <c r="S96" i="13"/>
  <c r="S48" i="13"/>
  <c r="S111" i="13"/>
  <c r="S32" i="13"/>
  <c r="X35" i="14"/>
  <c r="X41" i="14" s="1"/>
  <c r="U64" i="13"/>
  <c r="U48" i="13"/>
  <c r="U111" i="13"/>
  <c r="AB29" i="13"/>
  <c r="AB5" i="13" s="1"/>
  <c r="AB7" i="13" s="1"/>
  <c r="AB10" i="13" s="1"/>
  <c r="AB8" i="13" s="1"/>
  <c r="AH44" i="13"/>
  <c r="U247" i="14"/>
  <c r="W305" i="14"/>
  <c r="W306" i="14" s="1"/>
  <c r="W307" i="14" s="1"/>
  <c r="W308" i="14" s="1"/>
  <c r="W309" i="14" s="1"/>
  <c r="W310" i="14" s="1"/>
  <c r="W311" i="14" s="1"/>
  <c r="W312" i="14" s="1"/>
  <c r="W313" i="14" s="1"/>
  <c r="W303" i="14"/>
  <c r="W304" i="14" s="1"/>
  <c r="V111" i="13"/>
  <c r="V64" i="13"/>
  <c r="V96" i="13"/>
  <c r="V48" i="13"/>
  <c r="AC29" i="13"/>
  <c r="AC5" i="13" s="1"/>
  <c r="AC7" i="13" s="1"/>
  <c r="AC10" i="13" s="1"/>
  <c r="AC8" i="13" s="1"/>
  <c r="AC33" i="13"/>
  <c r="AH58" i="13"/>
  <c r="AH49" i="13"/>
  <c r="AH56" i="13"/>
  <c r="AH50" i="13"/>
  <c r="AH57" i="13"/>
  <c r="AH54" i="13"/>
  <c r="AH52" i="13"/>
  <c r="W64" i="13"/>
  <c r="W48" i="13"/>
  <c r="W111" i="13"/>
  <c r="AD29" i="13"/>
  <c r="AD5" i="13" s="1"/>
  <c r="AD33" i="13"/>
  <c r="AB83" i="13"/>
  <c r="AL100" i="13"/>
  <c r="D99" i="12"/>
  <c r="Z99" i="12"/>
  <c r="D96" i="13"/>
  <c r="D64" i="13"/>
  <c r="D48" i="13"/>
  <c r="D16" i="13"/>
  <c r="D32" i="13"/>
  <c r="D80" i="13"/>
  <c r="Z96" i="13"/>
  <c r="Z64" i="13"/>
  <c r="Z48" i="13"/>
  <c r="Z16" i="13"/>
  <c r="Z111" i="13"/>
  <c r="AB6" i="13"/>
  <c r="AH59" i="13"/>
  <c r="AH65" i="13"/>
  <c r="AE99" i="13"/>
  <c r="E111" i="13"/>
  <c r="E48" i="13"/>
  <c r="E16" i="13"/>
  <c r="E32" i="13"/>
  <c r="E96" i="13"/>
  <c r="E80" i="13"/>
  <c r="E64" i="13"/>
  <c r="AA96" i="13"/>
  <c r="AA48" i="13"/>
  <c r="AA16" i="13"/>
  <c r="AA111" i="13"/>
  <c r="AA32" i="13"/>
  <c r="AB33" i="13"/>
  <c r="AB45" i="13" s="1"/>
  <c r="AG56" i="13"/>
  <c r="AG59" i="13"/>
  <c r="AG54" i="13"/>
  <c r="AG57" i="13"/>
  <c r="AG52" i="13"/>
  <c r="AG55" i="13"/>
  <c r="AI66" i="13"/>
  <c r="AI67" i="13"/>
  <c r="AI65" i="13"/>
  <c r="AH68" i="13"/>
  <c r="AH75" i="13"/>
  <c r="U96" i="13"/>
  <c r="AF83" i="13"/>
  <c r="AF99" i="13"/>
  <c r="R15" i="14"/>
  <c r="T76" i="14"/>
  <c r="O76" i="14"/>
  <c r="O13" i="14" s="1"/>
  <c r="F64" i="13"/>
  <c r="F111" i="13"/>
  <c r="F48" i="13"/>
  <c r="F32" i="13"/>
  <c r="F16" i="13"/>
  <c r="F96" i="13"/>
  <c r="F80" i="13"/>
  <c r="AB96" i="13"/>
  <c r="AB64" i="13"/>
  <c r="AB48" i="13"/>
  <c r="AB32" i="13"/>
  <c r="AB16" i="13"/>
  <c r="AB111" i="13"/>
  <c r="W96" i="13"/>
  <c r="L11" i="14"/>
  <c r="L16" i="14" s="1"/>
  <c r="G80" i="13"/>
  <c r="G48" i="13"/>
  <c r="G32" i="13"/>
  <c r="G111" i="13"/>
  <c r="G16" i="13"/>
  <c r="G96" i="13"/>
  <c r="AC80" i="13"/>
  <c r="AC48" i="13"/>
  <c r="AC32" i="13"/>
  <c r="AC96" i="13"/>
  <c r="AC16" i="13"/>
  <c r="AC111" i="13"/>
  <c r="AA64" i="13"/>
  <c r="AH67" i="13"/>
  <c r="U80" i="13"/>
  <c r="F6" i="14"/>
  <c r="E14" i="14"/>
  <c r="Y161" i="14"/>
  <c r="H99" i="12"/>
  <c r="AD99" i="12"/>
  <c r="H48" i="13"/>
  <c r="H32" i="13"/>
  <c r="H111" i="13"/>
  <c r="H96" i="13"/>
  <c r="H80" i="13"/>
  <c r="H64" i="13"/>
  <c r="AD111" i="13"/>
  <c r="AD48" i="13"/>
  <c r="AD32" i="13"/>
  <c r="AD96" i="13"/>
  <c r="H7" i="13"/>
  <c r="H10" i="13" s="1"/>
  <c r="H8" i="13" s="1"/>
  <c r="AD7" i="13"/>
  <c r="AD10" i="13" s="1"/>
  <c r="AD8" i="13" s="1"/>
  <c r="AF34" i="13"/>
  <c r="AF81" i="13"/>
  <c r="U32" i="13"/>
  <c r="AC64" i="13"/>
  <c r="AG71" i="13"/>
  <c r="V80" i="13"/>
  <c r="B6" i="14"/>
  <c r="B7" i="14"/>
  <c r="X6" i="14"/>
  <c r="X7" i="14"/>
  <c r="G226" i="14"/>
  <c r="G242" i="14" s="1"/>
  <c r="G100" i="14"/>
  <c r="G116" i="14" s="1"/>
  <c r="C135" i="14"/>
  <c r="C129" i="14"/>
  <c r="C130" i="14"/>
  <c r="C139" i="14"/>
  <c r="C128" i="14"/>
  <c r="C136" i="14"/>
  <c r="N24" i="14"/>
  <c r="C134" i="14"/>
  <c r="I80" i="13"/>
  <c r="I111" i="13"/>
  <c r="I32" i="13"/>
  <c r="I96" i="13"/>
  <c r="I64" i="13"/>
  <c r="AG34" i="13"/>
  <c r="AG81" i="13"/>
  <c r="V32" i="13"/>
  <c r="AG53" i="13"/>
  <c r="AG60" i="13" s="1"/>
  <c r="AD64" i="13"/>
  <c r="AH71" i="13"/>
  <c r="W80" i="13"/>
  <c r="O7" i="14"/>
  <c r="O11" i="14"/>
  <c r="O16" i="14" s="1"/>
  <c r="AA25" i="14"/>
  <c r="AA28" i="14" s="1"/>
  <c r="AA26" i="14" s="1"/>
  <c r="O234" i="14"/>
  <c r="O250" i="14" s="1"/>
  <c r="P92" i="14"/>
  <c r="P12" i="14" s="1"/>
  <c r="P93" i="14" s="1"/>
  <c r="P96" i="14"/>
  <c r="N223" i="14"/>
  <c r="N239" i="14" s="1"/>
  <c r="N97" i="14"/>
  <c r="N113" i="14" s="1"/>
  <c r="L224" i="14"/>
  <c r="L240" i="14" s="1"/>
  <c r="L98" i="14"/>
  <c r="L114" i="14" s="1"/>
  <c r="J225" i="14"/>
  <c r="J99" i="14"/>
  <c r="J115" i="14" s="1"/>
  <c r="W229" i="14"/>
  <c r="W245" i="14" s="1"/>
  <c r="W103" i="14"/>
  <c r="W119" i="14" s="1"/>
  <c r="W246" i="14" s="1"/>
  <c r="H14" i="14"/>
  <c r="I6" i="14"/>
  <c r="O223" i="14"/>
  <c r="O239" i="14" s="1"/>
  <c r="O97" i="14"/>
  <c r="O92" i="14"/>
  <c r="O12" i="14" s="1"/>
  <c r="O93" i="14" s="1"/>
  <c r="M224" i="14"/>
  <c r="M240" i="14" s="1"/>
  <c r="M98" i="14"/>
  <c r="M114" i="14" s="1"/>
  <c r="K14" i="14"/>
  <c r="L6" i="14"/>
  <c r="P97" i="14"/>
  <c r="P113" i="14" s="1"/>
  <c r="P223" i="14"/>
  <c r="N224" i="14"/>
  <c r="N240" i="14" s="1"/>
  <c r="N98" i="14"/>
  <c r="N114" i="14" s="1"/>
  <c r="N241" i="14" s="1"/>
  <c r="L225" i="14"/>
  <c r="L99" i="14"/>
  <c r="L115" i="14" s="1"/>
  <c r="H227" i="14"/>
  <c r="H101" i="14"/>
  <c r="H117" i="14" s="1"/>
  <c r="F228" i="14"/>
  <c r="F244" i="14" s="1"/>
  <c r="F102" i="14"/>
  <c r="F118" i="14" s="1"/>
  <c r="M48" i="13"/>
  <c r="S96" i="14"/>
  <c r="R234" i="14"/>
  <c r="R250" i="14" s="1"/>
  <c r="S92" i="14"/>
  <c r="S12" i="14" s="1"/>
  <c r="S93" i="14" s="1"/>
  <c r="M225" i="14"/>
  <c r="M99" i="14"/>
  <c r="M115" i="14" s="1"/>
  <c r="M242" i="14" s="1"/>
  <c r="AA82" i="13"/>
  <c r="U96" i="14"/>
  <c r="T234" i="14"/>
  <c r="T250" i="14" s="1"/>
  <c r="U92" i="14"/>
  <c r="S97" i="14"/>
  <c r="S113" i="14" s="1"/>
  <c r="S223" i="14"/>
  <c r="Q224" i="14"/>
  <c r="Q240" i="14" s="1"/>
  <c r="Q98" i="14"/>
  <c r="Q114" i="14" s="1"/>
  <c r="W233" i="14"/>
  <c r="W249" i="14" s="1"/>
  <c r="W107" i="14"/>
  <c r="W123" i="14" s="1"/>
  <c r="AI59" i="13"/>
  <c r="AI50" i="13"/>
  <c r="AD81" i="13"/>
  <c r="AB82" i="13"/>
  <c r="U234" i="14"/>
  <c r="U250" i="14" s="1"/>
  <c r="V96" i="14"/>
  <c r="V160" i="14" s="1"/>
  <c r="V92" i="14"/>
  <c r="AA90" i="14" s="1"/>
  <c r="AA106" i="14" s="1"/>
  <c r="AA122" i="14" s="1"/>
  <c r="J283" i="14"/>
  <c r="J40" i="14" s="1"/>
  <c r="AJ57" i="13"/>
  <c r="AJ51" i="13"/>
  <c r="AH72" i="13"/>
  <c r="L242" i="14"/>
  <c r="AG72" i="13"/>
  <c r="AG74" i="13"/>
  <c r="AG70" i="13"/>
  <c r="W234" i="14"/>
  <c r="W250" i="14" s="1"/>
  <c r="X96" i="14"/>
  <c r="X92" i="14"/>
  <c r="X12" i="14" s="1"/>
  <c r="X93" i="14" s="1"/>
  <c r="Z242" i="14"/>
  <c r="Q250" i="14"/>
  <c r="L64" i="13"/>
  <c r="AH73" i="13"/>
  <c r="AH66" i="13"/>
  <c r="AH74" i="13"/>
  <c r="AH70" i="13"/>
  <c r="I99" i="13"/>
  <c r="X234" i="14"/>
  <c r="Y92" i="14"/>
  <c r="Y12" i="14" s="1"/>
  <c r="Y93" i="14" s="1"/>
  <c r="Y96" i="14"/>
  <c r="AI52" i="13"/>
  <c r="AK52" i="13" s="1"/>
  <c r="M64" i="13"/>
  <c r="Q76" i="14"/>
  <c r="Q13" i="14" s="1"/>
  <c r="Q15" i="14" s="1"/>
  <c r="F92" i="14"/>
  <c r="F12" i="14" s="1"/>
  <c r="N96" i="13"/>
  <c r="N111" i="13"/>
  <c r="N80" i="13"/>
  <c r="AI49" i="13"/>
  <c r="AJ52" i="13"/>
  <c r="N64" i="13"/>
  <c r="AJ75" i="13"/>
  <c r="J83" i="13"/>
  <c r="R98" i="13"/>
  <c r="S81" i="13"/>
  <c r="AN99" i="13"/>
  <c r="AN100" i="13"/>
  <c r="AN101" i="13" s="1"/>
  <c r="AN97" i="13"/>
  <c r="AN98" i="13"/>
  <c r="I15" i="14"/>
  <c r="F243" i="14"/>
  <c r="O96" i="13"/>
  <c r="O111" i="13"/>
  <c r="AJ49" i="13"/>
  <c r="AI57" i="13"/>
  <c r="O64" i="13"/>
  <c r="L80" i="13"/>
  <c r="S98" i="13"/>
  <c r="S99" i="13" s="1"/>
  <c r="T81" i="13"/>
  <c r="AO99" i="13"/>
  <c r="AO100" i="13"/>
  <c r="AO101" i="13" s="1"/>
  <c r="P111" i="13"/>
  <c r="P80" i="13"/>
  <c r="L32" i="13"/>
  <c r="P64" i="13"/>
  <c r="AJ65" i="13"/>
  <c r="M80" i="13"/>
  <c r="AA98" i="13"/>
  <c r="T99" i="13"/>
  <c r="T98" i="13"/>
  <c r="AP100" i="13"/>
  <c r="AP99" i="13"/>
  <c r="AP98" i="13"/>
  <c r="K11" i="14"/>
  <c r="K16" i="14" s="1"/>
  <c r="R35" i="14"/>
  <c r="R41" i="14" s="1"/>
  <c r="R36" i="14" s="1"/>
  <c r="AA81" i="13"/>
  <c r="AV98" i="13"/>
  <c r="AV97" i="13"/>
  <c r="F57" i="14"/>
  <c r="F58" i="14"/>
  <c r="B49" i="14"/>
  <c r="E57" i="14"/>
  <c r="E53" i="14"/>
  <c r="X233" i="14"/>
  <c r="X249" i="14" s="1"/>
  <c r="X107" i="14"/>
  <c r="X123" i="14" s="1"/>
  <c r="C299" i="14"/>
  <c r="C39" i="14"/>
  <c r="C53" i="14"/>
  <c r="B57" i="14"/>
  <c r="G231" i="14"/>
  <c r="G105" i="14"/>
  <c r="G121" i="14" s="1"/>
  <c r="F232" i="14"/>
  <c r="F248" i="14" s="1"/>
  <c r="F106" i="14"/>
  <c r="F122" i="14" s="1"/>
  <c r="X161" i="14"/>
  <c r="H97" i="13"/>
  <c r="AD97" i="13"/>
  <c r="F53" i="14"/>
  <c r="G76" i="14"/>
  <c r="G13" i="14" s="1"/>
  <c r="E76" i="14"/>
  <c r="E13" i="14" s="1"/>
  <c r="E15" i="14" s="1"/>
  <c r="Z161" i="14"/>
  <c r="E97" i="13"/>
  <c r="AA99" i="13"/>
  <c r="H160" i="14"/>
  <c r="AC306" i="14"/>
  <c r="AC305" i="14"/>
  <c r="AC35" i="14"/>
  <c r="AC41" i="14" s="1"/>
  <c r="AC40" i="14" s="1"/>
  <c r="AC283" i="14" s="1"/>
  <c r="D59" i="14"/>
  <c r="J101" i="13"/>
  <c r="Q6" i="14"/>
  <c r="C11" i="14"/>
  <c r="C16" i="14" s="1"/>
  <c r="Y11" i="14"/>
  <c r="Y16" i="14" s="1"/>
  <c r="Y15" i="14" s="1"/>
  <c r="H36" i="14"/>
  <c r="E59" i="14"/>
  <c r="H76" i="14"/>
  <c r="H13" i="14" s="1"/>
  <c r="H107" i="14"/>
  <c r="H123" i="14" s="1"/>
  <c r="H233" i="14"/>
  <c r="H249" i="14" s="1"/>
  <c r="X247" i="14"/>
  <c r="G97" i="13"/>
  <c r="AX98" i="13"/>
  <c r="AC99" i="13"/>
  <c r="J160" i="14"/>
  <c r="I299" i="14"/>
  <c r="I39" i="14"/>
  <c r="F59" i="14"/>
  <c r="K76" i="14"/>
  <c r="B75" i="14" s="1"/>
  <c r="X226" i="14"/>
  <c r="X242" i="14" s="1"/>
  <c r="X100" i="14"/>
  <c r="X116" i="14" s="1"/>
  <c r="X243" i="14" s="1"/>
  <c r="T227" i="14"/>
  <c r="T101" i="14"/>
  <c r="T117" i="14" s="1"/>
  <c r="R228" i="14"/>
  <c r="R244" i="14" s="1"/>
  <c r="R102" i="14"/>
  <c r="R118" i="14" s="1"/>
  <c r="R245" i="14" s="1"/>
  <c r="M231" i="14"/>
  <c r="M247" i="14" s="1"/>
  <c r="M105" i="14"/>
  <c r="M121" i="14" s="1"/>
  <c r="M248" i="14" s="1"/>
  <c r="L232" i="14"/>
  <c r="L248" i="14" s="1"/>
  <c r="L106" i="14"/>
  <c r="L122" i="14" s="1"/>
  <c r="AY98" i="13"/>
  <c r="AH100" i="13"/>
  <c r="U7" i="14"/>
  <c r="J76" i="14"/>
  <c r="J13" i="14" s="1"/>
  <c r="C226" i="14"/>
  <c r="C100" i="14"/>
  <c r="C116" i="14" s="1"/>
  <c r="Y226" i="14"/>
  <c r="Y242" i="14" s="1"/>
  <c r="Y100" i="14"/>
  <c r="Y116" i="14" s="1"/>
  <c r="U227" i="14"/>
  <c r="U243" i="14" s="1"/>
  <c r="U101" i="14"/>
  <c r="U117" i="14" s="1"/>
  <c r="S156" i="14"/>
  <c r="G148" i="14" s="1"/>
  <c r="T6" i="14"/>
  <c r="D226" i="14"/>
  <c r="D100" i="14"/>
  <c r="D116" i="14" s="1"/>
  <c r="K233" i="14"/>
  <c r="K107" i="14"/>
  <c r="K123" i="14" s="1"/>
  <c r="T156" i="14"/>
  <c r="Z241" i="14"/>
  <c r="K97" i="13"/>
  <c r="N98" i="13"/>
  <c r="N82" i="13" s="1"/>
  <c r="AJ100" i="13"/>
  <c r="AJ99" i="13"/>
  <c r="N76" i="14"/>
  <c r="N13" i="14" s="1"/>
  <c r="L76" i="14"/>
  <c r="W227" i="14"/>
  <c r="W243" i="14" s="1"/>
  <c r="W101" i="14"/>
  <c r="W117" i="14" s="1"/>
  <c r="W244" i="14" s="1"/>
  <c r="W92" i="14"/>
  <c r="W12" i="14" s="1"/>
  <c r="W93" i="14" s="1"/>
  <c r="Q230" i="14"/>
  <c r="Q246" i="14" s="1"/>
  <c r="Q104" i="14"/>
  <c r="Q120" i="14" s="1"/>
  <c r="U156" i="14"/>
  <c r="L97" i="13"/>
  <c r="AG99" i="13"/>
  <c r="M35" i="14"/>
  <c r="M41" i="14" s="1"/>
  <c r="M36" i="14" s="1"/>
  <c r="M76" i="14"/>
  <c r="M13" i="14" s="1"/>
  <c r="I225" i="14"/>
  <c r="I241" i="14" s="1"/>
  <c r="I99" i="14"/>
  <c r="I115" i="14" s="1"/>
  <c r="F226" i="14"/>
  <c r="F242" i="14" s="1"/>
  <c r="F100" i="14"/>
  <c r="F116" i="14" s="1"/>
  <c r="W156" i="14"/>
  <c r="W27" i="14" s="1"/>
  <c r="V156" i="14"/>
  <c r="V27" i="14" s="1"/>
  <c r="K242" i="14"/>
  <c r="C223" i="14"/>
  <c r="C97" i="14"/>
  <c r="C113" i="14" s="1"/>
  <c r="C240" i="14" s="1"/>
  <c r="D229" i="14"/>
  <c r="D245" i="14" s="1"/>
  <c r="D103" i="14"/>
  <c r="D119" i="14" s="1"/>
  <c r="T230" i="14"/>
  <c r="T246" i="14" s="1"/>
  <c r="T104" i="14"/>
  <c r="T120" i="14" s="1"/>
  <c r="O232" i="14"/>
  <c r="O248" i="14" s="1"/>
  <c r="O106" i="14"/>
  <c r="O122" i="14" s="1"/>
  <c r="L233" i="14"/>
  <c r="L249" i="14" s="1"/>
  <c r="L107" i="14"/>
  <c r="L123" i="14" s="1"/>
  <c r="H156" i="14"/>
  <c r="H27" i="14" s="1"/>
  <c r="H176" i="14"/>
  <c r="H178" i="14"/>
  <c r="I54" i="14"/>
  <c r="I52" i="14"/>
  <c r="I50" i="14"/>
  <c r="I48" i="14"/>
  <c r="I59" i="14"/>
  <c r="I49" i="14"/>
  <c r="I57" i="14"/>
  <c r="E229" i="14"/>
  <c r="E245" i="14" s="1"/>
  <c r="E103" i="14"/>
  <c r="E119" i="14" s="1"/>
  <c r="U230" i="14"/>
  <c r="U246" i="14" s="1"/>
  <c r="U104" i="14"/>
  <c r="U120" i="14" s="1"/>
  <c r="Q231" i="14"/>
  <c r="Q105" i="14"/>
  <c r="Q121" i="14" s="1"/>
  <c r="P248" i="14"/>
  <c r="B131" i="14"/>
  <c r="B137" i="14"/>
  <c r="B132" i="14"/>
  <c r="B129" i="14"/>
  <c r="B135" i="14"/>
  <c r="B138" i="14"/>
  <c r="B134" i="14"/>
  <c r="T24" i="14"/>
  <c r="B130" i="14"/>
  <c r="B136" i="14"/>
  <c r="B139" i="14"/>
  <c r="J156" i="14"/>
  <c r="J27" i="14" s="1"/>
  <c r="I176" i="14"/>
  <c r="I177" i="14" s="1"/>
  <c r="J100" i="13"/>
  <c r="V6" i="14"/>
  <c r="P7" i="14"/>
  <c r="Q160" i="14"/>
  <c r="B299" i="14"/>
  <c r="B39" i="14"/>
  <c r="D57" i="14"/>
  <c r="K227" i="14"/>
  <c r="K243" i="14" s="1"/>
  <c r="K101" i="14"/>
  <c r="K117" i="14" s="1"/>
  <c r="I228" i="14"/>
  <c r="I244" i="14" s="1"/>
  <c r="I102" i="14"/>
  <c r="I118" i="14" s="1"/>
  <c r="F229" i="14"/>
  <c r="F245" i="14" s="1"/>
  <c r="F103" i="14"/>
  <c r="F119" i="14" s="1"/>
  <c r="V246" i="14"/>
  <c r="R231" i="14"/>
  <c r="R247" i="14" s="1"/>
  <c r="R105" i="14"/>
  <c r="R121" i="14" s="1"/>
  <c r="Q232" i="14"/>
  <c r="Q248" i="14" s="1"/>
  <c r="Q106" i="14"/>
  <c r="Q122" i="14" s="1"/>
  <c r="J176" i="14"/>
  <c r="J177" i="14"/>
  <c r="J178" i="14"/>
  <c r="J179" i="14" s="1"/>
  <c r="K229" i="14"/>
  <c r="K245" i="14" s="1"/>
  <c r="W6" i="14"/>
  <c r="Q7" i="14"/>
  <c r="R160" i="14"/>
  <c r="D240" i="14"/>
  <c r="Z224" i="14"/>
  <c r="Z240" i="14" s="1"/>
  <c r="Z98" i="14"/>
  <c r="Z114" i="14" s="1"/>
  <c r="L227" i="14"/>
  <c r="L243" i="14" s="1"/>
  <c r="L101" i="14"/>
  <c r="L117" i="14" s="1"/>
  <c r="J228" i="14"/>
  <c r="J244" i="14" s="1"/>
  <c r="J102" i="14"/>
  <c r="J118" i="14" s="1"/>
  <c r="G229" i="14"/>
  <c r="G103" i="14"/>
  <c r="G119" i="14" s="1"/>
  <c r="S231" i="14"/>
  <c r="S247" i="14" s="1"/>
  <c r="S105" i="14"/>
  <c r="S121" i="14" s="1"/>
  <c r="R232" i="14"/>
  <c r="R248" i="14" s="1"/>
  <c r="R106" i="14"/>
  <c r="R122" i="14" s="1"/>
  <c r="D98" i="14"/>
  <c r="D114" i="14" s="1"/>
  <c r="AB138" i="14"/>
  <c r="K176" i="14"/>
  <c r="L229" i="14"/>
  <c r="I53" i="14"/>
  <c r="C56" i="14"/>
  <c r="C54" i="14"/>
  <c r="C52" i="14"/>
  <c r="C50" i="14"/>
  <c r="C48" i="14"/>
  <c r="B53" i="14"/>
  <c r="L10" i="14"/>
  <c r="C58" i="14"/>
  <c r="C55" i="14"/>
  <c r="B55" i="14"/>
  <c r="C49" i="14"/>
  <c r="C57" i="14"/>
  <c r="V76" i="14"/>
  <c r="H234" i="14"/>
  <c r="I92" i="14"/>
  <c r="I12" i="14" s="1"/>
  <c r="I93" i="14" s="1"/>
  <c r="I96" i="14"/>
  <c r="E240" i="14"/>
  <c r="Q226" i="14"/>
  <c r="Q242" i="14" s="1"/>
  <c r="Q100" i="14"/>
  <c r="Q116" i="14" s="1"/>
  <c r="M101" i="14"/>
  <c r="M117" i="14" s="1"/>
  <c r="M227" i="14"/>
  <c r="M243" i="14" s="1"/>
  <c r="K228" i="14"/>
  <c r="K102" i="14"/>
  <c r="K118" i="14" s="1"/>
  <c r="H229" i="14"/>
  <c r="H103" i="14"/>
  <c r="H119" i="14" s="1"/>
  <c r="X246" i="14"/>
  <c r="T231" i="14"/>
  <c r="T247" i="14" s="1"/>
  <c r="T105" i="14"/>
  <c r="T121" i="14" s="1"/>
  <c r="AA81" i="14"/>
  <c r="AA80" i="14"/>
  <c r="AA84" i="14"/>
  <c r="K108" i="14"/>
  <c r="K23" i="14" s="1"/>
  <c r="K25" i="14" s="1"/>
  <c r="K28" i="14" s="1"/>
  <c r="K112" i="14"/>
  <c r="T100" i="14"/>
  <c r="T116" i="14" s="1"/>
  <c r="M156" i="14"/>
  <c r="L176" i="14"/>
  <c r="L177" i="14" s="1"/>
  <c r="M245" i="14"/>
  <c r="AB5" i="14"/>
  <c r="T160" i="14"/>
  <c r="I58" i="14"/>
  <c r="W76" i="14"/>
  <c r="W13" i="14" s="1"/>
  <c r="X241" i="14"/>
  <c r="R226" i="14"/>
  <c r="R242" i="14" s="1"/>
  <c r="R100" i="14"/>
  <c r="R116" i="14" s="1"/>
  <c r="N101" i="14"/>
  <c r="N117" i="14" s="1"/>
  <c r="N227" i="14"/>
  <c r="L228" i="14"/>
  <c r="L102" i="14"/>
  <c r="L118" i="14" s="1"/>
  <c r="I103" i="14"/>
  <c r="I119" i="14" s="1"/>
  <c r="I229" i="14"/>
  <c r="C230" i="14"/>
  <c r="C246" i="14" s="1"/>
  <c r="C104" i="14"/>
  <c r="C120" i="14" s="1"/>
  <c r="Y246" i="14"/>
  <c r="AB80" i="14"/>
  <c r="N108" i="14"/>
  <c r="N23" i="14" s="1"/>
  <c r="N25" i="14" s="1"/>
  <c r="N28" i="14" s="1"/>
  <c r="N156" i="14"/>
  <c r="E149" i="14" s="1"/>
  <c r="AI100" i="13"/>
  <c r="D6" i="14"/>
  <c r="Z6" i="14"/>
  <c r="T7" i="14"/>
  <c r="L35" i="14"/>
  <c r="L41" i="14" s="1"/>
  <c r="E55" i="14"/>
  <c r="X76" i="14"/>
  <c r="X13" i="14" s="1"/>
  <c r="X15" i="14" s="1"/>
  <c r="C225" i="14"/>
  <c r="C241" i="14" s="1"/>
  <c r="C99" i="14"/>
  <c r="C115" i="14" s="1"/>
  <c r="S226" i="14"/>
  <c r="S242" i="14" s="1"/>
  <c r="S100" i="14"/>
  <c r="S116" i="14" s="1"/>
  <c r="O227" i="14"/>
  <c r="O243" i="14" s="1"/>
  <c r="O101" i="14"/>
  <c r="O117" i="14" s="1"/>
  <c r="M244" i="14"/>
  <c r="J103" i="14"/>
  <c r="J119" i="14" s="1"/>
  <c r="J246" i="14" s="1"/>
  <c r="J229" i="14"/>
  <c r="J245" i="14" s="1"/>
  <c r="D230" i="14"/>
  <c r="D246" i="14" s="1"/>
  <c r="D104" i="14"/>
  <c r="D120" i="14" s="1"/>
  <c r="V105" i="14"/>
  <c r="V121" i="14" s="1"/>
  <c r="V231" i="14"/>
  <c r="V247" i="14" s="1"/>
  <c r="O112" i="14"/>
  <c r="G98" i="14"/>
  <c r="G114" i="14" s="1"/>
  <c r="V100" i="14"/>
  <c r="V116" i="14" s="1"/>
  <c r="P102" i="14"/>
  <c r="P118" i="14" s="1"/>
  <c r="P245" i="14"/>
  <c r="I264" i="14"/>
  <c r="I262" i="14"/>
  <c r="I256" i="14"/>
  <c r="I261" i="14"/>
  <c r="I266" i="14"/>
  <c r="I255" i="14"/>
  <c r="I258" i="14"/>
  <c r="I265" i="14"/>
  <c r="I260" i="14"/>
  <c r="I257" i="14"/>
  <c r="I263" i="14"/>
  <c r="T283" i="14"/>
  <c r="J223" i="14"/>
  <c r="J239" i="14" s="1"/>
  <c r="J97" i="14"/>
  <c r="J113" i="14" s="1"/>
  <c r="H240" i="14"/>
  <c r="D225" i="14"/>
  <c r="D99" i="14"/>
  <c r="D115" i="14" s="1"/>
  <c r="T242" i="14"/>
  <c r="P101" i="14"/>
  <c r="P117" i="14" s="1"/>
  <c r="P227" i="14"/>
  <c r="N228" i="14"/>
  <c r="N244" i="14" s="1"/>
  <c r="N102" i="14"/>
  <c r="N118" i="14" s="1"/>
  <c r="N245" i="14" s="1"/>
  <c r="E230" i="14"/>
  <c r="E246" i="14" s="1"/>
  <c r="E104" i="14"/>
  <c r="E120" i="14" s="1"/>
  <c r="E247" i="14" s="1"/>
  <c r="S249" i="14"/>
  <c r="H98" i="14"/>
  <c r="P106" i="14"/>
  <c r="P122" i="14" s="1"/>
  <c r="B259" i="14"/>
  <c r="B256" i="14"/>
  <c r="B263" i="14"/>
  <c r="B266" i="14"/>
  <c r="B258" i="14"/>
  <c r="B261" i="14"/>
  <c r="B265" i="14"/>
  <c r="B260" i="14"/>
  <c r="U283" i="14"/>
  <c r="Z295" i="14"/>
  <c r="Z291" i="14"/>
  <c r="Z294" i="14"/>
  <c r="Z290" i="14"/>
  <c r="Z296" i="14"/>
  <c r="Z288" i="14"/>
  <c r="Z297" i="14"/>
  <c r="Z289" i="14"/>
  <c r="Z287" i="14"/>
  <c r="Z298" i="14"/>
  <c r="Z293" i="14"/>
  <c r="C6" i="14"/>
  <c r="G49" i="14"/>
  <c r="G52" i="14"/>
  <c r="G57" i="14"/>
  <c r="G51" i="14"/>
  <c r="D76" i="14"/>
  <c r="D13" i="14" s="1"/>
  <c r="I224" i="14"/>
  <c r="I240" i="14" s="1"/>
  <c r="I98" i="14"/>
  <c r="I114" i="14" s="1"/>
  <c r="E241" i="14"/>
  <c r="Q101" i="14"/>
  <c r="Q117" i="14" s="1"/>
  <c r="Q227" i="14"/>
  <c r="Q243" i="14" s="1"/>
  <c r="O228" i="14"/>
  <c r="O244" i="14" s="1"/>
  <c r="O102" i="14"/>
  <c r="O118" i="14" s="1"/>
  <c r="F230" i="14"/>
  <c r="F246" i="14" s="1"/>
  <c r="F104" i="14"/>
  <c r="F120" i="14" s="1"/>
  <c r="F247" i="14" s="1"/>
  <c r="Q112" i="14"/>
  <c r="Q239" i="14" s="1"/>
  <c r="Q108" i="14"/>
  <c r="Q23" i="14" s="1"/>
  <c r="Q25" i="14" s="1"/>
  <c r="Q28" i="14" s="1"/>
  <c r="Q26" i="14" s="1"/>
  <c r="W104" i="14"/>
  <c r="W120" i="14" s="1"/>
  <c r="W247" i="14" s="1"/>
  <c r="U240" i="14"/>
  <c r="AA295" i="14"/>
  <c r="AA291" i="14"/>
  <c r="AA298" i="14"/>
  <c r="AA287" i="14"/>
  <c r="AA296" i="14"/>
  <c r="AA288" i="14"/>
  <c r="AA297" i="14"/>
  <c r="AA289" i="14"/>
  <c r="AA290" i="14"/>
  <c r="AA294" i="14"/>
  <c r="AA292" i="14"/>
  <c r="AA293" i="14"/>
  <c r="O35" i="14"/>
  <c r="O41" i="14" s="1"/>
  <c r="O36" i="14" s="1"/>
  <c r="J224" i="14"/>
  <c r="J240" i="14" s="1"/>
  <c r="J98" i="14"/>
  <c r="J114" i="14" s="1"/>
  <c r="F241" i="14"/>
  <c r="V242" i="14"/>
  <c r="R227" i="14"/>
  <c r="R243" i="14" s="1"/>
  <c r="R101" i="14"/>
  <c r="R117" i="14" s="1"/>
  <c r="P244" i="14"/>
  <c r="R112" i="14"/>
  <c r="X104" i="14"/>
  <c r="X120" i="14" s="1"/>
  <c r="B128" i="14"/>
  <c r="H177" i="14"/>
  <c r="AB291" i="14"/>
  <c r="AB298" i="14"/>
  <c r="AB287" i="14"/>
  <c r="AB290" i="14"/>
  <c r="AB297" i="14"/>
  <c r="AB295" i="14"/>
  <c r="AB296" i="14"/>
  <c r="AB288" i="14"/>
  <c r="AB289" i="14"/>
  <c r="AB294" i="14"/>
  <c r="AB292" i="14"/>
  <c r="AB293" i="14"/>
  <c r="H11" i="14"/>
  <c r="H16" i="14" s="1"/>
  <c r="P35" i="14"/>
  <c r="P41" i="14" s="1"/>
  <c r="B59" i="14"/>
  <c r="F76" i="14"/>
  <c r="F13" i="14" s="1"/>
  <c r="M223" i="14"/>
  <c r="M97" i="14"/>
  <c r="M113" i="14" s="1"/>
  <c r="K224" i="14"/>
  <c r="K240" i="14" s="1"/>
  <c r="K98" i="14"/>
  <c r="K114" i="14" s="1"/>
  <c r="G241" i="14"/>
  <c r="W242" i="14"/>
  <c r="S227" i="14"/>
  <c r="S243" i="14" s="1"/>
  <c r="S101" i="14"/>
  <c r="S117" i="14" s="1"/>
  <c r="S244" i="14" s="1"/>
  <c r="Q102" i="14"/>
  <c r="Q118" i="14" s="1"/>
  <c r="Q245" i="14" s="1"/>
  <c r="Q228" i="14"/>
  <c r="Q244" i="14" s="1"/>
  <c r="Y104" i="14"/>
  <c r="Y120" i="14" s="1"/>
  <c r="Y247" i="14" s="1"/>
  <c r="Y178" i="14"/>
  <c r="Y162" i="14" s="1"/>
  <c r="C247" i="14"/>
  <c r="AC291" i="14"/>
  <c r="AC298" i="14"/>
  <c r="AC287" i="14"/>
  <c r="AC294" i="14"/>
  <c r="AC295" i="14"/>
  <c r="AC296" i="14"/>
  <c r="AC288" i="14"/>
  <c r="AC289" i="14"/>
  <c r="AC297" i="14"/>
  <c r="AC290" i="14"/>
  <c r="AC292" i="14"/>
  <c r="AC293" i="14"/>
  <c r="C232" i="14"/>
  <c r="C248" i="14" s="1"/>
  <c r="C106" i="14"/>
  <c r="C122" i="14" s="1"/>
  <c r="K156" i="14"/>
  <c r="K27" i="14" s="1"/>
  <c r="C264" i="14"/>
  <c r="C259" i="14"/>
  <c r="C263" i="14"/>
  <c r="C262" i="14"/>
  <c r="C261" i="14"/>
  <c r="C265" i="14"/>
  <c r="C257" i="14"/>
  <c r="L34" i="14"/>
  <c r="C256" i="14"/>
  <c r="B303" i="14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V234" i="14"/>
  <c r="V250" i="14" s="1"/>
  <c r="W96" i="14"/>
  <c r="O224" i="14"/>
  <c r="O98" i="14"/>
  <c r="O114" i="14" s="1"/>
  <c r="K225" i="14"/>
  <c r="K99" i="14"/>
  <c r="K115" i="14" s="1"/>
  <c r="E242" i="14"/>
  <c r="V243" i="14"/>
  <c r="L156" i="14"/>
  <c r="D243" i="14"/>
  <c r="AA51" i="14"/>
  <c r="AC51" i="14" s="1"/>
  <c r="D58" i="14"/>
  <c r="D56" i="14"/>
  <c r="D54" i="14"/>
  <c r="D52" i="14"/>
  <c r="D50" i="14"/>
  <c r="D48" i="14"/>
  <c r="Z57" i="14"/>
  <c r="AB57" i="14" s="1"/>
  <c r="Y234" i="14"/>
  <c r="Y250" i="14" s="1"/>
  <c r="Z96" i="14"/>
  <c r="R224" i="14"/>
  <c r="R98" i="14"/>
  <c r="R114" i="14" s="1"/>
  <c r="R241" i="14" s="1"/>
  <c r="L246" i="14"/>
  <c r="G232" i="14"/>
  <c r="G248" i="14" s="1"/>
  <c r="G106" i="14"/>
  <c r="G122" i="14" s="1"/>
  <c r="G249" i="14" s="1"/>
  <c r="C107" i="14"/>
  <c r="C123" i="14" s="1"/>
  <c r="C250" i="14" s="1"/>
  <c r="C233" i="14"/>
  <c r="Y249" i="14"/>
  <c r="Y106" i="14"/>
  <c r="Y122" i="14" s="1"/>
  <c r="G243" i="14"/>
  <c r="D49" i="14"/>
  <c r="AB51" i="14"/>
  <c r="E58" i="14"/>
  <c r="E54" i="14"/>
  <c r="E52" i="14"/>
  <c r="E50" i="14"/>
  <c r="E48" i="14"/>
  <c r="AA57" i="14"/>
  <c r="AA59" i="14" s="1"/>
  <c r="D250" i="14"/>
  <c r="S224" i="14"/>
  <c r="S240" i="14" s="1"/>
  <c r="S98" i="14"/>
  <c r="S114" i="14" s="1"/>
  <c r="S241" i="14" s="1"/>
  <c r="S245" i="14"/>
  <c r="M246" i="14"/>
  <c r="D107" i="14"/>
  <c r="D123" i="14" s="1"/>
  <c r="D233" i="14"/>
  <c r="D249" i="14" s="1"/>
  <c r="D96" i="14"/>
  <c r="M104" i="14"/>
  <c r="M120" i="14" s="1"/>
  <c r="Z135" i="14"/>
  <c r="AB135" i="14" s="1"/>
  <c r="Z134" i="14"/>
  <c r="Z137" i="14"/>
  <c r="AB128" i="14"/>
  <c r="H232" i="14"/>
  <c r="H248" i="14" s="1"/>
  <c r="X160" i="14"/>
  <c r="E49" i="14"/>
  <c r="F56" i="14"/>
  <c r="F54" i="14"/>
  <c r="F52" i="14"/>
  <c r="F50" i="14"/>
  <c r="F48" i="14"/>
  <c r="AB55" i="14"/>
  <c r="C244" i="14"/>
  <c r="J231" i="14"/>
  <c r="J105" i="14"/>
  <c r="J121" i="14" s="1"/>
  <c r="E107" i="14"/>
  <c r="E123" i="14" s="1"/>
  <c r="E250" i="14" s="1"/>
  <c r="E233" i="14"/>
  <c r="E249" i="14" s="1"/>
  <c r="E96" i="14"/>
  <c r="E100" i="14"/>
  <c r="E116" i="14" s="1"/>
  <c r="E243" i="14" s="1"/>
  <c r="P104" i="14"/>
  <c r="P120" i="14" s="1"/>
  <c r="P247" i="14" s="1"/>
  <c r="B177" i="14"/>
  <c r="B86" i="14"/>
  <c r="B102" i="14" s="1"/>
  <c r="B118" i="14" s="1"/>
  <c r="T223" i="14"/>
  <c r="X248" i="14"/>
  <c r="F49" i="14"/>
  <c r="D55" i="14"/>
  <c r="G56" i="14"/>
  <c r="AC55" i="14"/>
  <c r="F234" i="14"/>
  <c r="G92" i="14"/>
  <c r="G12" i="14" s="1"/>
  <c r="J232" i="14"/>
  <c r="J248" i="14" s="1"/>
  <c r="J106" i="14"/>
  <c r="J122" i="14" s="1"/>
  <c r="F233" i="14"/>
  <c r="F249" i="14" s="1"/>
  <c r="F107" i="14"/>
  <c r="F123" i="14" s="1"/>
  <c r="F96" i="14"/>
  <c r="Z136" i="14"/>
  <c r="C177" i="14"/>
  <c r="U223" i="14"/>
  <c r="H54" i="14"/>
  <c r="H52" i="14"/>
  <c r="H50" i="14"/>
  <c r="H48" i="14"/>
  <c r="H59" i="14"/>
  <c r="G234" i="14"/>
  <c r="H92" i="14"/>
  <c r="H12" i="14" s="1"/>
  <c r="H93" i="14" s="1"/>
  <c r="V245" i="14"/>
  <c r="P246" i="14"/>
  <c r="L231" i="14"/>
  <c r="L247" i="14" s="1"/>
  <c r="L105" i="14"/>
  <c r="L121" i="14" s="1"/>
  <c r="K232" i="14"/>
  <c r="K248" i="14" s="1"/>
  <c r="K106" i="14"/>
  <c r="K122" i="14" s="1"/>
  <c r="G107" i="14"/>
  <c r="G123" i="14" s="1"/>
  <c r="Z133" i="14"/>
  <c r="C138" i="14"/>
  <c r="V223" i="14"/>
  <c r="F155" i="14"/>
  <c r="W223" i="14"/>
  <c r="T244" i="14"/>
  <c r="AC52" i="14"/>
  <c r="G55" i="14"/>
  <c r="G58" i="14"/>
  <c r="X240" i="14"/>
  <c r="T225" i="14"/>
  <c r="T241" i="14" s="1"/>
  <c r="T99" i="14"/>
  <c r="T115" i="14" s="1"/>
  <c r="N226" i="14"/>
  <c r="N100" i="14"/>
  <c r="N116" i="14" s="1"/>
  <c r="I243" i="14"/>
  <c r="G228" i="14"/>
  <c r="G244" i="14" s="1"/>
  <c r="G102" i="14"/>
  <c r="G118" i="14" s="1"/>
  <c r="B87" i="14"/>
  <c r="X245" i="14"/>
  <c r="R246" i="14"/>
  <c r="I107" i="14"/>
  <c r="I123" i="14" s="1"/>
  <c r="I250" i="14" s="1"/>
  <c r="I233" i="14"/>
  <c r="I249" i="14" s="1"/>
  <c r="V101" i="14"/>
  <c r="V117" i="14" s="1"/>
  <c r="V244" i="14" s="1"/>
  <c r="G140" i="14"/>
  <c r="X223" i="14"/>
  <c r="X303" i="14"/>
  <c r="X304" i="14" s="1"/>
  <c r="X305" i="14" s="1"/>
  <c r="X306" i="14" s="1"/>
  <c r="X307" i="14" s="1"/>
  <c r="X308" i="14" s="1"/>
  <c r="X309" i="14" s="1"/>
  <c r="X310" i="14" s="1"/>
  <c r="X311" i="14" s="1"/>
  <c r="X312" i="14" s="1"/>
  <c r="X313" i="14" s="1"/>
  <c r="AC25" i="14"/>
  <c r="AC28" i="14" s="1"/>
  <c r="AC26" i="14" s="1"/>
  <c r="AA49" i="14"/>
  <c r="AC49" i="14" s="1"/>
  <c r="H55" i="14"/>
  <c r="H58" i="14"/>
  <c r="B58" i="14"/>
  <c r="B56" i="14"/>
  <c r="B54" i="14"/>
  <c r="B52" i="14"/>
  <c r="B50" i="14"/>
  <c r="B48" i="14"/>
  <c r="U76" i="14"/>
  <c r="H228" i="14"/>
  <c r="H102" i="14"/>
  <c r="H118" i="14" s="1"/>
  <c r="Y245" i="14"/>
  <c r="S246" i="14"/>
  <c r="O247" i="14"/>
  <c r="N248" i="14"/>
  <c r="J233" i="14"/>
  <c r="J249" i="14" s="1"/>
  <c r="J107" i="14"/>
  <c r="J123" i="14" s="1"/>
  <c r="J250" i="14" s="1"/>
  <c r="D92" i="14"/>
  <c r="D12" i="14" s="1"/>
  <c r="T240" i="14"/>
  <c r="E283" i="14"/>
  <c r="E40" i="14" s="1"/>
  <c r="E36" i="14" s="1"/>
  <c r="G230" i="14"/>
  <c r="G246" i="14" s="1"/>
  <c r="G104" i="14"/>
  <c r="G120" i="14" s="1"/>
  <c r="S232" i="14"/>
  <c r="S106" i="14"/>
  <c r="S122" i="14" s="1"/>
  <c r="M233" i="14"/>
  <c r="M249" i="14" s="1"/>
  <c r="M107" i="14"/>
  <c r="M123" i="14" s="1"/>
  <c r="M250" i="14" s="1"/>
  <c r="H100" i="14"/>
  <c r="H116" i="14" s="1"/>
  <c r="M176" i="14"/>
  <c r="W224" i="14"/>
  <c r="W240" i="14" s="1"/>
  <c r="B283" i="14"/>
  <c r="X283" i="14"/>
  <c r="X40" i="14" s="1"/>
  <c r="O225" i="14"/>
  <c r="O99" i="14"/>
  <c r="O115" i="14" s="1"/>
  <c r="O242" i="14" s="1"/>
  <c r="I226" i="14"/>
  <c r="I242" i="14" s="1"/>
  <c r="I100" i="14"/>
  <c r="I116" i="14" s="1"/>
  <c r="C227" i="14"/>
  <c r="C101" i="14"/>
  <c r="C117" i="14" s="1"/>
  <c r="Y227" i="14"/>
  <c r="Y101" i="14"/>
  <c r="Y117" i="14" s="1"/>
  <c r="Y244" i="14" s="1"/>
  <c r="H230" i="14"/>
  <c r="H246" i="14" s="1"/>
  <c r="H104" i="14"/>
  <c r="H120" i="14" s="1"/>
  <c r="J92" i="14"/>
  <c r="J12" i="14" s="1"/>
  <c r="AB137" i="14"/>
  <c r="AB131" i="14"/>
  <c r="N178" i="14"/>
  <c r="N177" i="14"/>
  <c r="N176" i="14"/>
  <c r="N160" i="14" s="1"/>
  <c r="K234" i="14"/>
  <c r="L96" i="14"/>
  <c r="F223" i="14"/>
  <c r="F97" i="14"/>
  <c r="P225" i="14"/>
  <c r="P241" i="14" s="1"/>
  <c r="P99" i="14"/>
  <c r="P115" i="14" s="1"/>
  <c r="J226" i="14"/>
  <c r="J100" i="14"/>
  <c r="J116" i="14" s="1"/>
  <c r="J243" i="14" s="1"/>
  <c r="Z227" i="14"/>
  <c r="Z243" i="14" s="1"/>
  <c r="Z101" i="14"/>
  <c r="Z117" i="14" s="1"/>
  <c r="U228" i="14"/>
  <c r="U102" i="14"/>
  <c r="U118" i="14" s="1"/>
  <c r="O229" i="14"/>
  <c r="O103" i="14"/>
  <c r="O119" i="14" s="1"/>
  <c r="O246" i="14" s="1"/>
  <c r="I230" i="14"/>
  <c r="I246" i="14" s="1"/>
  <c r="I104" i="14"/>
  <c r="I120" i="14" s="1"/>
  <c r="I247" i="14" s="1"/>
  <c r="K92" i="14"/>
  <c r="K12" i="14" s="1"/>
  <c r="K93" i="14" s="1"/>
  <c r="AC130" i="14"/>
  <c r="Y240" i="14"/>
  <c r="M96" i="14"/>
  <c r="L234" i="14"/>
  <c r="G223" i="14"/>
  <c r="G239" i="14" s="1"/>
  <c r="G97" i="14"/>
  <c r="G113" i="14" s="1"/>
  <c r="G240" i="14" s="1"/>
  <c r="Q225" i="14"/>
  <c r="Q241" i="14" s="1"/>
  <c r="Q99" i="14"/>
  <c r="Q115" i="14" s="1"/>
  <c r="D247" i="14"/>
  <c r="V248" i="14"/>
  <c r="P249" i="14"/>
  <c r="L92" i="14"/>
  <c r="L12" i="14" s="1"/>
  <c r="L93" i="14" s="1"/>
  <c r="J104" i="14"/>
  <c r="J120" i="14" s="1"/>
  <c r="AB134" i="14"/>
  <c r="X178" i="14"/>
  <c r="D257" i="14"/>
  <c r="H239" i="14"/>
  <c r="W248" i="14"/>
  <c r="Q249" i="14"/>
  <c r="M92" i="14"/>
  <c r="M12" i="14" s="1"/>
  <c r="N99" i="14"/>
  <c r="N115" i="14" s="1"/>
  <c r="I105" i="14"/>
  <c r="I121" i="14" s="1"/>
  <c r="I248" i="14" s="1"/>
  <c r="AC134" i="14"/>
  <c r="E257" i="14"/>
  <c r="F283" i="14"/>
  <c r="F40" i="14" s="1"/>
  <c r="F36" i="14" s="1"/>
  <c r="N250" i="14"/>
  <c r="X244" i="14"/>
  <c r="R249" i="14"/>
  <c r="N92" i="14"/>
  <c r="N12" i="14" s="1"/>
  <c r="N93" i="14" s="1"/>
  <c r="R99" i="14"/>
  <c r="R115" i="14" s="1"/>
  <c r="P100" i="14"/>
  <c r="P116" i="14" s="1"/>
  <c r="L104" i="14"/>
  <c r="L120" i="14" s="1"/>
  <c r="B218" i="14"/>
  <c r="K239" i="14"/>
  <c r="U241" i="14"/>
  <c r="D244" i="14"/>
  <c r="Z244" i="14"/>
  <c r="T245" i="14"/>
  <c r="N246" i="14"/>
  <c r="H247" i="14"/>
  <c r="T249" i="14"/>
  <c r="N104" i="14"/>
  <c r="N120" i="14" s="1"/>
  <c r="N247" i="14" s="1"/>
  <c r="B112" i="14"/>
  <c r="AB132" i="14"/>
  <c r="C131" i="14"/>
  <c r="C137" i="14"/>
  <c r="C132" i="14"/>
  <c r="U177" i="14"/>
  <c r="T177" i="14"/>
  <c r="B207" i="14"/>
  <c r="N249" i="14"/>
  <c r="P242" i="14"/>
  <c r="E244" i="14"/>
  <c r="U245" i="14"/>
  <c r="E248" i="14"/>
  <c r="U249" i="14"/>
  <c r="U99" i="14"/>
  <c r="U115" i="14" s="1"/>
  <c r="U242" i="14" s="1"/>
  <c r="O104" i="14"/>
  <c r="O120" i="14" s="1"/>
  <c r="AA251" i="14"/>
  <c r="AB129" i="14"/>
  <c r="AC132" i="14"/>
  <c r="X156" i="14"/>
  <c r="X27" i="14" s="1"/>
  <c r="B211" i="14"/>
  <c r="O249" i="14"/>
  <c r="O176" i="14"/>
  <c r="O177" i="14" s="1"/>
  <c r="D255" i="14"/>
  <c r="D262" i="14"/>
  <c r="D264" i="14"/>
  <c r="D259" i="14"/>
  <c r="D256" i="14"/>
  <c r="D266" i="14"/>
  <c r="D258" i="14"/>
  <c r="AA262" i="14"/>
  <c r="AA260" i="14"/>
  <c r="AC260" i="14" s="1"/>
  <c r="AA258" i="14"/>
  <c r="AC258" i="14" s="1"/>
  <c r="AA264" i="14"/>
  <c r="AA256" i="14"/>
  <c r="AA261" i="14"/>
  <c r="AA265" i="14"/>
  <c r="AC265" i="14" s="1"/>
  <c r="AA257" i="14"/>
  <c r="AC257" i="14" s="1"/>
  <c r="D283" i="14"/>
  <c r="P176" i="14"/>
  <c r="P177" i="14" s="1"/>
  <c r="E266" i="14"/>
  <c r="E264" i="14"/>
  <c r="E260" i="14"/>
  <c r="E258" i="14"/>
  <c r="E256" i="14"/>
  <c r="E259" i="14"/>
  <c r="E255" i="14"/>
  <c r="E262" i="14"/>
  <c r="AB260" i="14"/>
  <c r="AB258" i="14"/>
  <c r="AB256" i="14"/>
  <c r="AB265" i="14"/>
  <c r="AB263" i="14"/>
  <c r="AB261" i="14"/>
  <c r="AB262" i="14"/>
  <c r="AB257" i="14"/>
  <c r="P283" i="14"/>
  <c r="P40" i="14" s="1"/>
  <c r="AA133" i="14"/>
  <c r="AA135" i="14"/>
  <c r="AC135" i="14" s="1"/>
  <c r="AA128" i="14"/>
  <c r="AA137" i="14"/>
  <c r="AC137" i="14" s="1"/>
  <c r="I156" i="14"/>
  <c r="I27" i="14" s="1"/>
  <c r="R178" i="14"/>
  <c r="R179" i="14" s="1"/>
  <c r="R177" i="14"/>
  <c r="R176" i="14"/>
  <c r="Q176" i="14"/>
  <c r="Q177" i="14" s="1"/>
  <c r="AA255" i="14"/>
  <c r="F266" i="14"/>
  <c r="F259" i="14"/>
  <c r="F264" i="14"/>
  <c r="F256" i="14"/>
  <c r="F261" i="14"/>
  <c r="F258" i="14"/>
  <c r="F255" i="14"/>
  <c r="F262" i="14"/>
  <c r="F265" i="14"/>
  <c r="AC256" i="14"/>
  <c r="AC261" i="14"/>
  <c r="AC262" i="14"/>
  <c r="Q283" i="14"/>
  <c r="Q40" i="14" s="1"/>
  <c r="Q36" i="14" s="1"/>
  <c r="T248" i="14"/>
  <c r="AB255" i="14"/>
  <c r="G266" i="14"/>
  <c r="G264" i="14"/>
  <c r="G262" i="14"/>
  <c r="G256" i="14"/>
  <c r="G259" i="14"/>
  <c r="G258" i="14"/>
  <c r="G255" i="14"/>
  <c r="G265" i="14"/>
  <c r="G261" i="14"/>
  <c r="U248" i="14"/>
  <c r="S176" i="14"/>
  <c r="B214" i="14"/>
  <c r="B208" i="14"/>
  <c r="B217" i="14"/>
  <c r="B216" i="14"/>
  <c r="B209" i="14"/>
  <c r="D261" i="14"/>
  <c r="S283" i="14"/>
  <c r="S40" i="14" s="1"/>
  <c r="S36" i="14" s="1"/>
  <c r="V177" i="14"/>
  <c r="F303" i="14"/>
  <c r="E303" i="14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AB303" i="14"/>
  <c r="AA303" i="14"/>
  <c r="H256" i="14"/>
  <c r="H261" i="14"/>
  <c r="H266" i="14"/>
  <c r="W283" i="14"/>
  <c r="C149" i="14"/>
  <c r="U179" i="14"/>
  <c r="U180" i="14"/>
  <c r="H262" i="14"/>
  <c r="Z264" i="14"/>
  <c r="Z261" i="14"/>
  <c r="Z263" i="14"/>
  <c r="AC263" i="14" s="1"/>
  <c r="Y283" i="14"/>
  <c r="Y40" i="14" s="1"/>
  <c r="Y36" i="14" s="1"/>
  <c r="D177" i="14"/>
  <c r="E177" i="14"/>
  <c r="E176" i="14"/>
  <c r="AA177" i="14"/>
  <c r="AA176" i="14"/>
  <c r="G177" i="14"/>
  <c r="F177" i="14"/>
  <c r="AC176" i="14"/>
  <c r="AC177" i="14"/>
  <c r="AB177" i="14"/>
  <c r="H255" i="14"/>
  <c r="U178" i="14"/>
  <c r="AB251" i="14"/>
  <c r="H259" i="14"/>
  <c r="D303" i="14"/>
  <c r="D304" i="14" s="1"/>
  <c r="D305" i="14" s="1"/>
  <c r="D306" i="14" s="1"/>
  <c r="D307" i="14" s="1"/>
  <c r="D308" i="14" s="1"/>
  <c r="D309" i="14" s="1"/>
  <c r="D310" i="14" s="1"/>
  <c r="Z303" i="14"/>
  <c r="Z304" i="14" s="1"/>
  <c r="Z305" i="14" s="1"/>
  <c r="Z306" i="14" s="1"/>
  <c r="Z307" i="14" s="1"/>
  <c r="Z308" i="14" s="1"/>
  <c r="Z309" i="14" s="1"/>
  <c r="Y303" i="14"/>
  <c r="Y304" i="14" s="1"/>
  <c r="Y305" i="14" s="1"/>
  <c r="Y306" i="14" s="1"/>
  <c r="Y307" i="14" s="1"/>
  <c r="Y308" i="14" s="1"/>
  <c r="Y309" i="14" s="1"/>
  <c r="Y310" i="14" s="1"/>
  <c r="Y311" i="14" s="1"/>
  <c r="Y312" i="14" s="1"/>
  <c r="Y313" i="14" s="1"/>
  <c r="F304" i="14"/>
  <c r="F305" i="14" s="1"/>
  <c r="F306" i="14" s="1"/>
  <c r="F307" i="14" s="1"/>
  <c r="F308" i="14" s="1"/>
  <c r="F309" i="14" s="1"/>
  <c r="F310" i="14" s="1"/>
  <c r="F311" i="14" s="1"/>
  <c r="F312" i="14" s="1"/>
  <c r="F313" i="14" s="1"/>
  <c r="AB304" i="14"/>
  <c r="G304" i="14"/>
  <c r="G305" i="14" s="1"/>
  <c r="G306" i="14" s="1"/>
  <c r="G307" i="14" s="1"/>
  <c r="G308" i="14" s="1"/>
  <c r="G309" i="14" s="1"/>
  <c r="G310" i="14" s="1"/>
  <c r="G311" i="14"/>
  <c r="G312" i="14" s="1"/>
  <c r="G313" i="14" s="1"/>
  <c r="AC304" i="14"/>
  <c r="AC303" i="14"/>
  <c r="I303" i="14"/>
  <c r="I304" i="14" s="1"/>
  <c r="I305" i="14" s="1"/>
  <c r="I306" i="14" s="1"/>
  <c r="I307" i="14" s="1"/>
  <c r="I308" i="14" s="1"/>
  <c r="I309" i="14" s="1"/>
  <c r="I310" i="14" s="1"/>
  <c r="I311" i="14" s="1"/>
  <c r="I312" i="14" s="1"/>
  <c r="I313" i="14" s="1"/>
  <c r="AC235" i="14"/>
  <c r="AC251" i="14" s="1"/>
  <c r="C303" i="14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H304" i="14"/>
  <c r="H305" i="14" s="1"/>
  <c r="H306" i="14" s="1"/>
  <c r="H307" i="14" s="1"/>
  <c r="H308" i="14" s="1"/>
  <c r="H309" i="14" s="1"/>
  <c r="H310" i="14" s="1"/>
  <c r="H311" i="14" s="1"/>
  <c r="H312" i="14" s="1"/>
  <c r="H313" i="14" s="1"/>
  <c r="W177" i="14"/>
  <c r="L283" i="14"/>
  <c r="L40" i="14" s="1"/>
  <c r="B257" i="14"/>
  <c r="B255" i="14"/>
  <c r="B264" i="14"/>
  <c r="B262" i="14"/>
  <c r="G303" i="14"/>
  <c r="D311" i="14"/>
  <c r="D312" i="14" s="1"/>
  <c r="D313" i="14" s="1"/>
  <c r="B215" i="14"/>
  <c r="B210" i="14"/>
  <c r="C255" i="14"/>
  <c r="C266" i="14"/>
  <c r="C260" i="14"/>
  <c r="C258" i="14"/>
  <c r="Z262" i="14"/>
  <c r="Z265" i="14"/>
  <c r="N283" i="14"/>
  <c r="N40" i="14" s="1"/>
  <c r="N36" i="14" s="1"/>
  <c r="H303" i="14"/>
  <c r="H258" i="14"/>
  <c r="H260" i="14"/>
  <c r="K303" i="14"/>
  <c r="K304" i="14" s="1"/>
  <c r="K305" i="14" s="1"/>
  <c r="K306" i="14" s="1"/>
  <c r="K307" i="14" s="1"/>
  <c r="K308" i="14" s="1"/>
  <c r="K309" i="14" s="1"/>
  <c r="K310" i="14" s="1"/>
  <c r="K311" i="14" s="1"/>
  <c r="K312" i="14" s="1"/>
  <c r="K313" i="14" s="1"/>
  <c r="J307" i="14"/>
  <c r="J308" i="14" s="1"/>
  <c r="J309" i="14" s="1"/>
  <c r="J310" i="14" s="1"/>
  <c r="J311" i="14" s="1"/>
  <c r="J312" i="14" s="1"/>
  <c r="J313" i="14" s="1"/>
  <c r="CH72" i="3" l="1"/>
  <c r="CX69" i="3"/>
  <c r="AF343" i="3"/>
  <c r="AG307" i="3"/>
  <c r="AG339" i="3" s="1"/>
  <c r="AF348" i="3"/>
  <c r="CW76" i="3"/>
  <c r="DA73" i="3"/>
  <c r="AG40" i="3" s="1"/>
  <c r="CW75" i="3"/>
  <c r="CV76" i="3"/>
  <c r="AG294" i="3"/>
  <c r="AA344" i="3"/>
  <c r="X301" i="3"/>
  <c r="AC341" i="3"/>
  <c r="AA343" i="3"/>
  <c r="AA347" i="3"/>
  <c r="H32" i="1"/>
  <c r="H3" i="1" s="1"/>
  <c r="AG198" i="3"/>
  <c r="AI198" i="3" s="1"/>
  <c r="F80" i="1"/>
  <c r="F5" i="1" s="1"/>
  <c r="Z342" i="3"/>
  <c r="AB282" i="3"/>
  <c r="B80" i="1"/>
  <c r="B5" i="1" s="1"/>
  <c r="AA283" i="3"/>
  <c r="AD348" i="3"/>
  <c r="AD342" i="3"/>
  <c r="E80" i="1"/>
  <c r="E5" i="1" s="1"/>
  <c r="AD11" i="3"/>
  <c r="G48" i="1"/>
  <c r="G11" i="1" s="1"/>
  <c r="AB343" i="3"/>
  <c r="BV120" i="3"/>
  <c r="AD233" i="3"/>
  <c r="AC344" i="3"/>
  <c r="AB344" i="3"/>
  <c r="AB341" i="3"/>
  <c r="AB348" i="3"/>
  <c r="AA345" i="3"/>
  <c r="BW120" i="3"/>
  <c r="AH197" i="3"/>
  <c r="AJ197" i="3" s="1"/>
  <c r="X349" i="3"/>
  <c r="AC125" i="3"/>
  <c r="AH194" i="3"/>
  <c r="CV67" i="3"/>
  <c r="Z343" i="3"/>
  <c r="X343" i="3"/>
  <c r="F32" i="1"/>
  <c r="F3" i="1" s="1"/>
  <c r="AB339" i="3"/>
  <c r="AD340" i="3"/>
  <c r="AB345" i="3"/>
  <c r="CV77" i="3"/>
  <c r="CW73" i="3"/>
  <c r="X125" i="3"/>
  <c r="J36" i="14"/>
  <c r="Z348" i="3"/>
  <c r="X348" i="3"/>
  <c r="CW72" i="3"/>
  <c r="X313" i="3"/>
  <c r="X345" i="3" s="1"/>
  <c r="Y346" i="3"/>
  <c r="Y345" i="3"/>
  <c r="D48" i="1"/>
  <c r="D11" i="1" s="1"/>
  <c r="AC342" i="3"/>
  <c r="BV117" i="3"/>
  <c r="BV115" i="3"/>
  <c r="CW70" i="3"/>
  <c r="F48" i="1"/>
  <c r="F11" i="1" s="1"/>
  <c r="AB66" i="14"/>
  <c r="B148" i="14"/>
  <c r="AA274" i="14"/>
  <c r="AC274" i="14" s="1"/>
  <c r="AC210" i="14" s="1"/>
  <c r="AC226" i="14" s="1"/>
  <c r="B145" i="14"/>
  <c r="K26" i="14"/>
  <c r="B146" i="14"/>
  <c r="AB67" i="14"/>
  <c r="P162" i="14"/>
  <c r="P178" i="14"/>
  <c r="AO102" i="13"/>
  <c r="AR99" i="13"/>
  <c r="AN102" i="13"/>
  <c r="X99" i="13"/>
  <c r="Z310" i="14"/>
  <c r="O178" i="14"/>
  <c r="U181" i="14"/>
  <c r="R164" i="14"/>
  <c r="R180" i="14"/>
  <c r="L178" i="14"/>
  <c r="AH201" i="3"/>
  <c r="AC298" i="3"/>
  <c r="D93" i="14"/>
  <c r="D15" i="14"/>
  <c r="AJ69" i="12"/>
  <c r="AI69" i="12"/>
  <c r="C146" i="14"/>
  <c r="AE45" i="11"/>
  <c r="AO98" i="12"/>
  <c r="AJ72" i="12"/>
  <c r="AN74" i="13"/>
  <c r="AJ74" i="13"/>
  <c r="AL74" i="13"/>
  <c r="AI35" i="12"/>
  <c r="AJ35" i="12" s="1"/>
  <c r="AH200" i="3"/>
  <c r="AC297" i="3"/>
  <c r="AC313" i="3"/>
  <c r="B69" i="14"/>
  <c r="M160" i="14"/>
  <c r="AA96" i="14"/>
  <c r="AC80" i="14"/>
  <c r="AK66" i="13"/>
  <c r="AM66" i="13"/>
  <c r="AJ66" i="13"/>
  <c r="AH76" i="13"/>
  <c r="AG45" i="13"/>
  <c r="AH34" i="13"/>
  <c r="H100" i="12"/>
  <c r="Y101" i="12"/>
  <c r="AJ49" i="12"/>
  <c r="AM49" i="12" s="1"/>
  <c r="AH60" i="12"/>
  <c r="AH165" i="3"/>
  <c r="AJ326" i="3"/>
  <c r="AC314" i="3"/>
  <c r="CH77" i="3"/>
  <c r="CY77" i="3"/>
  <c r="DA77" i="3"/>
  <c r="L132" i="2"/>
  <c r="AJ64" i="3"/>
  <c r="O299" i="14"/>
  <c r="O39" i="14"/>
  <c r="J299" i="14"/>
  <c r="J39" i="14"/>
  <c r="AA161" i="7"/>
  <c r="AG117" i="7"/>
  <c r="AA118" i="7"/>
  <c r="AA119" i="7"/>
  <c r="AA120" i="7" s="1"/>
  <c r="I84" i="13"/>
  <c r="I100" i="13"/>
  <c r="I83" i="13"/>
  <c r="AC244" i="3"/>
  <c r="AC83" i="11"/>
  <c r="AC99" i="11"/>
  <c r="AA100" i="14"/>
  <c r="AA116" i="14" s="1"/>
  <c r="AC84" i="14"/>
  <c r="AC100" i="14" s="1"/>
  <c r="AC116" i="14" s="1"/>
  <c r="AD84" i="12"/>
  <c r="AD129" i="12" s="1"/>
  <c r="AD100" i="12"/>
  <c r="AJ68" i="12"/>
  <c r="V84" i="13"/>
  <c r="V100" i="13"/>
  <c r="C39" i="1"/>
  <c r="C48" i="1" s="1"/>
  <c r="C11" i="1" s="1"/>
  <c r="C71" i="1"/>
  <c r="C96" i="1"/>
  <c r="S161" i="14"/>
  <c r="S177" i="14"/>
  <c r="F299" i="14"/>
  <c r="F39" i="14"/>
  <c r="M177" i="14"/>
  <c r="M161" i="14" s="1"/>
  <c r="K241" i="14"/>
  <c r="H179" i="14"/>
  <c r="H163" i="14" s="1"/>
  <c r="H98" i="13"/>
  <c r="H82" i="13" s="1"/>
  <c r="H81" i="13"/>
  <c r="AJ73" i="13"/>
  <c r="AL73" i="13"/>
  <c r="AK73" i="13"/>
  <c r="AK71" i="13"/>
  <c r="AI71" i="13"/>
  <c r="AL71" i="13"/>
  <c r="AJ71" i="13"/>
  <c r="O126" i="12"/>
  <c r="AL66" i="12"/>
  <c r="AN98" i="12"/>
  <c r="AI33" i="12"/>
  <c r="AK100" i="11"/>
  <c r="AH229" i="3"/>
  <c r="AB245" i="3"/>
  <c r="AE339" i="3"/>
  <c r="AH204" i="3"/>
  <c r="AC301" i="3"/>
  <c r="AC349" i="3" s="1"/>
  <c r="L111" i="2"/>
  <c r="F84" i="13"/>
  <c r="F100" i="13"/>
  <c r="F83" i="13"/>
  <c r="M55" i="9"/>
  <c r="AF5" i="3"/>
  <c r="AG53" i="3"/>
  <c r="AC261" i="3"/>
  <c r="AB100" i="12"/>
  <c r="AB84" i="12" s="1"/>
  <c r="R67" i="9"/>
  <c r="AH232" i="3"/>
  <c r="AB248" i="3"/>
  <c r="AC45" i="11"/>
  <c r="AH33" i="11"/>
  <c r="BW115" i="3"/>
  <c r="AB227" i="3"/>
  <c r="AB136" i="14"/>
  <c r="AC136" i="14"/>
  <c r="Z99" i="13"/>
  <c r="N163" i="14"/>
  <c r="N179" i="14"/>
  <c r="G108" i="14"/>
  <c r="G23" i="14" s="1"/>
  <c r="G25" i="14" s="1"/>
  <c r="G28" i="14" s="1"/>
  <c r="G26" i="14" s="1"/>
  <c r="AE45" i="13"/>
  <c r="AP51" i="12"/>
  <c r="G81" i="11"/>
  <c r="G82" i="11"/>
  <c r="G98" i="11"/>
  <c r="Q67" i="9"/>
  <c r="N67" i="9"/>
  <c r="O67" i="9" s="1"/>
  <c r="P67" i="9"/>
  <c r="AD251" i="3"/>
  <c r="E13" i="1"/>
  <c r="E6" i="1"/>
  <c r="L134" i="2"/>
  <c r="O240" i="14"/>
  <c r="AI72" i="12"/>
  <c r="AK49" i="12"/>
  <c r="AH100" i="12"/>
  <c r="AH327" i="3"/>
  <c r="AG166" i="3"/>
  <c r="AD314" i="3"/>
  <c r="L153" i="2"/>
  <c r="L100" i="1"/>
  <c r="K68" i="1"/>
  <c r="M100" i="1"/>
  <c r="P92" i="3"/>
  <c r="AD282" i="3"/>
  <c r="AI196" i="3"/>
  <c r="AD293" i="3"/>
  <c r="AD309" i="3"/>
  <c r="AK38" i="12"/>
  <c r="AJ38" i="12"/>
  <c r="AH80" i="11"/>
  <c r="AH48" i="11"/>
  <c r="AH32" i="11"/>
  <c r="AH64" i="11"/>
  <c r="AH16" i="11"/>
  <c r="AH111" i="11"/>
  <c r="AH96" i="11"/>
  <c r="AF298" i="3"/>
  <c r="AF346" i="3" s="1"/>
  <c r="R113" i="14"/>
  <c r="R108" i="14"/>
  <c r="R23" i="14" s="1"/>
  <c r="R25" i="14" s="1"/>
  <c r="R28" i="14" s="1"/>
  <c r="R26" i="14" s="1"/>
  <c r="E299" i="14"/>
  <c r="E39" i="14"/>
  <c r="K161" i="14"/>
  <c r="K160" i="14"/>
  <c r="T12" i="14"/>
  <c r="Z90" i="14"/>
  <c r="Z87" i="14"/>
  <c r="Z88" i="14"/>
  <c r="Q81" i="12"/>
  <c r="AF45" i="11"/>
  <c r="AH34" i="11"/>
  <c r="AI34" i="11"/>
  <c r="AJ34" i="11" s="1"/>
  <c r="AK34" i="11" s="1"/>
  <c r="O160" i="14"/>
  <c r="AB251" i="3"/>
  <c r="E155" i="14"/>
  <c r="B102" i="13"/>
  <c r="AI70" i="12"/>
  <c r="AK70" i="12"/>
  <c r="AJ70" i="12"/>
  <c r="D98" i="13"/>
  <c r="D82" i="13" s="1"/>
  <c r="D81" i="13"/>
  <c r="H114" i="14"/>
  <c r="H241" i="14" s="1"/>
  <c r="H108" i="14"/>
  <c r="H23" i="14" s="1"/>
  <c r="H25" i="14" s="1"/>
  <c r="H28" i="14" s="1"/>
  <c r="H26" i="14" s="1"/>
  <c r="B65" i="14"/>
  <c r="Z149" i="14"/>
  <c r="C100" i="13"/>
  <c r="AU100" i="12"/>
  <c r="M64" i="9"/>
  <c r="AF250" i="3"/>
  <c r="AG245" i="3"/>
  <c r="AG55" i="3"/>
  <c r="J76" i="1"/>
  <c r="J28" i="1" s="1"/>
  <c r="L108" i="1"/>
  <c r="M108" i="1" s="1"/>
  <c r="K108" i="1"/>
  <c r="K76" i="1" s="1"/>
  <c r="K28" i="1" s="1"/>
  <c r="CL44" i="3"/>
  <c r="AC178" i="14"/>
  <c r="AA251" i="3"/>
  <c r="J108" i="14"/>
  <c r="J23" i="14" s="1"/>
  <c r="J25" i="14" s="1"/>
  <c r="J28" i="14" s="1"/>
  <c r="J26" i="14" s="1"/>
  <c r="B88" i="14"/>
  <c r="B104" i="14" s="1"/>
  <c r="B120" i="14" s="1"/>
  <c r="H250" i="14"/>
  <c r="Z283" i="3"/>
  <c r="Z296" i="3"/>
  <c r="Z312" i="3"/>
  <c r="AG100" i="13"/>
  <c r="AG83" i="13"/>
  <c r="Z153" i="14"/>
  <c r="AB153" i="14" s="1"/>
  <c r="S100" i="13"/>
  <c r="S84" i="13" s="1"/>
  <c r="J241" i="14"/>
  <c r="AK102" i="13"/>
  <c r="AN67" i="12"/>
  <c r="AA247" i="3"/>
  <c r="AG342" i="3"/>
  <c r="AG59" i="3"/>
  <c r="AF284" i="3"/>
  <c r="AF299" i="3"/>
  <c r="AF347" i="3" s="1"/>
  <c r="AF247" i="3"/>
  <c r="D148" i="2"/>
  <c r="D139" i="2"/>
  <c r="B228" i="14"/>
  <c r="B244" i="14" s="1"/>
  <c r="H99" i="11"/>
  <c r="C145" i="14"/>
  <c r="C161" i="14" s="1"/>
  <c r="S27" i="14"/>
  <c r="F154" i="14"/>
  <c r="G153" i="14"/>
  <c r="F153" i="14"/>
  <c r="G146" i="14"/>
  <c r="F144" i="14"/>
  <c r="F160" i="14" s="1"/>
  <c r="F147" i="14"/>
  <c r="G147" i="14"/>
  <c r="G155" i="14"/>
  <c r="G144" i="14"/>
  <c r="G160" i="14" s="1"/>
  <c r="F146" i="14"/>
  <c r="F148" i="14"/>
  <c r="G152" i="14"/>
  <c r="F149" i="14"/>
  <c r="F150" i="14"/>
  <c r="F151" i="14"/>
  <c r="F145" i="14"/>
  <c r="F152" i="14"/>
  <c r="G151" i="14"/>
  <c r="G149" i="14"/>
  <c r="G145" i="14"/>
  <c r="G161" i="14" s="1"/>
  <c r="G154" i="14"/>
  <c r="G150" i="14"/>
  <c r="R240" i="14"/>
  <c r="Z281" i="14"/>
  <c r="AB281" i="14" s="1"/>
  <c r="AM52" i="13"/>
  <c r="AL52" i="13"/>
  <c r="AA280" i="14"/>
  <c r="AQ111" i="13"/>
  <c r="AQ80" i="13"/>
  <c r="AQ64" i="13"/>
  <c r="AQ96" i="13"/>
  <c r="AQ48" i="13"/>
  <c r="AQ16" i="13"/>
  <c r="AQ32" i="13"/>
  <c r="AT99" i="12"/>
  <c r="K81" i="11"/>
  <c r="K98" i="11"/>
  <c r="K82" i="11"/>
  <c r="AM50" i="12"/>
  <c r="M49" i="9"/>
  <c r="AF156" i="7"/>
  <c r="AL59" i="12"/>
  <c r="Y81" i="7"/>
  <c r="AH163" i="3"/>
  <c r="AI324" i="3"/>
  <c r="AG85" i="12"/>
  <c r="AG130" i="12" s="1"/>
  <c r="AD243" i="3"/>
  <c r="AG54" i="3"/>
  <c r="J71" i="1"/>
  <c r="J23" i="1" s="1"/>
  <c r="K103" i="1"/>
  <c r="K71" i="1" s="1"/>
  <c r="K23" i="1" s="1"/>
  <c r="L103" i="1"/>
  <c r="AA85" i="11"/>
  <c r="AA101" i="11"/>
  <c r="P81" i="12"/>
  <c r="P98" i="12"/>
  <c r="I108" i="14"/>
  <c r="I23" i="14" s="1"/>
  <c r="I25" i="14" s="1"/>
  <c r="I28" i="14" s="1"/>
  <c r="I26" i="14" s="1"/>
  <c r="I112" i="14"/>
  <c r="I239" i="14" s="1"/>
  <c r="I160" i="14"/>
  <c r="N126" i="12"/>
  <c r="P161" i="14"/>
  <c r="P160" i="14"/>
  <c r="B178" i="14"/>
  <c r="E148" i="14"/>
  <c r="N27" i="14"/>
  <c r="E154" i="14"/>
  <c r="E147" i="14"/>
  <c r="E150" i="14"/>
  <c r="E144" i="14"/>
  <c r="E160" i="14" s="1"/>
  <c r="E145" i="14"/>
  <c r="E151" i="14"/>
  <c r="E146" i="14"/>
  <c r="D146" i="14"/>
  <c r="D151" i="14"/>
  <c r="D153" i="14"/>
  <c r="E153" i="14"/>
  <c r="C151" i="14"/>
  <c r="E152" i="14"/>
  <c r="U239" i="14"/>
  <c r="AA84" i="11"/>
  <c r="D178" i="14"/>
  <c r="D162" i="14" s="1"/>
  <c r="AA266" i="14"/>
  <c r="AC255" i="14"/>
  <c r="Z112" i="14"/>
  <c r="Z239" i="14" s="1"/>
  <c r="Z160" i="14"/>
  <c r="L98" i="13"/>
  <c r="L82" i="13" s="1"/>
  <c r="L81" i="13"/>
  <c r="AK49" i="13"/>
  <c r="AA145" i="14"/>
  <c r="AC145" i="14" s="1"/>
  <c r="AK56" i="12"/>
  <c r="AL36" i="11"/>
  <c r="AK38" i="11"/>
  <c r="AG58" i="3"/>
  <c r="BW157" i="3"/>
  <c r="AK42" i="13"/>
  <c r="AJ96" i="13"/>
  <c r="AJ111" i="13"/>
  <c r="AJ32" i="13"/>
  <c r="AJ64" i="13"/>
  <c r="AJ80" i="13"/>
  <c r="AJ48" i="13"/>
  <c r="AJ16" i="13"/>
  <c r="AG232" i="3"/>
  <c r="AA248" i="3"/>
  <c r="B224" i="14"/>
  <c r="B82" i="14"/>
  <c r="B98" i="14" s="1"/>
  <c r="B89" i="14"/>
  <c r="B105" i="14" s="1"/>
  <c r="B121" i="14" s="1"/>
  <c r="B231" i="14"/>
  <c r="B247" i="14" s="1"/>
  <c r="I162" i="14"/>
  <c r="I178" i="14"/>
  <c r="AA277" i="14"/>
  <c r="N83" i="12"/>
  <c r="N128" i="12" s="1"/>
  <c r="N82" i="12"/>
  <c r="N127" i="12" s="1"/>
  <c r="N99" i="12"/>
  <c r="AS80" i="13"/>
  <c r="AS64" i="13"/>
  <c r="AS111" i="13"/>
  <c r="AS96" i="13"/>
  <c r="AS48" i="13"/>
  <c r="AS32" i="13"/>
  <c r="AS16" i="13"/>
  <c r="AC126" i="12"/>
  <c r="Z83" i="11"/>
  <c r="Z82" i="11"/>
  <c r="N46" i="9"/>
  <c r="M46" i="9"/>
  <c r="M81" i="12"/>
  <c r="M82" i="12"/>
  <c r="M127" i="12" s="1"/>
  <c r="M98" i="12"/>
  <c r="U164" i="14"/>
  <c r="AW48" i="13"/>
  <c r="AW111" i="13"/>
  <c r="AW96" i="13"/>
  <c r="AW80" i="13"/>
  <c r="AW16" i="13"/>
  <c r="AW64" i="13"/>
  <c r="AW32" i="13"/>
  <c r="AF245" i="3"/>
  <c r="AB250" i="3"/>
  <c r="J70" i="1"/>
  <c r="J22" i="1" s="1"/>
  <c r="K102" i="1"/>
  <c r="K70" i="1" s="1"/>
  <c r="K22" i="1" s="1"/>
  <c r="AA139" i="14"/>
  <c r="AC128" i="14"/>
  <c r="AK68" i="12"/>
  <c r="AI68" i="12"/>
  <c r="AG76" i="12"/>
  <c r="AL68" i="12"/>
  <c r="AI124" i="7"/>
  <c r="AI168" i="7" s="1"/>
  <c r="AC168" i="7"/>
  <c r="AG171" i="3"/>
  <c r="AH332" i="3"/>
  <c r="J164" i="14"/>
  <c r="J180" i="14"/>
  <c r="AE80" i="13"/>
  <c r="AE111" i="13"/>
  <c r="AE32" i="13"/>
  <c r="AE96" i="13"/>
  <c r="AE64" i="13"/>
  <c r="AE48" i="13"/>
  <c r="AE16" i="13"/>
  <c r="K294" i="14"/>
  <c r="K290" i="14"/>
  <c r="K297" i="14"/>
  <c r="K291" i="14"/>
  <c r="K292" i="14"/>
  <c r="K293" i="14"/>
  <c r="K295" i="14"/>
  <c r="K289" i="14"/>
  <c r="K287" i="14"/>
  <c r="K298" i="14"/>
  <c r="K288" i="14"/>
  <c r="K296" i="14"/>
  <c r="V13" i="14"/>
  <c r="AB64" i="14"/>
  <c r="AA65" i="14"/>
  <c r="AC65" i="14" s="1"/>
  <c r="AB65" i="14"/>
  <c r="AA74" i="14"/>
  <c r="AA69" i="14"/>
  <c r="AC69" i="14" s="1"/>
  <c r="Z72" i="14"/>
  <c r="AA72" i="14"/>
  <c r="AA70" i="14"/>
  <c r="Z74" i="14"/>
  <c r="AB68" i="14"/>
  <c r="Z70" i="14"/>
  <c r="AK115" i="12"/>
  <c r="AF349" i="3"/>
  <c r="Y295" i="3"/>
  <c r="Y311" i="3"/>
  <c r="O245" i="14"/>
  <c r="AB69" i="14"/>
  <c r="T83" i="13"/>
  <c r="T82" i="13"/>
  <c r="AB275" i="14"/>
  <c r="AJ42" i="13"/>
  <c r="Q98" i="12"/>
  <c r="X100" i="11"/>
  <c r="AE8" i="3"/>
  <c r="AH73" i="3"/>
  <c r="AH70" i="3"/>
  <c r="AH67" i="3"/>
  <c r="AI64" i="3"/>
  <c r="AK64" i="3" s="1"/>
  <c r="AH74" i="3"/>
  <c r="D32" i="1"/>
  <c r="D3" i="1" s="1"/>
  <c r="AC249" i="3"/>
  <c r="AK57" i="13"/>
  <c r="AM57" i="13" s="1"/>
  <c r="AL57" i="13"/>
  <c r="O161" i="14"/>
  <c r="N26" i="14"/>
  <c r="AM50" i="13"/>
  <c r="AJ50" i="13"/>
  <c r="AL50" i="13"/>
  <c r="AK50" i="13"/>
  <c r="U98" i="13"/>
  <c r="AC225" i="3"/>
  <c r="W40" i="14"/>
  <c r="W36" i="14" s="1"/>
  <c r="AB144" i="14"/>
  <c r="AB147" i="14"/>
  <c r="AB274" i="14"/>
  <c r="AA149" i="14"/>
  <c r="AC149" i="14" s="1"/>
  <c r="AB273" i="14"/>
  <c r="AA151" i="14"/>
  <c r="AA148" i="14"/>
  <c r="AC148" i="14" s="1"/>
  <c r="AA275" i="14"/>
  <c r="AC275" i="14" s="1"/>
  <c r="AB146" i="14"/>
  <c r="AA150" i="14"/>
  <c r="AA147" i="14"/>
  <c r="AC147" i="14" s="1"/>
  <c r="AA144" i="14"/>
  <c r="AC144" i="14" s="1"/>
  <c r="AB272" i="14"/>
  <c r="AB208" i="14" s="1"/>
  <c r="AB148" i="14"/>
  <c r="AB145" i="14"/>
  <c r="AB271" i="14"/>
  <c r="Z284" i="3"/>
  <c r="Z299" i="3"/>
  <c r="Z315" i="3"/>
  <c r="Z318" i="3" s="1"/>
  <c r="AB305" i="14"/>
  <c r="Q178" i="14"/>
  <c r="T84" i="13"/>
  <c r="AL56" i="13"/>
  <c r="AK56" i="13"/>
  <c r="AJ56" i="13"/>
  <c r="AI56" i="13"/>
  <c r="AI44" i="13"/>
  <c r="AA278" i="14"/>
  <c r="X126" i="12"/>
  <c r="AL53" i="12"/>
  <c r="AO53" i="12" s="1"/>
  <c r="AB101" i="13"/>
  <c r="AH161" i="3"/>
  <c r="AI322" i="3"/>
  <c r="AN40" i="3"/>
  <c r="AJ40" i="3"/>
  <c r="AI40" i="3"/>
  <c r="AH40" i="3"/>
  <c r="AR40" i="3"/>
  <c r="AP40" i="3"/>
  <c r="N92" i="3"/>
  <c r="AE348" i="3"/>
  <c r="BZ44" i="3"/>
  <c r="AE252" i="3"/>
  <c r="AH236" i="3"/>
  <c r="X82" i="13"/>
  <c r="X81" i="13"/>
  <c r="X237" i="3"/>
  <c r="X11" i="3"/>
  <c r="AM51" i="13"/>
  <c r="AO51" i="13" s="1"/>
  <c r="AL51" i="13"/>
  <c r="AN51" i="13" s="1"/>
  <c r="AD249" i="3"/>
  <c r="Z89" i="14"/>
  <c r="O113" i="14"/>
  <c r="O108" i="14"/>
  <c r="O23" i="14" s="1"/>
  <c r="O25" i="14" s="1"/>
  <c r="O28" i="14" s="1"/>
  <c r="O26" i="14" s="1"/>
  <c r="Z139" i="14"/>
  <c r="C153" i="14"/>
  <c r="AA97" i="14"/>
  <c r="AA113" i="14" s="1"/>
  <c r="AC81" i="14"/>
  <c r="AC97" i="14" s="1"/>
  <c r="AC113" i="14" s="1"/>
  <c r="Y299" i="14"/>
  <c r="Y39" i="14"/>
  <c r="J93" i="14"/>
  <c r="J15" i="14"/>
  <c r="U81" i="13"/>
  <c r="AC307" i="14"/>
  <c r="AB178" i="14"/>
  <c r="X179" i="14"/>
  <c r="X163" i="14"/>
  <c r="X162" i="14"/>
  <c r="U244" i="14"/>
  <c r="K177" i="14"/>
  <c r="U27" i="14"/>
  <c r="B153" i="14"/>
  <c r="B155" i="14"/>
  <c r="B150" i="14"/>
  <c r="T100" i="13"/>
  <c r="U112" i="14"/>
  <c r="U108" i="14"/>
  <c r="U23" i="14" s="1"/>
  <c r="U25" i="14" s="1"/>
  <c r="U28" i="14" s="1"/>
  <c r="U160" i="14"/>
  <c r="AA271" i="14"/>
  <c r="AX100" i="12"/>
  <c r="AI40" i="12"/>
  <c r="Z100" i="11"/>
  <c r="AB84" i="13"/>
  <c r="AD298" i="3"/>
  <c r="BW117" i="3"/>
  <c r="Z229" i="3"/>
  <c r="Z245" i="3" s="1"/>
  <c r="AB244" i="3"/>
  <c r="AH72" i="3"/>
  <c r="AG56" i="3"/>
  <c r="BX40" i="3"/>
  <c r="AK100" i="12"/>
  <c r="E108" i="14"/>
  <c r="E23" i="14" s="1"/>
  <c r="E25" i="14" s="1"/>
  <c r="E28" i="14" s="1"/>
  <c r="E26" i="14" s="1"/>
  <c r="E112" i="14"/>
  <c r="E239" i="14" s="1"/>
  <c r="AA82" i="14"/>
  <c r="AA91" i="14" s="1"/>
  <c r="AA107" i="14" s="1"/>
  <c r="AA123" i="14" s="1"/>
  <c r="B288" i="14"/>
  <c r="B295" i="14"/>
  <c r="B298" i="14"/>
  <c r="B287" i="14"/>
  <c r="B294" i="14"/>
  <c r="B297" i="14"/>
  <c r="B289" i="14"/>
  <c r="B290" i="14"/>
  <c r="B291" i="14"/>
  <c r="B292" i="14"/>
  <c r="B293" i="14"/>
  <c r="B296" i="14"/>
  <c r="I100" i="12"/>
  <c r="I84" i="12"/>
  <c r="AL41" i="11"/>
  <c r="B81" i="14"/>
  <c r="AB81" i="14"/>
  <c r="AB97" i="14" s="1"/>
  <c r="O99" i="13"/>
  <c r="J110" i="1"/>
  <c r="CA44" i="3"/>
  <c r="V161" i="14"/>
  <c r="B227" i="14"/>
  <c r="B85" i="14"/>
  <c r="B101" i="14" s="1"/>
  <c r="B117" i="14" s="1"/>
  <c r="U13" i="14"/>
  <c r="AA68" i="14"/>
  <c r="AC68" i="14" s="1"/>
  <c r="AA67" i="14"/>
  <c r="AC67" i="14" s="1"/>
  <c r="AA71" i="14"/>
  <c r="X36" i="14"/>
  <c r="N99" i="11"/>
  <c r="N83" i="11"/>
  <c r="N82" i="11"/>
  <c r="H81" i="11"/>
  <c r="H82" i="11"/>
  <c r="AO51" i="12"/>
  <c r="M54" i="9"/>
  <c r="AC21" i="7"/>
  <c r="AI21" i="7" s="1"/>
  <c r="AJ21" i="7"/>
  <c r="Z340" i="3"/>
  <c r="AE242" i="3"/>
  <c r="Y125" i="3"/>
  <c r="Z261" i="3"/>
  <c r="K134" i="2"/>
  <c r="AE347" i="3"/>
  <c r="AA282" i="3"/>
  <c r="AA309" i="3"/>
  <c r="AA341" i="3" s="1"/>
  <c r="CK44" i="3"/>
  <c r="Y339" i="3"/>
  <c r="G100" i="12"/>
  <c r="G84" i="12"/>
  <c r="AC18" i="7"/>
  <c r="AI18" i="7" s="1"/>
  <c r="AJ18" i="7"/>
  <c r="Q39" i="14"/>
  <c r="Q299" i="14"/>
  <c r="AR98" i="12"/>
  <c r="AJ99" i="11"/>
  <c r="V83" i="13"/>
  <c r="AI72" i="11"/>
  <c r="AK72" i="11" s="1"/>
  <c r="AJ72" i="11"/>
  <c r="AI99" i="7"/>
  <c r="AI143" i="7" s="1"/>
  <c r="AC143" i="7"/>
  <c r="AF243" i="3"/>
  <c r="K111" i="2"/>
  <c r="K132" i="2"/>
  <c r="BW35" i="3"/>
  <c r="F178" i="14"/>
  <c r="S248" i="14"/>
  <c r="B103" i="14"/>
  <c r="B119" i="14" s="1"/>
  <c r="B229" i="14"/>
  <c r="B245" i="14" s="1"/>
  <c r="P36" i="14"/>
  <c r="AA279" i="14"/>
  <c r="AA89" i="14"/>
  <c r="AA105" i="14" s="1"/>
  <c r="AA121" i="14" s="1"/>
  <c r="J162" i="14"/>
  <c r="C242" i="14"/>
  <c r="AA66" i="14"/>
  <c r="AC66" i="14" s="1"/>
  <c r="AH33" i="13"/>
  <c r="AC45" i="13"/>
  <c r="L250" i="14"/>
  <c r="C243" i="14"/>
  <c r="J247" i="14"/>
  <c r="AB59" i="14"/>
  <c r="H15" i="14"/>
  <c r="L36" i="14"/>
  <c r="AB85" i="14"/>
  <c r="AB101" i="14" s="1"/>
  <c r="AB117" i="14" s="1"/>
  <c r="AA100" i="13"/>
  <c r="AA73" i="14"/>
  <c r="AS98" i="12"/>
  <c r="AP98" i="12"/>
  <c r="AW98" i="12"/>
  <c r="AF118" i="12"/>
  <c r="AG118" i="12"/>
  <c r="H83" i="12"/>
  <c r="H82" i="12"/>
  <c r="D82" i="11"/>
  <c r="D81" i="11"/>
  <c r="AI86" i="7"/>
  <c r="AC130" i="7"/>
  <c r="AH38" i="13"/>
  <c r="V100" i="11"/>
  <c r="V84" i="11"/>
  <c r="AD246" i="3"/>
  <c r="S4" i="6"/>
  <c r="A5" i="6"/>
  <c r="AB125" i="3"/>
  <c r="BV116" i="3"/>
  <c r="AD228" i="3"/>
  <c r="AH228" i="3" s="1"/>
  <c r="AG341" i="3"/>
  <c r="AE244" i="3"/>
  <c r="AE249" i="3"/>
  <c r="BW121" i="3"/>
  <c r="Z233" i="3"/>
  <c r="Z249" i="3" s="1"/>
  <c r="CH67" i="3"/>
  <c r="DA67" i="3"/>
  <c r="CY67" i="3"/>
  <c r="X307" i="3"/>
  <c r="G13" i="1"/>
  <c r="G6" i="1"/>
  <c r="W125" i="3"/>
  <c r="CH75" i="3"/>
  <c r="DA75" i="3"/>
  <c r="CY75" i="3"/>
  <c r="M7" i="3"/>
  <c r="AK37" i="13"/>
  <c r="AJ37" i="13"/>
  <c r="CH71" i="3"/>
  <c r="DA71" i="3"/>
  <c r="CY71" i="3"/>
  <c r="L140" i="2"/>
  <c r="T99" i="11"/>
  <c r="T83" i="11" s="1"/>
  <c r="Z349" i="3"/>
  <c r="J109" i="1"/>
  <c r="D13" i="1"/>
  <c r="D6" i="1"/>
  <c r="Y292" i="3"/>
  <c r="Y308" i="3"/>
  <c r="G250" i="14"/>
  <c r="F128" i="2"/>
  <c r="G32" i="1"/>
  <c r="G3" i="1" s="1"/>
  <c r="AI111" i="13"/>
  <c r="AI32" i="13"/>
  <c r="AI80" i="13"/>
  <c r="AI96" i="13"/>
  <c r="AI64" i="13"/>
  <c r="AI16" i="13"/>
  <c r="AI48" i="13"/>
  <c r="AJ36" i="12"/>
  <c r="AI43" i="11"/>
  <c r="AJ43" i="11" s="1"/>
  <c r="AI110" i="7"/>
  <c r="AI154" i="7" s="1"/>
  <c r="AC154" i="7"/>
  <c r="AH226" i="3"/>
  <c r="AB242" i="3"/>
  <c r="Q161" i="14"/>
  <c r="T161" i="14"/>
  <c r="G162" i="14"/>
  <c r="G178" i="14"/>
  <c r="V178" i="14"/>
  <c r="R161" i="14"/>
  <c r="U162" i="14"/>
  <c r="U161" i="14"/>
  <c r="M93" i="14"/>
  <c r="M15" i="14"/>
  <c r="M112" i="14"/>
  <c r="M239" i="14" s="1"/>
  <c r="M108" i="14"/>
  <c r="M23" i="14" s="1"/>
  <c r="M25" i="14" s="1"/>
  <c r="M28" i="14" s="1"/>
  <c r="F113" i="14"/>
  <c r="F240" i="14" s="1"/>
  <c r="F161" i="14"/>
  <c r="G93" i="14"/>
  <c r="G15" i="14"/>
  <c r="AB82" i="14"/>
  <c r="AB98" i="14" s="1"/>
  <c r="AB114" i="14" s="1"/>
  <c r="L13" i="14"/>
  <c r="L15" i="14" s="1"/>
  <c r="B73" i="14"/>
  <c r="B71" i="14"/>
  <c r="T27" i="14"/>
  <c r="B144" i="14"/>
  <c r="B160" i="14" s="1"/>
  <c r="B147" i="14"/>
  <c r="B152" i="14"/>
  <c r="B154" i="14"/>
  <c r="B149" i="14"/>
  <c r="AO75" i="13"/>
  <c r="E82" i="13"/>
  <c r="R299" i="14"/>
  <c r="R39" i="14"/>
  <c r="R82" i="13"/>
  <c r="AO50" i="13"/>
  <c r="AA64" i="14"/>
  <c r="AJ35" i="13"/>
  <c r="AJ68" i="13"/>
  <c r="AI43" i="12"/>
  <c r="Q101" i="13"/>
  <c r="Q84" i="13"/>
  <c r="AM98" i="12"/>
  <c r="AF82" i="11"/>
  <c r="AF98" i="11"/>
  <c r="AF81" i="11"/>
  <c r="Y126" i="12"/>
  <c r="C99" i="11"/>
  <c r="AA6" i="14"/>
  <c r="AA7" i="14"/>
  <c r="AA4" i="14"/>
  <c r="Z14" i="14" s="1"/>
  <c r="E99" i="11"/>
  <c r="AI33" i="11"/>
  <c r="AI45" i="11" s="1"/>
  <c r="AD45" i="11"/>
  <c r="AJ27" i="7"/>
  <c r="AC27" i="7"/>
  <c r="AI27" i="7" s="1"/>
  <c r="B13" i="1"/>
  <c r="B6" i="1"/>
  <c r="L107" i="2"/>
  <c r="CY72" i="3"/>
  <c r="CV73" i="3"/>
  <c r="CG77" i="3"/>
  <c r="CI77" i="3" s="1"/>
  <c r="CX77" i="3"/>
  <c r="CH68" i="3"/>
  <c r="DA68" i="3"/>
  <c r="CY68" i="3"/>
  <c r="CW68" i="3"/>
  <c r="W112" i="14"/>
  <c r="W239" i="14" s="1"/>
  <c r="W108" i="14"/>
  <c r="W23" i="14" s="1"/>
  <c r="W25" i="14" s="1"/>
  <c r="W28" i="14" s="1"/>
  <c r="W26" i="14" s="1"/>
  <c r="AA85" i="14"/>
  <c r="AO64" i="13"/>
  <c r="AO111" i="13"/>
  <c r="AO80" i="13"/>
  <c r="AO96" i="13"/>
  <c r="AO16" i="13"/>
  <c r="AO32" i="13"/>
  <c r="AO48" i="13"/>
  <c r="F81" i="11"/>
  <c r="U100" i="11"/>
  <c r="U84" i="11" s="1"/>
  <c r="U83" i="11"/>
  <c r="AG83" i="11"/>
  <c r="AG99" i="11"/>
  <c r="M100" i="11"/>
  <c r="M84" i="11" s="1"/>
  <c r="D99" i="11"/>
  <c r="D83" i="11" s="1"/>
  <c r="K153" i="2"/>
  <c r="AH195" i="3"/>
  <c r="AJ195" i="3" s="1"/>
  <c r="AL195" i="3" s="1"/>
  <c r="AC308" i="3"/>
  <c r="AC340" i="3" s="1"/>
  <c r="AA86" i="14"/>
  <c r="BW119" i="3"/>
  <c r="BV119" i="3"/>
  <c r="AE231" i="3"/>
  <c r="AG231" i="3" s="1"/>
  <c r="AJ52" i="11"/>
  <c r="AL52" i="11" s="1"/>
  <c r="AI52" i="11"/>
  <c r="AK52" i="11"/>
  <c r="AI49" i="3"/>
  <c r="N299" i="14"/>
  <c r="N39" i="14"/>
  <c r="AA161" i="14"/>
  <c r="AB207" i="14"/>
  <c r="R162" i="14"/>
  <c r="F250" i="14"/>
  <c r="W160" i="14"/>
  <c r="D100" i="12"/>
  <c r="D84" i="12" s="1"/>
  <c r="D83" i="12"/>
  <c r="AK68" i="13"/>
  <c r="C83" i="13"/>
  <c r="Q99" i="11"/>
  <c r="Q82" i="11"/>
  <c r="S82" i="12"/>
  <c r="S127" i="12" s="1"/>
  <c r="S98" i="12"/>
  <c r="S81" i="12"/>
  <c r="O85" i="11"/>
  <c r="AJ39" i="12"/>
  <c r="AI39" i="12"/>
  <c r="AJ40" i="11"/>
  <c r="AK40" i="11" s="1"/>
  <c r="AL40" i="11" s="1"/>
  <c r="AB16" i="7"/>
  <c r="U5" i="7"/>
  <c r="AB5" i="7" s="1"/>
  <c r="AB267" i="3"/>
  <c r="AD242" i="3"/>
  <c r="AG328" i="3"/>
  <c r="AG330" i="3"/>
  <c r="AG329" i="3"/>
  <c r="AG325" i="3"/>
  <c r="AH323" i="3"/>
  <c r="AG69" i="3"/>
  <c r="AG70" i="3"/>
  <c r="AG71" i="3"/>
  <c r="AG72" i="3"/>
  <c r="AG73" i="3"/>
  <c r="AG74" i="3"/>
  <c r="AG75" i="3"/>
  <c r="BW114" i="3"/>
  <c r="Z125" i="3"/>
  <c r="CV72" i="3"/>
  <c r="AB284" i="3"/>
  <c r="AG202" i="3"/>
  <c r="AI202" i="3" s="1"/>
  <c r="AB315" i="3"/>
  <c r="AB347" i="3" s="1"/>
  <c r="BX35" i="3"/>
  <c r="CV74" i="3"/>
  <c r="AA85" i="12"/>
  <c r="AA130" i="12" s="1"/>
  <c r="AA101" i="12"/>
  <c r="AF246" i="3"/>
  <c r="AA83" i="14"/>
  <c r="F98" i="11"/>
  <c r="AI326" i="3"/>
  <c r="AA349" i="3"/>
  <c r="AA250" i="3"/>
  <c r="AG234" i="3"/>
  <c r="AI226" i="3"/>
  <c r="AC242" i="3"/>
  <c r="X284" i="3"/>
  <c r="X299" i="3"/>
  <c r="X347" i="3" s="1"/>
  <c r="Y283" i="3"/>
  <c r="Y296" i="3"/>
  <c r="Y344" i="3" s="1"/>
  <c r="CH73" i="3"/>
  <c r="CY69" i="3"/>
  <c r="CG69" i="3"/>
  <c r="DA69" i="3"/>
  <c r="AD45" i="13"/>
  <c r="T112" i="14"/>
  <c r="T108" i="14"/>
  <c r="T23" i="14" s="1"/>
  <c r="T25" i="14" s="1"/>
  <c r="T28" i="14" s="1"/>
  <c r="T26" i="14" s="1"/>
  <c r="AI116" i="12"/>
  <c r="B84" i="13"/>
  <c r="AJ40" i="13"/>
  <c r="AF125" i="3"/>
  <c r="AF225" i="3"/>
  <c r="AD313" i="3"/>
  <c r="P99" i="13"/>
  <c r="P83" i="13"/>
  <c r="AA178" i="14"/>
  <c r="T81" i="12"/>
  <c r="T98" i="12"/>
  <c r="T82" i="12"/>
  <c r="T127" i="12" s="1"/>
  <c r="O83" i="12"/>
  <c r="O128" i="12" s="1"/>
  <c r="O99" i="12"/>
  <c r="AI41" i="12"/>
  <c r="AQ100" i="13"/>
  <c r="R81" i="12"/>
  <c r="R98" i="12"/>
  <c r="AB100" i="11"/>
  <c r="AI99" i="12"/>
  <c r="AJ57" i="12"/>
  <c r="AC155" i="7"/>
  <c r="AI111" i="7"/>
  <c r="AI155" i="7" s="1"/>
  <c r="Z266" i="14"/>
  <c r="AA304" i="14"/>
  <c r="S299" i="14"/>
  <c r="S39" i="14"/>
  <c r="K250" i="14"/>
  <c r="O241" i="14"/>
  <c r="N242" i="14"/>
  <c r="V239" i="14"/>
  <c r="AC57" i="14"/>
  <c r="AC59" i="14" s="1"/>
  <c r="H245" i="14"/>
  <c r="R99" i="13"/>
  <c r="AK74" i="13"/>
  <c r="AI74" i="13"/>
  <c r="W98" i="12"/>
  <c r="W82" i="12" s="1"/>
  <c r="W127" i="12" s="1"/>
  <c r="W81" i="12"/>
  <c r="AV99" i="12"/>
  <c r="AY99" i="12"/>
  <c r="AI76" i="12"/>
  <c r="AG76" i="11"/>
  <c r="AJ69" i="11"/>
  <c r="AI69" i="11"/>
  <c r="AL69" i="11" s="1"/>
  <c r="AM56" i="12"/>
  <c r="AJ56" i="12"/>
  <c r="AI88" i="7"/>
  <c r="AC132" i="7"/>
  <c r="AN59" i="12"/>
  <c r="AM59" i="12"/>
  <c r="W82" i="11"/>
  <c r="W81" i="11"/>
  <c r="W98" i="11"/>
  <c r="D149" i="14"/>
  <c r="AF251" i="3"/>
  <c r="AF339" i="3"/>
  <c r="AG331" i="3"/>
  <c r="AI229" i="3"/>
  <c r="AC245" i="3"/>
  <c r="AC291" i="3"/>
  <c r="AC339" i="3" s="1"/>
  <c r="AD248" i="3"/>
  <c r="X282" i="3"/>
  <c r="X293" i="3"/>
  <c r="X309" i="3"/>
  <c r="BW38" i="3"/>
  <c r="BX38" i="3" s="1"/>
  <c r="B92" i="3"/>
  <c r="AA281" i="3"/>
  <c r="AA205" i="3"/>
  <c r="AA179" i="3" s="1"/>
  <c r="AA211" i="3" s="1"/>
  <c r="AA290" i="3"/>
  <c r="AA306" i="3"/>
  <c r="Z282" i="3"/>
  <c r="Z293" i="3"/>
  <c r="Z341" i="3" s="1"/>
  <c r="Z226" i="3"/>
  <c r="Z242" i="3" s="1"/>
  <c r="CY73" i="3"/>
  <c r="AF308" i="3"/>
  <c r="AF292" i="3"/>
  <c r="AF340" i="3" s="1"/>
  <c r="AB96" i="14"/>
  <c r="B85" i="13"/>
  <c r="Y84" i="11"/>
  <c r="Y100" i="11"/>
  <c r="AE316" i="3"/>
  <c r="AK67" i="13"/>
  <c r="M47" i="9"/>
  <c r="N47" i="9"/>
  <c r="J148" i="2"/>
  <c r="J139" i="2"/>
  <c r="Z59" i="14"/>
  <c r="L112" i="14"/>
  <c r="L239" i="14" s="1"/>
  <c r="L108" i="14"/>
  <c r="L23" i="14" s="1"/>
  <c r="L25" i="14" s="1"/>
  <c r="L28" i="14" s="1"/>
  <c r="L160" i="14"/>
  <c r="AI70" i="13"/>
  <c r="AJ70" i="13"/>
  <c r="R99" i="11"/>
  <c r="R82" i="11"/>
  <c r="AJ72" i="13"/>
  <c r="AI72" i="13"/>
  <c r="AI43" i="13"/>
  <c r="AQ98" i="12"/>
  <c r="V299" i="14"/>
  <c r="V39" i="14"/>
  <c r="AL67" i="12"/>
  <c r="AK67" i="12"/>
  <c r="AJ73" i="11"/>
  <c r="AI73" i="11"/>
  <c r="AL73" i="11" s="1"/>
  <c r="AJ12" i="7"/>
  <c r="AC12" i="7"/>
  <c r="AI12" i="7" s="1"/>
  <c r="AJ55" i="12"/>
  <c r="AM55" i="12"/>
  <c r="AI120" i="7"/>
  <c r="AI164" i="7" s="1"/>
  <c r="AC164" i="7"/>
  <c r="AC147" i="7"/>
  <c r="AI103" i="7"/>
  <c r="AI147" i="7" s="1"/>
  <c r="X82" i="11"/>
  <c r="Y342" i="3"/>
  <c r="AD297" i="3"/>
  <c r="CW69" i="3"/>
  <c r="Z339" i="3"/>
  <c r="X92" i="3"/>
  <c r="CA80" i="3"/>
  <c r="CA81" i="3" s="1"/>
  <c r="E7" i="1"/>
  <c r="CH69" i="3"/>
  <c r="V12" i="14"/>
  <c r="AB84" i="14"/>
  <c r="AB100" i="14" s="1"/>
  <c r="AB116" i="14" s="1"/>
  <c r="O102" i="11"/>
  <c r="O86" i="11"/>
  <c r="X83" i="11"/>
  <c r="M52" i="9"/>
  <c r="R92" i="3"/>
  <c r="AB4" i="14"/>
  <c r="AA14" i="14" s="1"/>
  <c r="AE99" i="11"/>
  <c r="AL37" i="11"/>
  <c r="F93" i="14"/>
  <c r="F15" i="14"/>
  <c r="W178" i="14"/>
  <c r="W162" i="14"/>
  <c r="W161" i="14"/>
  <c r="AL101" i="13"/>
  <c r="AC264" i="14"/>
  <c r="AB264" i="14"/>
  <c r="AB266" i="14" s="1"/>
  <c r="D152" i="14"/>
  <c r="Y179" i="14"/>
  <c r="Y163" i="14"/>
  <c r="AC5" i="14"/>
  <c r="I245" i="14"/>
  <c r="AJ101" i="13"/>
  <c r="D242" i="14"/>
  <c r="AC84" i="13"/>
  <c r="AC100" i="13"/>
  <c r="AE100" i="13"/>
  <c r="E161" i="14"/>
  <c r="T178" i="14"/>
  <c r="C80" i="14"/>
  <c r="B234" i="14" s="1"/>
  <c r="B250" i="14" s="1"/>
  <c r="B151" i="14"/>
  <c r="K244" i="14"/>
  <c r="I161" i="14"/>
  <c r="AX99" i="13"/>
  <c r="AP101" i="13"/>
  <c r="Y108" i="14"/>
  <c r="Y23" i="14" s="1"/>
  <c r="Y25" i="14" s="1"/>
  <c r="Y28" i="14" s="1"/>
  <c r="Y26" i="14" s="1"/>
  <c r="Y112" i="14"/>
  <c r="Y239" i="14" s="1"/>
  <c r="Y160" i="14"/>
  <c r="AE83" i="13"/>
  <c r="AJ41" i="13"/>
  <c r="E98" i="13"/>
  <c r="AB83" i="12"/>
  <c r="AB128" i="12" s="1"/>
  <c r="AK42" i="12"/>
  <c r="AS99" i="13"/>
  <c r="AI70" i="11"/>
  <c r="AL70" i="11" s="1"/>
  <c r="AK70" i="11"/>
  <c r="G83" i="12"/>
  <c r="AK54" i="12"/>
  <c r="AJ54" i="12"/>
  <c r="AL54" i="12" s="1"/>
  <c r="AC133" i="7"/>
  <c r="AI89" i="7"/>
  <c r="AJ58" i="11"/>
  <c r="AI58" i="11"/>
  <c r="AM58" i="13"/>
  <c r="Z346" i="3"/>
  <c r="J26" i="9"/>
  <c r="AB237" i="3"/>
  <c r="AB11" i="3"/>
  <c r="H128" i="2"/>
  <c r="BW116" i="3"/>
  <c r="M139" i="2"/>
  <c r="M148" i="2"/>
  <c r="X310" i="3"/>
  <c r="X294" i="3"/>
  <c r="L104" i="2"/>
  <c r="K133" i="2"/>
  <c r="X298" i="3"/>
  <c r="X314" i="3"/>
  <c r="AH196" i="3"/>
  <c r="AJ196" i="3" s="1"/>
  <c r="AC282" i="3"/>
  <c r="AE308" i="3"/>
  <c r="AE292" i="3"/>
  <c r="AE340" i="3" s="1"/>
  <c r="AG204" i="3"/>
  <c r="AB317" i="3"/>
  <c r="AB349" i="3" s="1"/>
  <c r="AB5" i="3"/>
  <c r="AG57" i="3"/>
  <c r="AH50" i="3"/>
  <c r="AH49" i="3"/>
  <c r="AH58" i="3"/>
  <c r="AH54" i="3"/>
  <c r="AH55" i="3"/>
  <c r="AH56" i="3"/>
  <c r="AH52" i="3"/>
  <c r="AH48" i="3"/>
  <c r="AH51" i="3"/>
  <c r="AB86" i="14"/>
  <c r="AB102" i="14" s="1"/>
  <c r="AB118" i="14" s="1"/>
  <c r="I298" i="14"/>
  <c r="I287" i="14"/>
  <c r="I294" i="14"/>
  <c r="I290" i="14"/>
  <c r="I291" i="14"/>
  <c r="I292" i="14"/>
  <c r="I293" i="14"/>
  <c r="I297" i="14"/>
  <c r="I295" i="14"/>
  <c r="I289" i="14"/>
  <c r="I288" i="14"/>
  <c r="I296" i="14"/>
  <c r="AM101" i="13"/>
  <c r="AL64" i="11"/>
  <c r="AL111" i="11"/>
  <c r="AL16" i="11"/>
  <c r="AL80" i="11"/>
  <c r="AL96" i="11"/>
  <c r="AL48" i="11"/>
  <c r="AL32" i="11"/>
  <c r="M83" i="11"/>
  <c r="AA83" i="11"/>
  <c r="AA82" i="11"/>
  <c r="AL65" i="11"/>
  <c r="R7" i="3"/>
  <c r="G291" i="14"/>
  <c r="G298" i="14"/>
  <c r="G287" i="14"/>
  <c r="G294" i="14"/>
  <c r="G292" i="14"/>
  <c r="G293" i="14"/>
  <c r="G297" i="14"/>
  <c r="G295" i="14"/>
  <c r="G289" i="14"/>
  <c r="G288" i="14"/>
  <c r="G296" i="14"/>
  <c r="G290" i="14"/>
  <c r="AG45" i="12"/>
  <c r="AG17" i="12"/>
  <c r="T40" i="14"/>
  <c r="T36" i="14" s="1"/>
  <c r="Z154" i="14"/>
  <c r="Z277" i="14"/>
  <c r="AB277" i="14" s="1"/>
  <c r="Z278" i="14"/>
  <c r="AB278" i="14" s="1"/>
  <c r="Z276" i="14"/>
  <c r="Z152" i="14"/>
  <c r="Z279" i="14"/>
  <c r="AB279" i="14" s="1"/>
  <c r="Z150" i="14"/>
  <c r="Q247" i="14"/>
  <c r="K249" i="14"/>
  <c r="J102" i="13"/>
  <c r="J86" i="13"/>
  <c r="B225" i="14"/>
  <c r="B83" i="14"/>
  <c r="B99" i="14" s="1"/>
  <c r="B115" i="14" s="1"/>
  <c r="AC133" i="14"/>
  <c r="AB133" i="14"/>
  <c r="AB139" i="14" s="1"/>
  <c r="AI101" i="13"/>
  <c r="L245" i="14"/>
  <c r="G98" i="13"/>
  <c r="G81" i="13"/>
  <c r="H243" i="14"/>
  <c r="AH113" i="12"/>
  <c r="AC99" i="12"/>
  <c r="AF126" i="12"/>
  <c r="AT98" i="13"/>
  <c r="AM65" i="12"/>
  <c r="AL65" i="12"/>
  <c r="AK65" i="12"/>
  <c r="AL111" i="13"/>
  <c r="AL32" i="13"/>
  <c r="AL80" i="13"/>
  <c r="AL64" i="13"/>
  <c r="AL96" i="13"/>
  <c r="AL16" i="13"/>
  <c r="AL48" i="13"/>
  <c r="AF80" i="13"/>
  <c r="AF96" i="13"/>
  <c r="AF111" i="13"/>
  <c r="AF32" i="13"/>
  <c r="AF48" i="13"/>
  <c r="AF64" i="13"/>
  <c r="AF16" i="13"/>
  <c r="L99" i="12"/>
  <c r="L82" i="12"/>
  <c r="L127" i="12" s="1"/>
  <c r="AJ53" i="12"/>
  <c r="AN53" i="12" s="1"/>
  <c r="AM53" i="12"/>
  <c r="AJ53" i="11"/>
  <c r="AI53" i="11"/>
  <c r="AI100" i="11"/>
  <c r="X81" i="11"/>
  <c r="W86" i="7"/>
  <c r="V130" i="7"/>
  <c r="V87" i="7"/>
  <c r="AI96" i="7"/>
  <c r="AC140" i="7"/>
  <c r="AA346" i="3"/>
  <c r="AA267" i="3"/>
  <c r="AB253" i="3"/>
  <c r="AD245" i="3"/>
  <c r="AI194" i="3"/>
  <c r="AK194" i="3" s="1"/>
  <c r="AD307" i="3"/>
  <c r="AD339" i="3" s="1"/>
  <c r="BY124" i="3"/>
  <c r="BV113" i="3"/>
  <c r="BY120" i="3"/>
  <c r="BX115" i="3"/>
  <c r="BY123" i="3"/>
  <c r="BX119" i="3"/>
  <c r="BX123" i="3"/>
  <c r="BY117" i="3"/>
  <c r="AE125" i="3"/>
  <c r="BX117" i="3"/>
  <c r="BY115" i="3"/>
  <c r="BY113" i="3"/>
  <c r="BX113" i="3"/>
  <c r="BW113" i="3"/>
  <c r="BY122" i="3"/>
  <c r="BX122" i="3"/>
  <c r="BX120" i="3"/>
  <c r="BX118" i="3"/>
  <c r="BY119" i="3"/>
  <c r="BY114" i="3"/>
  <c r="BX124" i="3"/>
  <c r="BY121" i="3"/>
  <c r="BX114" i="3"/>
  <c r="BX121" i="3"/>
  <c r="BY116" i="3"/>
  <c r="BX116" i="3"/>
  <c r="BY118" i="3"/>
  <c r="AD283" i="3"/>
  <c r="AD312" i="3"/>
  <c r="AD344" i="3" s="1"/>
  <c r="AI232" i="3"/>
  <c r="AC248" i="3"/>
  <c r="CV69" i="3"/>
  <c r="DA72" i="3"/>
  <c r="CX73" i="3"/>
  <c r="CG73" i="3"/>
  <c r="BW33" i="3"/>
  <c r="B128" i="2"/>
  <c r="AF193" i="3"/>
  <c r="CF66" i="3"/>
  <c r="DD32" i="3"/>
  <c r="DD44" i="3" s="1"/>
  <c r="AF80" i="3"/>
  <c r="BV32" i="3"/>
  <c r="AF44" i="3"/>
  <c r="AF4" i="3" s="1"/>
  <c r="BY49" i="3"/>
  <c r="AA7" i="3"/>
  <c r="F108" i="14"/>
  <c r="F23" i="14" s="1"/>
  <c r="F25" i="14" s="1"/>
  <c r="F28" i="14" s="1"/>
  <c r="F26" i="14" s="1"/>
  <c r="F112" i="14"/>
  <c r="F239" i="14" s="1"/>
  <c r="J107" i="1"/>
  <c r="J101" i="1"/>
  <c r="J105" i="1"/>
  <c r="J104" i="1"/>
  <c r="J106" i="1"/>
  <c r="AG200" i="3"/>
  <c r="AI200" i="3" s="1"/>
  <c r="H299" i="14"/>
  <c r="H39" i="14"/>
  <c r="U163" i="14"/>
  <c r="E178" i="14"/>
  <c r="B90" i="14"/>
  <c r="B106" i="14" s="1"/>
  <c r="B122" i="14" s="1"/>
  <c r="N161" i="14"/>
  <c r="C155" i="14"/>
  <c r="C150" i="14"/>
  <c r="C152" i="14"/>
  <c r="C148" i="14"/>
  <c r="L27" i="14"/>
  <c r="C154" i="14"/>
  <c r="C144" i="14"/>
  <c r="C147" i="14"/>
  <c r="AB83" i="14"/>
  <c r="AB99" i="14" s="1"/>
  <c r="AB115" i="14" s="1"/>
  <c r="L244" i="14"/>
  <c r="L161" i="14"/>
  <c r="Z151" i="14"/>
  <c r="AB151" i="14" s="1"/>
  <c r="Z71" i="14"/>
  <c r="AJ67" i="13"/>
  <c r="X250" i="14"/>
  <c r="AK53" i="13"/>
  <c r="AM53" i="13" s="1"/>
  <c r="AJ53" i="13"/>
  <c r="AI53" i="13"/>
  <c r="AI55" i="13"/>
  <c r="AK55" i="13" s="1"/>
  <c r="AJ55" i="13"/>
  <c r="AM55" i="13" s="1"/>
  <c r="AJ98" i="12"/>
  <c r="AQ66" i="12"/>
  <c r="AP69" i="13"/>
  <c r="AM69" i="13"/>
  <c r="AN69" i="13"/>
  <c r="W100" i="13"/>
  <c r="L126" i="12"/>
  <c r="AH114" i="12"/>
  <c r="AJ55" i="11"/>
  <c r="AL55" i="11" s="1"/>
  <c r="AI55" i="11"/>
  <c r="AK55" i="11" s="1"/>
  <c r="AK44" i="11"/>
  <c r="AL44" i="11" s="1"/>
  <c r="AN58" i="12"/>
  <c r="AM58" i="12"/>
  <c r="AO58" i="12" s="1"/>
  <c r="AE85" i="7"/>
  <c r="X85" i="7"/>
  <c r="AA249" i="3"/>
  <c r="AG233" i="3"/>
  <c r="AI233" i="3" s="1"/>
  <c r="Y317" i="3"/>
  <c r="Y349" i="3" s="1"/>
  <c r="AC347" i="3"/>
  <c r="Y347" i="3"/>
  <c r="AG243" i="3"/>
  <c r="CG67" i="3"/>
  <c r="CX67" i="3"/>
  <c r="AH57" i="3"/>
  <c r="J163" i="14"/>
  <c r="K98" i="13"/>
  <c r="K82" i="13" s="1"/>
  <c r="K81" i="13"/>
  <c r="S83" i="13"/>
  <c r="S82" i="13"/>
  <c r="AK37" i="12"/>
  <c r="AI37" i="12"/>
  <c r="AF317" i="3"/>
  <c r="AH53" i="3"/>
  <c r="S112" i="14"/>
  <c r="S239" i="14" s="1"/>
  <c r="S108" i="14"/>
  <c r="S23" i="14" s="1"/>
  <c r="S25" i="14" s="1"/>
  <c r="S28" i="14" s="1"/>
  <c r="S26" i="14" s="1"/>
  <c r="S160" i="14"/>
  <c r="AA261" i="3"/>
  <c r="M92" i="3"/>
  <c r="R163" i="14"/>
  <c r="B84" i="14"/>
  <c r="B100" i="14" s="1"/>
  <c r="B116" i="14" s="1"/>
  <c r="B233" i="14"/>
  <c r="B249" i="14" s="1"/>
  <c r="B91" i="14"/>
  <c r="B107" i="14" s="1"/>
  <c r="B123" i="14" s="1"/>
  <c r="N162" i="14"/>
  <c r="C249" i="14"/>
  <c r="N243" i="14"/>
  <c r="D155" i="14"/>
  <c r="D148" i="14"/>
  <c r="M27" i="14"/>
  <c r="D154" i="14"/>
  <c r="D144" i="14"/>
  <c r="D160" i="14" s="1"/>
  <c r="D147" i="14"/>
  <c r="D150" i="14"/>
  <c r="D145" i="14"/>
  <c r="D161" i="14" s="1"/>
  <c r="AV100" i="13"/>
  <c r="N99" i="13"/>
  <c r="AH101" i="13"/>
  <c r="Z280" i="14"/>
  <c r="AG76" i="13"/>
  <c r="AK59" i="13"/>
  <c r="AA87" i="14"/>
  <c r="AA103" i="14" s="1"/>
  <c r="AA119" i="14" s="1"/>
  <c r="AI35" i="13"/>
  <c r="U81" i="12"/>
  <c r="U98" i="12"/>
  <c r="U82" i="12" s="1"/>
  <c r="U127" i="12" s="1"/>
  <c r="B99" i="12"/>
  <c r="K101" i="12"/>
  <c r="K85" i="12" s="1"/>
  <c r="AT111" i="13"/>
  <c r="AT80" i="13"/>
  <c r="AT64" i="13"/>
  <c r="AT96" i="13"/>
  <c r="AT48" i="13"/>
  <c r="AT32" i="13"/>
  <c r="AT16" i="13"/>
  <c r="W83" i="13"/>
  <c r="AG82" i="11"/>
  <c r="AG81" i="11"/>
  <c r="AC82" i="11"/>
  <c r="Z126" i="12"/>
  <c r="AJ37" i="12"/>
  <c r="AL71" i="12"/>
  <c r="AJ71" i="12"/>
  <c r="AI71" i="12"/>
  <c r="AC151" i="7"/>
  <c r="AI107" i="7"/>
  <c r="AI151" i="7" s="1"/>
  <c r="AJ42" i="11"/>
  <c r="AL35" i="11"/>
  <c r="AI57" i="12"/>
  <c r="AJ74" i="11"/>
  <c r="AL74" i="11" s="1"/>
  <c r="AD349" i="3"/>
  <c r="U44" i="3"/>
  <c r="U4" i="3" s="1"/>
  <c r="U6" i="3" s="1"/>
  <c r="U9" i="3" s="1"/>
  <c r="U7" i="3" s="1"/>
  <c r="CS32" i="3"/>
  <c r="CS44" i="3" s="1"/>
  <c r="U80" i="3"/>
  <c r="U92" i="3" s="1"/>
  <c r="AE241" i="3"/>
  <c r="T44" i="3"/>
  <c r="T4" i="3" s="1"/>
  <c r="T6" i="3" s="1"/>
  <c r="T9" i="3" s="1"/>
  <c r="T7" i="3" s="1"/>
  <c r="CR32" i="3"/>
  <c r="CR44" i="3" s="1"/>
  <c r="T80" i="3"/>
  <c r="T92" i="3" s="1"/>
  <c r="AC243" i="3"/>
  <c r="AI227" i="3"/>
  <c r="CV71" i="3"/>
  <c r="D128" i="2"/>
  <c r="K135" i="2"/>
  <c r="AG193" i="3"/>
  <c r="CG66" i="3"/>
  <c r="DE32" i="3"/>
  <c r="AG80" i="3"/>
  <c r="BX49" i="3"/>
  <c r="AH203" i="3"/>
  <c r="AC300" i="3"/>
  <c r="AC316" i="3"/>
  <c r="X283" i="3"/>
  <c r="X296" i="3"/>
  <c r="X344" i="3" s="1"/>
  <c r="AA307" i="3"/>
  <c r="AA291" i="3"/>
  <c r="J80" i="3"/>
  <c r="J92" i="3" s="1"/>
  <c r="CH32" i="3"/>
  <c r="CH44" i="3" s="1"/>
  <c r="J44" i="3"/>
  <c r="J4" i="3" s="1"/>
  <c r="J6" i="3" s="1"/>
  <c r="J9" i="3" s="1"/>
  <c r="J7" i="3" s="1"/>
  <c r="J117" i="2"/>
  <c r="J118" i="2"/>
  <c r="J116" i="2"/>
  <c r="J128" i="2" s="1"/>
  <c r="V82" i="3"/>
  <c r="V92" i="3" s="1"/>
  <c r="CT34" i="3"/>
  <c r="CT44" i="3" s="1"/>
  <c r="V44" i="3"/>
  <c r="V4" i="3" s="1"/>
  <c r="V6" i="3" s="1"/>
  <c r="V9" i="3" s="1"/>
  <c r="V7" i="3" s="1"/>
  <c r="BY80" i="3"/>
  <c r="AC283" i="3"/>
  <c r="AH199" i="3"/>
  <c r="BX41" i="3"/>
  <c r="CV70" i="3"/>
  <c r="CY74" i="3"/>
  <c r="DA74" i="3"/>
  <c r="CH74" i="3"/>
  <c r="CW67" i="3"/>
  <c r="CV68" i="3"/>
  <c r="AF282" i="3"/>
  <c r="AF293" i="3"/>
  <c r="AF341" i="3" s="1"/>
  <c r="B32" i="1"/>
  <c r="B3" i="1" s="1"/>
  <c r="B7" i="1"/>
  <c r="P243" i="14"/>
  <c r="G245" i="14"/>
  <c r="J161" i="14"/>
  <c r="U12" i="14"/>
  <c r="AA88" i="14"/>
  <c r="AA104" i="14" s="1"/>
  <c r="AA120" i="14" s="1"/>
  <c r="AJ39" i="13"/>
  <c r="V81" i="12"/>
  <c r="V98" i="12"/>
  <c r="V82" i="12"/>
  <c r="V127" i="12" s="1"/>
  <c r="AA273" i="14"/>
  <c r="AC273" i="14" s="1"/>
  <c r="AC209" i="14" s="1"/>
  <c r="AB126" i="12"/>
  <c r="AK75" i="12"/>
  <c r="AM75" i="12" s="1"/>
  <c r="B81" i="11"/>
  <c r="L53" i="9"/>
  <c r="AA252" i="3"/>
  <c r="AG236" i="3"/>
  <c r="AI236" i="3" s="1"/>
  <c r="L36" i="9"/>
  <c r="L32" i="9"/>
  <c r="L16" i="9" s="1"/>
  <c r="L37" i="9"/>
  <c r="M33" i="9"/>
  <c r="L33" i="9"/>
  <c r="L38" i="9"/>
  <c r="L35" i="9"/>
  <c r="M35" i="9" s="1"/>
  <c r="L31" i="9"/>
  <c r="L39" i="9"/>
  <c r="L23" i="9" s="1"/>
  <c r="L40" i="9"/>
  <c r="L30" i="9"/>
  <c r="L34" i="9"/>
  <c r="AC250" i="3"/>
  <c r="BW80" i="3"/>
  <c r="CG75" i="3"/>
  <c r="CX75" i="3"/>
  <c r="AD125" i="3"/>
  <c r="AB261" i="3"/>
  <c r="I148" i="2"/>
  <c r="I139" i="2"/>
  <c r="CN44" i="3"/>
  <c r="CM44" i="3"/>
  <c r="CG71" i="3"/>
  <c r="CX71" i="3"/>
  <c r="AH68" i="3"/>
  <c r="D108" i="14"/>
  <c r="D23" i="14" s="1"/>
  <c r="D25" i="14" s="1"/>
  <c r="D28" i="14" s="1"/>
  <c r="D26" i="14" s="1"/>
  <c r="D112" i="14"/>
  <c r="D239" i="14" s="1"/>
  <c r="H162" i="14"/>
  <c r="J85" i="13"/>
  <c r="H161" i="14"/>
  <c r="T243" i="14"/>
  <c r="AA83" i="13"/>
  <c r="L241" i="14"/>
  <c r="P112" i="14"/>
  <c r="P108" i="14"/>
  <c r="P23" i="14" s="1"/>
  <c r="P25" i="14" s="1"/>
  <c r="P28" i="14" s="1"/>
  <c r="P26" i="14" s="1"/>
  <c r="AK75" i="13"/>
  <c r="X101" i="12"/>
  <c r="AH99" i="11"/>
  <c r="AJ59" i="11"/>
  <c r="AL59" i="11" s="1"/>
  <c r="J98" i="11"/>
  <c r="J81" i="11"/>
  <c r="J82" i="11"/>
  <c r="AH34" i="12"/>
  <c r="AH45" i="12" s="1"/>
  <c r="AK74" i="12"/>
  <c r="AJ74" i="12"/>
  <c r="AI74" i="12"/>
  <c r="L65" i="9"/>
  <c r="AZ101" i="12"/>
  <c r="T82" i="11"/>
  <c r="AE248" i="3"/>
  <c r="Z237" i="3"/>
  <c r="Z11" i="3"/>
  <c r="W253" i="3"/>
  <c r="AA284" i="3"/>
  <c r="AF283" i="3"/>
  <c r="AJ92" i="3"/>
  <c r="AJ9" i="3"/>
  <c r="AK7" i="3"/>
  <c r="AB241" i="3"/>
  <c r="AI197" i="3"/>
  <c r="DA70" i="3"/>
  <c r="CY70" i="3"/>
  <c r="CH70" i="3"/>
  <c r="AA92" i="3"/>
  <c r="BV122" i="3"/>
  <c r="BW122" i="3"/>
  <c r="AI68" i="3"/>
  <c r="AE295" i="3"/>
  <c r="AE343" i="3" s="1"/>
  <c r="CG76" i="3"/>
  <c r="CX76" i="3"/>
  <c r="AG201" i="3"/>
  <c r="BW43" i="3"/>
  <c r="BX43" i="3" s="1"/>
  <c r="AH66" i="3"/>
  <c r="AC193" i="3"/>
  <c r="AC80" i="3"/>
  <c r="CC66" i="3"/>
  <c r="DA32" i="3"/>
  <c r="DA44" i="3" s="1"/>
  <c r="AC44" i="3"/>
  <c r="AC4" i="3" s="1"/>
  <c r="AC6" i="3" s="1"/>
  <c r="AC9" i="3" s="1"/>
  <c r="AC7" i="3" s="1"/>
  <c r="H41" i="1"/>
  <c r="H48" i="1" s="1"/>
  <c r="H11" i="1" s="1"/>
  <c r="AJ28" i="7"/>
  <c r="AC28" i="7"/>
  <c r="AI28" i="7" s="1"/>
  <c r="L56" i="9"/>
  <c r="AG103" i="12"/>
  <c r="AE310" i="3"/>
  <c r="AE342" i="3" s="1"/>
  <c r="AA246" i="3"/>
  <c r="AE261" i="3"/>
  <c r="AD241" i="3"/>
  <c r="CG72" i="3"/>
  <c r="CX72" i="3"/>
  <c r="CW77" i="3"/>
  <c r="CO44" i="3"/>
  <c r="G148" i="2"/>
  <c r="G139" i="2"/>
  <c r="AG199" i="3"/>
  <c r="AB283" i="3"/>
  <c r="AC284" i="3"/>
  <c r="AH202" i="3"/>
  <c r="AJ202" i="3" s="1"/>
  <c r="AH198" i="3"/>
  <c r="AJ198" i="3" s="1"/>
  <c r="AC311" i="3"/>
  <c r="AC343" i="3" s="1"/>
  <c r="AI52" i="3"/>
  <c r="AH71" i="3"/>
  <c r="CM38" i="3"/>
  <c r="O86" i="3"/>
  <c r="O92" i="3" s="1"/>
  <c r="D7" i="1"/>
  <c r="J242" i="14"/>
  <c r="Y243" i="14"/>
  <c r="H244" i="14"/>
  <c r="C178" i="14"/>
  <c r="C162" i="14" s="1"/>
  <c r="T239" i="14"/>
  <c r="U40" i="14"/>
  <c r="U36" i="14" s="1"/>
  <c r="AA154" i="14"/>
  <c r="D241" i="14"/>
  <c r="B64" i="14"/>
  <c r="K13" i="14"/>
  <c r="K15" i="14" s="1"/>
  <c r="B70" i="14"/>
  <c r="B74" i="14"/>
  <c r="B66" i="14"/>
  <c r="B72" i="14"/>
  <c r="G247" i="14"/>
  <c r="J84" i="13"/>
  <c r="P239" i="14"/>
  <c r="B68" i="14"/>
  <c r="AM75" i="13"/>
  <c r="AF45" i="13"/>
  <c r="AA146" i="14"/>
  <c r="AC146" i="14" s="1"/>
  <c r="Y82" i="13"/>
  <c r="AD83" i="12"/>
  <c r="AD128" i="12" s="1"/>
  <c r="F100" i="12"/>
  <c r="F84" i="12" s="1"/>
  <c r="AP111" i="13"/>
  <c r="AP80" i="13"/>
  <c r="AP64" i="13"/>
  <c r="AP96" i="13"/>
  <c r="AP16" i="13"/>
  <c r="AP32" i="13"/>
  <c r="AP48" i="13"/>
  <c r="AA84" i="12"/>
  <c r="AA129" i="12" s="1"/>
  <c r="AA126" i="12"/>
  <c r="AB17" i="7"/>
  <c r="U6" i="7"/>
  <c r="AB6" i="7" s="1"/>
  <c r="AE101" i="12"/>
  <c r="AE85" i="12" s="1"/>
  <c r="L50" i="9"/>
  <c r="AC160" i="7"/>
  <c r="AI116" i="7"/>
  <c r="AI160" i="7" s="1"/>
  <c r="L48" i="9"/>
  <c r="L72" i="9"/>
  <c r="Y237" i="3"/>
  <c r="Y11" i="3"/>
  <c r="AF11" i="3"/>
  <c r="Y92" i="3"/>
  <c r="CX74" i="3"/>
  <c r="CG74" i="3"/>
  <c r="CI74" i="3" s="1"/>
  <c r="CP44" i="3"/>
  <c r="H13" i="1"/>
  <c r="H6" i="1"/>
  <c r="AE282" i="3"/>
  <c r="CG70" i="3"/>
  <c r="CX70" i="3"/>
  <c r="CX44" i="3"/>
  <c r="N139" i="2"/>
  <c r="N148" i="2"/>
  <c r="AE193" i="3"/>
  <c r="CE66" i="3"/>
  <c r="DC32" i="3"/>
  <c r="DC44" i="3" s="1"/>
  <c r="AE44" i="3"/>
  <c r="AE4" i="3" s="1"/>
  <c r="AE6" i="3" s="1"/>
  <c r="AE9" i="3" s="1"/>
  <c r="AE7" i="3" s="1"/>
  <c r="AE80" i="3"/>
  <c r="AE92" i="3" s="1"/>
  <c r="AD193" i="3"/>
  <c r="CD66" i="3"/>
  <c r="AD80" i="3"/>
  <c r="DB32" i="3"/>
  <c r="DB44" i="3" s="1"/>
  <c r="AD44" i="3"/>
  <c r="AD4" i="3" s="1"/>
  <c r="AD6" i="3" s="1"/>
  <c r="AD9" i="3" s="1"/>
  <c r="AD7" i="3" s="1"/>
  <c r="Z100" i="12"/>
  <c r="Z84" i="12" s="1"/>
  <c r="Z129" i="12" s="1"/>
  <c r="Z83" i="12"/>
  <c r="Z128" i="12" s="1"/>
  <c r="X84" i="12"/>
  <c r="AA152" i="14"/>
  <c r="Y98" i="13"/>
  <c r="AA83" i="12"/>
  <c r="AF117" i="12"/>
  <c r="AG117" i="12"/>
  <c r="AL99" i="11"/>
  <c r="AR111" i="13"/>
  <c r="AR96" i="13"/>
  <c r="AR80" i="13"/>
  <c r="AR64" i="13"/>
  <c r="AR48" i="13"/>
  <c r="AR32" i="13"/>
  <c r="AR16" i="13"/>
  <c r="B82" i="13"/>
  <c r="B81" i="13"/>
  <c r="AX64" i="13"/>
  <c r="AX96" i="13"/>
  <c r="AX48" i="13"/>
  <c r="AX111" i="13"/>
  <c r="AX32" i="13"/>
  <c r="AX80" i="13"/>
  <c r="AX16" i="13"/>
  <c r="AF101" i="12"/>
  <c r="AW99" i="13"/>
  <c r="B98" i="11"/>
  <c r="L71" i="9"/>
  <c r="AK57" i="11"/>
  <c r="AJ57" i="11"/>
  <c r="AL57" i="11" s="1"/>
  <c r="AI57" i="11"/>
  <c r="AK65" i="11"/>
  <c r="AK73" i="12"/>
  <c r="AE245" i="3"/>
  <c r="L66" i="9"/>
  <c r="BW123" i="3"/>
  <c r="BV123" i="3"/>
  <c r="AE235" i="3"/>
  <c r="AC251" i="3"/>
  <c r="AG241" i="3"/>
  <c r="C92" i="3"/>
  <c r="AD261" i="3"/>
  <c r="AI48" i="3"/>
  <c r="E80" i="3"/>
  <c r="E92" i="3" s="1"/>
  <c r="CC32" i="3"/>
  <c r="CC44" i="3" s="1"/>
  <c r="E44" i="3"/>
  <c r="E4" i="3" s="1"/>
  <c r="E6" i="3" s="1"/>
  <c r="E9" i="3" s="1"/>
  <c r="E7" i="3" s="1"/>
  <c r="AE234" i="3"/>
  <c r="AH234" i="3" s="1"/>
  <c r="L148" i="2"/>
  <c r="L139" i="2"/>
  <c r="P85" i="3"/>
  <c r="CN37" i="3"/>
  <c r="H80" i="3"/>
  <c r="H92" i="3" s="1"/>
  <c r="H44" i="3"/>
  <c r="H4" i="3" s="1"/>
  <c r="H6" i="3" s="1"/>
  <c r="H9" i="3" s="1"/>
  <c r="H7" i="3" s="1"/>
  <c r="CF32" i="3"/>
  <c r="CF44" i="3" s="1"/>
  <c r="AG282" i="3"/>
  <c r="AK59" i="11"/>
  <c r="AF84" i="12"/>
  <c r="AF129" i="12" s="1"/>
  <c r="AH111" i="13"/>
  <c r="AH32" i="13"/>
  <c r="AH80" i="13"/>
  <c r="AH96" i="13"/>
  <c r="AH16" i="13"/>
  <c r="AH64" i="13"/>
  <c r="AH48" i="13"/>
  <c r="L68" i="9"/>
  <c r="AH60" i="11"/>
  <c r="AK49" i="11"/>
  <c r="AJ49" i="11"/>
  <c r="L69" i="9"/>
  <c r="AJ44" i="12"/>
  <c r="I126" i="7"/>
  <c r="I127" i="7" s="1"/>
  <c r="AB249" i="3"/>
  <c r="AH233" i="3"/>
  <c r="AH231" i="3"/>
  <c r="AB247" i="3"/>
  <c r="X253" i="3"/>
  <c r="AB246" i="3"/>
  <c r="AH230" i="3"/>
  <c r="M101" i="2"/>
  <c r="M106" i="2"/>
  <c r="M100" i="2"/>
  <c r="M105" i="2"/>
  <c r="M104" i="2"/>
  <c r="M110" i="2"/>
  <c r="M102" i="2"/>
  <c r="M109" i="2"/>
  <c r="M108" i="2"/>
  <c r="N112" i="2"/>
  <c r="M107" i="2"/>
  <c r="M103" i="2"/>
  <c r="Z92" i="3"/>
  <c r="Y282" i="3"/>
  <c r="CW71" i="3"/>
  <c r="BX42" i="3"/>
  <c r="AD295" i="3"/>
  <c r="AD343" i="3" s="1"/>
  <c r="BZ80" i="3"/>
  <c r="BZ81" i="3" s="1"/>
  <c r="J37" i="1"/>
  <c r="J48" i="1" s="1"/>
  <c r="J11" i="1" s="1"/>
  <c r="DA76" i="3"/>
  <c r="CY76" i="3"/>
  <c r="CH76" i="3"/>
  <c r="C128" i="2"/>
  <c r="I80" i="3"/>
  <c r="I92" i="3" s="1"/>
  <c r="I44" i="3"/>
  <c r="I4" i="3" s="1"/>
  <c r="I6" i="3" s="1"/>
  <c r="I9" i="3" s="1"/>
  <c r="I7" i="3" s="1"/>
  <c r="CG32" i="3"/>
  <c r="CG44" i="3" s="1"/>
  <c r="BW34" i="3"/>
  <c r="AF143" i="12"/>
  <c r="AF119" i="12"/>
  <c r="AG119" i="12"/>
  <c r="AL42" i="12"/>
  <c r="AK56" i="11"/>
  <c r="AJ56" i="11"/>
  <c r="AL56" i="11" s="1"/>
  <c r="B83" i="13"/>
  <c r="L101" i="11"/>
  <c r="AI108" i="7"/>
  <c r="AI152" i="7" s="1"/>
  <c r="AC152" i="7"/>
  <c r="L84" i="11"/>
  <c r="AC149" i="7"/>
  <c r="AI105" i="7"/>
  <c r="AI149" i="7" s="1"/>
  <c r="L63" i="9"/>
  <c r="S99" i="11"/>
  <c r="S83" i="11" s="1"/>
  <c r="L70" i="9"/>
  <c r="AG244" i="3"/>
  <c r="AF261" i="3"/>
  <c r="BX33" i="3"/>
  <c r="AB80" i="3"/>
  <c r="AB193" i="3"/>
  <c r="CB66" i="3"/>
  <c r="AB44" i="3"/>
  <c r="AB4" i="3" s="1"/>
  <c r="AB6" i="3" s="1"/>
  <c r="AB9" i="3" s="1"/>
  <c r="AB7" i="3" s="1"/>
  <c r="CZ32" i="3"/>
  <c r="CW74" i="3"/>
  <c r="Z281" i="3"/>
  <c r="Z205" i="3"/>
  <c r="Z187" i="3" s="1"/>
  <c r="Z219" i="3" s="1"/>
  <c r="AI195" i="3"/>
  <c r="CG68" i="3"/>
  <c r="CI68" i="3" s="1"/>
  <c r="CX68" i="3"/>
  <c r="G92" i="3"/>
  <c r="M299" i="14"/>
  <c r="M39" i="14"/>
  <c r="AY99" i="13"/>
  <c r="C288" i="14"/>
  <c r="C295" i="14"/>
  <c r="C291" i="14"/>
  <c r="C290" i="14"/>
  <c r="C298" i="14"/>
  <c r="C293" i="14"/>
  <c r="C297" i="14"/>
  <c r="C287" i="14"/>
  <c r="C294" i="14"/>
  <c r="C292" i="14"/>
  <c r="C289" i="14"/>
  <c r="C296" i="14"/>
  <c r="V112" i="14"/>
  <c r="V108" i="14"/>
  <c r="V23" i="14" s="1"/>
  <c r="V25" i="14" s="1"/>
  <c r="V28" i="14" s="1"/>
  <c r="V26" i="14" s="1"/>
  <c r="M241" i="14"/>
  <c r="O15" i="14"/>
  <c r="B67" i="14"/>
  <c r="AM65" i="13"/>
  <c r="AL65" i="13"/>
  <c r="AK65" i="13"/>
  <c r="W15" i="14"/>
  <c r="O82" i="12"/>
  <c r="O127" i="12" s="1"/>
  <c r="N15" i="14"/>
  <c r="AA153" i="14"/>
  <c r="AC153" i="14" s="1"/>
  <c r="AI112" i="12"/>
  <c r="AM111" i="13"/>
  <c r="AM80" i="13"/>
  <c r="AM64" i="13"/>
  <c r="AM96" i="13"/>
  <c r="AM16" i="13"/>
  <c r="AM48" i="13"/>
  <c r="AM32" i="13"/>
  <c r="AF120" i="12"/>
  <c r="AG120" i="12"/>
  <c r="M83" i="13"/>
  <c r="M99" i="13"/>
  <c r="P99" i="11"/>
  <c r="P82" i="11"/>
  <c r="P83" i="11"/>
  <c r="AD99" i="11"/>
  <c r="AE81" i="11"/>
  <c r="AE82" i="11"/>
  <c r="S15" i="14"/>
  <c r="AV64" i="13"/>
  <c r="AV96" i="13"/>
  <c r="AV48" i="13"/>
  <c r="AV111" i="13"/>
  <c r="AV80" i="13"/>
  <c r="AV16" i="13"/>
  <c r="AV32" i="13"/>
  <c r="AI97" i="7"/>
  <c r="AI141" i="7" s="1"/>
  <c r="AC141" i="7"/>
  <c r="AB83" i="11"/>
  <c r="C82" i="11"/>
  <c r="AC162" i="7"/>
  <c r="AI118" i="7"/>
  <c r="AI162" i="7" s="1"/>
  <c r="AK66" i="11"/>
  <c r="AA125" i="3"/>
  <c r="AD284" i="3"/>
  <c r="AD299" i="3"/>
  <c r="AD347" i="3" s="1"/>
  <c r="AJ194" i="3"/>
  <c r="CI32" i="3"/>
  <c r="CI44" i="3" s="1"/>
  <c r="K44" i="3"/>
  <c r="K4" i="3" s="1"/>
  <c r="K6" i="3" s="1"/>
  <c r="K9" i="3" s="1"/>
  <c r="K7" i="3" s="1"/>
  <c r="K80" i="3"/>
  <c r="K92" i="3" s="1"/>
  <c r="Z338" i="3"/>
  <c r="AI51" i="3"/>
  <c r="AF296" i="3"/>
  <c r="AF344" i="3" s="1"/>
  <c r="AG203" i="3"/>
  <c r="AI203" i="3" s="1"/>
  <c r="J96" i="1"/>
  <c r="AD98" i="13"/>
  <c r="AD82" i="13" s="1"/>
  <c r="X112" i="14"/>
  <c r="X239" i="14" s="1"/>
  <c r="X108" i="14"/>
  <c r="X23" i="14" s="1"/>
  <c r="X25" i="14" s="1"/>
  <c r="X28" i="14" s="1"/>
  <c r="X26" i="14" s="1"/>
  <c r="T13" i="14"/>
  <c r="Z73" i="14"/>
  <c r="AH60" i="13"/>
  <c r="AM49" i="13"/>
  <c r="AL49" i="13"/>
  <c r="K126" i="12"/>
  <c r="AA276" i="14"/>
  <c r="AC276" i="14" s="1"/>
  <c r="AU98" i="13"/>
  <c r="P240" i="14"/>
  <c r="E100" i="12"/>
  <c r="E84" i="12"/>
  <c r="AF121" i="12"/>
  <c r="AH121" i="12"/>
  <c r="AG121" i="12"/>
  <c r="AO66" i="12"/>
  <c r="AN66" i="12"/>
  <c r="C100" i="12"/>
  <c r="C84" i="12"/>
  <c r="AL99" i="12"/>
  <c r="AH39" i="11"/>
  <c r="AI39" i="11" s="1"/>
  <c r="AJ39" i="11"/>
  <c r="Y83" i="11"/>
  <c r="AL50" i="12"/>
  <c r="AL54" i="11"/>
  <c r="AJ54" i="11"/>
  <c r="AI54" i="11"/>
  <c r="AK54" i="11" s="1"/>
  <c r="AK36" i="11"/>
  <c r="AK50" i="11"/>
  <c r="AJ50" i="11"/>
  <c r="AL50" i="11" s="1"/>
  <c r="AJ80" i="11"/>
  <c r="AJ48" i="11"/>
  <c r="AJ64" i="11"/>
  <c r="AJ16" i="11"/>
  <c r="AJ111" i="11"/>
  <c r="AJ96" i="11"/>
  <c r="AJ32" i="11"/>
  <c r="Y80" i="7"/>
  <c r="AL34" i="11"/>
  <c r="AG45" i="11"/>
  <c r="AF267" i="3"/>
  <c r="AE243" i="3"/>
  <c r="Z179" i="14"/>
  <c r="CV75" i="3"/>
  <c r="S44" i="3"/>
  <c r="S4" i="3" s="1"/>
  <c r="S6" i="3" s="1"/>
  <c r="S9" i="3" s="1"/>
  <c r="S7" i="3" s="1"/>
  <c r="CQ32" i="3"/>
  <c r="CQ44" i="3" s="1"/>
  <c r="AI50" i="3"/>
  <c r="F80" i="3"/>
  <c r="F92" i="3" s="1"/>
  <c r="F44" i="3"/>
  <c r="F4" i="3" s="1"/>
  <c r="F6" i="3" s="1"/>
  <c r="F9" i="3" s="1"/>
  <c r="F7" i="3" s="1"/>
  <c r="CD32" i="3"/>
  <c r="CD44" i="3" s="1"/>
  <c r="AE283" i="3"/>
  <c r="CB44" i="3"/>
  <c r="E21" i="1"/>
  <c r="E32" i="1" s="1"/>
  <c r="E3" i="1" s="1"/>
  <c r="E37" i="1"/>
  <c r="E48" i="1" s="1"/>
  <c r="E11" i="1" s="1"/>
  <c r="E64" i="1"/>
  <c r="E12" i="1" s="1"/>
  <c r="E4" i="1" s="1"/>
  <c r="Y193" i="3"/>
  <c r="Y44" i="3"/>
  <c r="Y4" i="3" s="1"/>
  <c r="Y6" i="3" s="1"/>
  <c r="Y9" i="3" s="1"/>
  <c r="Y7" i="3" s="1"/>
  <c r="BY66" i="3"/>
  <c r="CW32" i="3"/>
  <c r="CW44" i="3" s="1"/>
  <c r="AH65" i="3"/>
  <c r="F6" i="1"/>
  <c r="F7" i="1" s="1"/>
  <c r="F13" i="1"/>
  <c r="I96" i="1"/>
  <c r="I37" i="1"/>
  <c r="I48" i="1" s="1"/>
  <c r="I11" i="1" s="1"/>
  <c r="I69" i="1"/>
  <c r="AG308" i="3"/>
  <c r="AG340" i="3" s="1"/>
  <c r="CU34" i="3"/>
  <c r="CU44" i="3" s="1"/>
  <c r="W82" i="3"/>
  <c r="W92" i="3" s="1"/>
  <c r="BW68" i="3"/>
  <c r="AJ54" i="13"/>
  <c r="AI54" i="13"/>
  <c r="AK54" i="13"/>
  <c r="AN59" i="13"/>
  <c r="AN58" i="13"/>
  <c r="AA272" i="14"/>
  <c r="AC272" i="14" s="1"/>
  <c r="AC208" i="14" s="1"/>
  <c r="Z82" i="13"/>
  <c r="C82" i="13"/>
  <c r="AD82" i="12"/>
  <c r="AD127" i="12" s="1"/>
  <c r="J101" i="12"/>
  <c r="AF122" i="12"/>
  <c r="C83" i="12"/>
  <c r="V82" i="13"/>
  <c r="AC145" i="7"/>
  <c r="AI101" i="7"/>
  <c r="AI145" i="7" s="1"/>
  <c r="L51" i="9"/>
  <c r="E82" i="11"/>
  <c r="AJ14" i="7"/>
  <c r="AC14" i="7"/>
  <c r="AI14" i="7" s="1"/>
  <c r="AE307" i="3"/>
  <c r="AG242" i="3"/>
  <c r="AF249" i="3"/>
  <c r="Z162" i="14"/>
  <c r="AF252" i="3"/>
  <c r="BW124" i="3"/>
  <c r="BV124" i="3"/>
  <c r="AG20" i="12"/>
  <c r="AG84" i="12" s="1"/>
  <c r="AG129" i="12" s="1"/>
  <c r="AC246" i="3"/>
  <c r="AA237" i="3"/>
  <c r="AA11" i="3"/>
  <c r="Y284" i="3"/>
  <c r="N6" i="3"/>
  <c r="N9" i="3" s="1"/>
  <c r="N7" i="3" s="1"/>
  <c r="K148" i="2"/>
  <c r="K139" i="2"/>
  <c r="AI65" i="3"/>
  <c r="H148" i="2"/>
  <c r="H139" i="2"/>
  <c r="L133" i="2"/>
  <c r="G80" i="1"/>
  <c r="G5" i="1" s="1"/>
  <c r="G7" i="1" s="1"/>
  <c r="X82" i="3"/>
  <c r="CB80" i="3" s="1"/>
  <c r="CV34" i="3"/>
  <c r="CV44" i="3" s="1"/>
  <c r="X195" i="3"/>
  <c r="X205" i="3" s="1"/>
  <c r="X44" i="3"/>
  <c r="X4" i="3" s="1"/>
  <c r="X6" i="3" s="1"/>
  <c r="X9" i="3" s="1"/>
  <c r="X7" i="3" s="1"/>
  <c r="BX68" i="3"/>
  <c r="AF100" i="13"/>
  <c r="AM59" i="13"/>
  <c r="AL59" i="13"/>
  <c r="AJ59" i="13"/>
  <c r="D295" i="14"/>
  <c r="D291" i="14"/>
  <c r="D294" i="14"/>
  <c r="D290" i="14"/>
  <c r="D298" i="14"/>
  <c r="D293" i="14"/>
  <c r="D297" i="14"/>
  <c r="D287" i="14"/>
  <c r="D288" i="14"/>
  <c r="D292" i="14"/>
  <c r="D289" i="14"/>
  <c r="D296" i="14"/>
  <c r="AK36" i="13"/>
  <c r="AA281" i="14"/>
  <c r="AC281" i="14" s="1"/>
  <c r="R239" i="14"/>
  <c r="AF123" i="12"/>
  <c r="AU111" i="13"/>
  <c r="AU64" i="13"/>
  <c r="AU96" i="13"/>
  <c r="AU48" i="13"/>
  <c r="AU80" i="13"/>
  <c r="AU16" i="13"/>
  <c r="AU32" i="13"/>
  <c r="I83" i="12"/>
  <c r="AD126" i="12"/>
  <c r="W82" i="13"/>
  <c r="I98" i="11"/>
  <c r="I82" i="11" s="1"/>
  <c r="I81" i="11"/>
  <c r="AK96" i="13"/>
  <c r="AK111" i="13"/>
  <c r="AK32" i="13"/>
  <c r="AK80" i="13"/>
  <c r="AK48" i="13"/>
  <c r="AK16" i="13"/>
  <c r="AK64" i="13"/>
  <c r="AG22" i="3"/>
  <c r="AI90" i="7"/>
  <c r="AC134" i="7"/>
  <c r="AN75" i="13"/>
  <c r="AK52" i="12"/>
  <c r="AJ52" i="12"/>
  <c r="AI52" i="12"/>
  <c r="L62" i="9"/>
  <c r="AL51" i="11"/>
  <c r="AK51" i="11"/>
  <c r="AJ51" i="11"/>
  <c r="Y82" i="11"/>
  <c r="AJ25" i="7"/>
  <c r="AC25" i="7"/>
  <c r="AI25" i="7" s="1"/>
  <c r="AK44" i="12"/>
  <c r="S81" i="11"/>
  <c r="S82" i="11"/>
  <c r="AL38" i="11"/>
  <c r="AF242" i="3"/>
  <c r="AF244" i="3"/>
  <c r="AF307" i="3"/>
  <c r="AA225" i="3"/>
  <c r="AA241" i="3" s="1"/>
  <c r="AE11" i="3"/>
  <c r="BW118" i="3"/>
  <c r="AE230" i="3"/>
  <c r="BV118" i="3"/>
  <c r="AE284" i="3"/>
  <c r="G128" i="2"/>
  <c r="CJ32" i="3"/>
  <c r="CJ44" i="3" s="1"/>
  <c r="L44" i="3"/>
  <c r="L4" i="3" s="1"/>
  <c r="L6" i="3" s="1"/>
  <c r="L9" i="3" s="1"/>
  <c r="L7" i="3" s="1"/>
  <c r="L80" i="3"/>
  <c r="L92" i="3" s="1"/>
  <c r="D92" i="3"/>
  <c r="H80" i="1"/>
  <c r="H5" i="1" s="1"/>
  <c r="H7" i="1" s="1"/>
  <c r="BX34" i="3"/>
  <c r="AK40" i="3" l="1"/>
  <c r="AL40" i="3"/>
  <c r="AO40" i="3"/>
  <c r="AM40" i="3"/>
  <c r="AW40" i="3"/>
  <c r="AV40" i="3"/>
  <c r="AQ40" i="3"/>
  <c r="AT40" i="3"/>
  <c r="AT24" i="3" s="1"/>
  <c r="AS40" i="3"/>
  <c r="AS24" i="3" s="1"/>
  <c r="AU40" i="3"/>
  <c r="AU24" i="3" s="1"/>
  <c r="AJ200" i="3"/>
  <c r="CI75" i="3"/>
  <c r="CK75" i="3" s="1"/>
  <c r="CJ71" i="3"/>
  <c r="CJ73" i="3"/>
  <c r="CJ70" i="3"/>
  <c r="CL70" i="3" s="1"/>
  <c r="AA184" i="3"/>
  <c r="AA216" i="3" s="1"/>
  <c r="AJ199" i="3"/>
  <c r="AK226" i="3"/>
  <c r="Y340" i="3"/>
  <c r="AA180" i="3"/>
  <c r="AA212" i="3" s="1"/>
  <c r="AA185" i="3"/>
  <c r="AA217" i="3" s="1"/>
  <c r="AK195" i="3"/>
  <c r="AM195" i="3" s="1"/>
  <c r="AO195" i="3" s="1"/>
  <c r="X341" i="3"/>
  <c r="AJ226" i="3"/>
  <c r="CI71" i="3"/>
  <c r="CK71" i="3" s="1"/>
  <c r="AK229" i="3"/>
  <c r="Z178" i="3"/>
  <c r="Z210" i="3" s="1"/>
  <c r="Z180" i="3"/>
  <c r="Z212" i="3" s="1"/>
  <c r="AA188" i="3"/>
  <c r="AA220" i="3" s="1"/>
  <c r="AC346" i="3"/>
  <c r="CX66" i="3"/>
  <c r="X342" i="3"/>
  <c r="Z213" i="14"/>
  <c r="M26" i="14"/>
  <c r="AC278" i="14"/>
  <c r="AK245" i="3"/>
  <c r="AO54" i="12"/>
  <c r="AH250" i="3"/>
  <c r="AQ55" i="13"/>
  <c r="AE130" i="12"/>
  <c r="AH244" i="3"/>
  <c r="AK35" i="12"/>
  <c r="AH123" i="12"/>
  <c r="X285" i="3"/>
  <c r="X184" i="3"/>
  <c r="X216" i="3" s="1"/>
  <c r="X188" i="3"/>
  <c r="X220" i="3" s="1"/>
  <c r="X182" i="3"/>
  <c r="X214" i="3" s="1"/>
  <c r="X187" i="3"/>
  <c r="X219" i="3" s="1"/>
  <c r="AA164" i="7"/>
  <c r="AG120" i="7"/>
  <c r="AG164" i="7" s="1"/>
  <c r="AG121" i="7"/>
  <c r="AG165" i="7" s="1"/>
  <c r="AR75" i="12"/>
  <c r="AB129" i="12"/>
  <c r="U299" i="14"/>
  <c r="U39" i="14"/>
  <c r="AW41" i="3"/>
  <c r="AV41" i="3"/>
  <c r="AU41" i="3"/>
  <c r="AT41" i="3"/>
  <c r="AR41" i="3"/>
  <c r="AP41" i="3"/>
  <c r="AO41" i="3"/>
  <c r="AS41" i="3"/>
  <c r="AQ41" i="3"/>
  <c r="AN41" i="3"/>
  <c r="AJ41" i="3"/>
  <c r="AM41" i="3"/>
  <c r="AL41" i="3"/>
  <c r="AH41" i="3"/>
  <c r="AK41" i="3"/>
  <c r="AI41" i="3"/>
  <c r="AG41" i="3"/>
  <c r="AE179" i="3"/>
  <c r="AE211" i="3" s="1"/>
  <c r="AB112" i="14"/>
  <c r="AB160" i="14"/>
  <c r="AF102" i="12"/>
  <c r="AF86" i="12"/>
  <c r="AF131" i="12" s="1"/>
  <c r="AF85" i="12"/>
  <c r="Q179" i="14"/>
  <c r="Q163" i="14" s="1"/>
  <c r="AI282" i="3"/>
  <c r="AK196" i="3"/>
  <c r="AB276" i="14"/>
  <c r="Z282" i="14"/>
  <c r="AK103" i="13"/>
  <c r="AM54" i="13"/>
  <c r="AG38" i="3"/>
  <c r="AI113" i="12"/>
  <c r="AG143" i="12"/>
  <c r="AC73" i="14"/>
  <c r="AB73" i="14"/>
  <c r="T39" i="14"/>
  <c r="T299" i="14"/>
  <c r="AK101" i="12"/>
  <c r="AE251" i="3"/>
  <c r="AI58" i="3"/>
  <c r="AL58" i="3" s="1"/>
  <c r="AJ58" i="3"/>
  <c r="AK58" i="3"/>
  <c r="N49" i="9"/>
  <c r="AK55" i="3"/>
  <c r="AN55" i="3" s="1"/>
  <c r="AL55" i="3"/>
  <c r="AJ55" i="3"/>
  <c r="AI55" i="3"/>
  <c r="O179" i="14"/>
  <c r="L20" i="9"/>
  <c r="T179" i="14"/>
  <c r="T162" i="14"/>
  <c r="AJ43" i="13"/>
  <c r="R100" i="13"/>
  <c r="R84" i="13" s="1"/>
  <c r="R83" i="13"/>
  <c r="AB102" i="13"/>
  <c r="AB86" i="13"/>
  <c r="P83" i="12"/>
  <c r="P128" i="12" s="1"/>
  <c r="P99" i="12"/>
  <c r="P82" i="12"/>
  <c r="P127" i="12" s="1"/>
  <c r="H100" i="11"/>
  <c r="AP66" i="12"/>
  <c r="AR66" i="12" s="1"/>
  <c r="AA162" i="7"/>
  <c r="AG118" i="7"/>
  <c r="AG162" i="7" s="1"/>
  <c r="O162" i="14"/>
  <c r="AG140" i="12"/>
  <c r="AC242" i="14"/>
  <c r="AD341" i="3"/>
  <c r="AH246" i="3"/>
  <c r="AL102" i="13"/>
  <c r="AK39" i="11"/>
  <c r="AL39" i="11" s="1"/>
  <c r="B92" i="14"/>
  <c r="B12" i="14" s="1"/>
  <c r="B97" i="14"/>
  <c r="V179" i="14"/>
  <c r="V163" i="14" s="1"/>
  <c r="V162" i="14"/>
  <c r="E295" i="14"/>
  <c r="E291" i="14"/>
  <c r="E298" i="14"/>
  <c r="E287" i="14"/>
  <c r="E292" i="14"/>
  <c r="E293" i="14"/>
  <c r="E297" i="14"/>
  <c r="E289" i="14"/>
  <c r="E294" i="14"/>
  <c r="E288" i="14"/>
  <c r="E296" i="14"/>
  <c r="E290" i="14"/>
  <c r="U99" i="12"/>
  <c r="U83" i="12" s="1"/>
  <c r="CJ69" i="3"/>
  <c r="AO24" i="3"/>
  <c r="AO59" i="13"/>
  <c r="AR59" i="13" s="1"/>
  <c r="P100" i="11"/>
  <c r="N35" i="9"/>
  <c r="N19" i="9" s="1"/>
  <c r="L22" i="9"/>
  <c r="M38" i="9"/>
  <c r="O47" i="9"/>
  <c r="R83" i="12"/>
  <c r="R128" i="12" s="1"/>
  <c r="R99" i="12"/>
  <c r="AH34" i="3"/>
  <c r="AX34" i="3"/>
  <c r="AV34" i="3"/>
  <c r="AU34" i="3"/>
  <c r="AT34" i="3"/>
  <c r="AS34" i="3"/>
  <c r="AQ34" i="3"/>
  <c r="AW34" i="3"/>
  <c r="AO34" i="3"/>
  <c r="AR34" i="3"/>
  <c r="AP34" i="3"/>
  <c r="AN34" i="3"/>
  <c r="AM34" i="3"/>
  <c r="AL34" i="3"/>
  <c r="AK34" i="3"/>
  <c r="AJ34" i="3"/>
  <c r="AI34" i="3"/>
  <c r="AQ24" i="3"/>
  <c r="C101" i="12"/>
  <c r="AO65" i="13"/>
  <c r="AN65" i="13"/>
  <c r="AQ65" i="13" s="1"/>
  <c r="AH119" i="12"/>
  <c r="M133" i="2"/>
  <c r="AC6" i="7"/>
  <c r="AI6" i="7" s="1"/>
  <c r="AJ6" i="7"/>
  <c r="AQ75" i="13"/>
  <c r="AP75" i="13"/>
  <c r="AR75" i="13" s="1"/>
  <c r="AI243" i="3"/>
  <c r="U126" i="12"/>
  <c r="AL53" i="13"/>
  <c r="AL60" i="13" s="1"/>
  <c r="AJ60" i="13"/>
  <c r="G99" i="13"/>
  <c r="G83" i="13" s="1"/>
  <c r="G82" i="13"/>
  <c r="AE100" i="11"/>
  <c r="AE83" i="11"/>
  <c r="AA285" i="3"/>
  <c r="AA186" i="3"/>
  <c r="AA183" i="3"/>
  <c r="AA181" i="3"/>
  <c r="AA213" i="3" s="1"/>
  <c r="AA187" i="3"/>
  <c r="AA219" i="3" s="1"/>
  <c r="AA182" i="3"/>
  <c r="AA214" i="3" s="1"/>
  <c r="R82" i="12"/>
  <c r="R127" i="12" s="1"/>
  <c r="K151" i="2"/>
  <c r="K150" i="2"/>
  <c r="K152" i="2"/>
  <c r="K149" i="2"/>
  <c r="M153" i="2"/>
  <c r="AI38" i="13"/>
  <c r="AJ38" i="13"/>
  <c r="AK38" i="13" s="1"/>
  <c r="G101" i="12"/>
  <c r="N100" i="11"/>
  <c r="N84" i="11"/>
  <c r="AB85" i="13"/>
  <c r="AL115" i="12"/>
  <c r="I179" i="14"/>
  <c r="I163" i="14" s="1"/>
  <c r="H83" i="11"/>
  <c r="AN70" i="12"/>
  <c r="AM70" i="12"/>
  <c r="AR51" i="12"/>
  <c r="AT51" i="12" s="1"/>
  <c r="C23" i="1"/>
  <c r="C32" i="1" s="1"/>
  <c r="C3" i="1" s="1"/>
  <c r="C80" i="1"/>
  <c r="C5" i="1" s="1"/>
  <c r="AG161" i="7"/>
  <c r="H101" i="12"/>
  <c r="H84" i="12"/>
  <c r="Z214" i="14"/>
  <c r="Z230" i="14" s="1"/>
  <c r="Z311" i="14"/>
  <c r="AL38" i="3"/>
  <c r="AJ38" i="3"/>
  <c r="AI38" i="3"/>
  <c r="AH38" i="3"/>
  <c r="AW38" i="3"/>
  <c r="AU38" i="3"/>
  <c r="AS38" i="3"/>
  <c r="AR38" i="3"/>
  <c r="AQ38" i="3"/>
  <c r="AO38" i="3"/>
  <c r="AM38" i="3"/>
  <c r="AK38" i="3"/>
  <c r="AV38" i="3"/>
  <c r="AP38" i="3"/>
  <c r="AN38" i="3"/>
  <c r="AT38" i="3"/>
  <c r="AA75" i="14"/>
  <c r="AC64" i="14"/>
  <c r="AH117" i="12"/>
  <c r="AX101" i="12"/>
  <c r="AC224" i="14"/>
  <c r="AC240" i="14" s="1"/>
  <c r="E84" i="11"/>
  <c r="E100" i="11"/>
  <c r="M48" i="9"/>
  <c r="L41" i="9"/>
  <c r="L14" i="9"/>
  <c r="AM67" i="12"/>
  <c r="AC85" i="14"/>
  <c r="AC101" i="14" s="1"/>
  <c r="AC117" i="14" s="1"/>
  <c r="AA101" i="14"/>
  <c r="AA117" i="14" s="1"/>
  <c r="AD345" i="3"/>
  <c r="Z347" i="3"/>
  <c r="Z186" i="3" s="1"/>
  <c r="P47" i="9"/>
  <c r="Q47" i="9" s="1"/>
  <c r="AM60" i="12"/>
  <c r="AI252" i="3"/>
  <c r="K83" i="13"/>
  <c r="K99" i="13"/>
  <c r="AJ242" i="3"/>
  <c r="AF101" i="13"/>
  <c r="AF85" i="13" s="1"/>
  <c r="AG122" i="12"/>
  <c r="AL37" i="12"/>
  <c r="M290" i="14"/>
  <c r="M297" i="14"/>
  <c r="M293" i="14"/>
  <c r="M288" i="14"/>
  <c r="M295" i="14"/>
  <c r="M289" i="14"/>
  <c r="M287" i="14"/>
  <c r="M291" i="14"/>
  <c r="M294" i="14"/>
  <c r="M298" i="14"/>
  <c r="M296" i="14"/>
  <c r="M292" i="14"/>
  <c r="AI119" i="12"/>
  <c r="N106" i="2"/>
  <c r="N100" i="2"/>
  <c r="N111" i="2" s="1"/>
  <c r="N105" i="2"/>
  <c r="N110" i="2"/>
  <c r="N104" i="2"/>
  <c r="N109" i="2"/>
  <c r="N101" i="2"/>
  <c r="N103" i="2"/>
  <c r="N108" i="2"/>
  <c r="N107" i="2"/>
  <c r="N102" i="2"/>
  <c r="M69" i="9"/>
  <c r="N69" i="9"/>
  <c r="AJ282" i="3"/>
  <c r="AK198" i="3"/>
  <c r="AM198" i="3" s="1"/>
  <c r="AV39" i="3"/>
  <c r="AU39" i="3"/>
  <c r="AT39" i="3"/>
  <c r="AS39" i="3"/>
  <c r="AR39" i="3"/>
  <c r="AP39" i="3"/>
  <c r="AN39" i="3"/>
  <c r="AM39" i="3"/>
  <c r="AW39" i="3"/>
  <c r="AH39" i="3"/>
  <c r="AG39" i="3"/>
  <c r="AI39" i="3"/>
  <c r="AQ39" i="3"/>
  <c r="AO39" i="3"/>
  <c r="AJ39" i="3"/>
  <c r="AL39" i="3"/>
  <c r="AK39" i="3"/>
  <c r="W87" i="7"/>
  <c r="V131" i="7"/>
  <c r="AK40" i="13"/>
  <c r="AQ101" i="13"/>
  <c r="CI69" i="3"/>
  <c r="CL69" i="3" s="1"/>
  <c r="D101" i="12"/>
  <c r="AK242" i="3"/>
  <c r="X339" i="3"/>
  <c r="L57" i="9"/>
  <c r="N64" i="9"/>
  <c r="AJ53" i="3"/>
  <c r="AI53" i="3"/>
  <c r="X100" i="13"/>
  <c r="Z104" i="14"/>
  <c r="Z120" i="14" s="1"/>
  <c r="AC88" i="14"/>
  <c r="AC104" i="14" s="1"/>
  <c r="AC120" i="14" s="1"/>
  <c r="AB88" i="14"/>
  <c r="AB104" i="14" s="1"/>
  <c r="AB120" i="14" s="1"/>
  <c r="CI72" i="3"/>
  <c r="CK72" i="3" s="1"/>
  <c r="CJ72" i="3"/>
  <c r="AB152" i="14"/>
  <c r="AC152" i="14"/>
  <c r="AF241" i="3"/>
  <c r="AF253" i="3" s="1"/>
  <c r="AF237" i="3"/>
  <c r="AE281" i="3"/>
  <c r="AE205" i="3"/>
  <c r="AE181" i="3" s="1"/>
  <c r="AE213" i="3" s="1"/>
  <c r="AE290" i="3"/>
  <c r="AE306" i="3"/>
  <c r="AE318" i="3" s="1"/>
  <c r="AJ33" i="11"/>
  <c r="AJ45" i="11" s="1"/>
  <c r="AA282" i="14"/>
  <c r="AC271" i="14"/>
  <c r="AA207" i="14"/>
  <c r="AG24" i="3"/>
  <c r="AG23" i="3"/>
  <c r="AB92" i="3"/>
  <c r="AH80" i="3" s="1"/>
  <c r="AO55" i="13"/>
  <c r="AK48" i="3"/>
  <c r="AH59" i="3"/>
  <c r="AJ48" i="3"/>
  <c r="AM48" i="3" s="1"/>
  <c r="AH263" i="3"/>
  <c r="D99" i="13"/>
  <c r="E179" i="14"/>
  <c r="AA125" i="7"/>
  <c r="AN56" i="13"/>
  <c r="AE102" i="12"/>
  <c r="AM54" i="12"/>
  <c r="M66" i="9"/>
  <c r="N66" i="9"/>
  <c r="O66" i="9" s="1"/>
  <c r="P66" i="9" s="1"/>
  <c r="AK35" i="13"/>
  <c r="H298" i="14"/>
  <c r="H287" i="14"/>
  <c r="H294" i="14"/>
  <c r="H297" i="14"/>
  <c r="H293" i="14"/>
  <c r="H291" i="14"/>
  <c r="H292" i="14"/>
  <c r="H295" i="14"/>
  <c r="H289" i="14"/>
  <c r="H288" i="14"/>
  <c r="H296" i="14"/>
  <c r="H290" i="14"/>
  <c r="AQ51" i="12"/>
  <c r="AF84" i="13"/>
  <c r="AH122" i="12"/>
  <c r="AH142" i="12" s="1"/>
  <c r="AH120" i="12"/>
  <c r="M140" i="2"/>
  <c r="AJ60" i="11"/>
  <c r="CC80" i="3"/>
  <c r="CB81" i="3" s="1"/>
  <c r="M65" i="9"/>
  <c r="N65" i="9"/>
  <c r="Q65" i="9" s="1"/>
  <c r="O65" i="9"/>
  <c r="P65" i="9" s="1"/>
  <c r="N38" i="9"/>
  <c r="B226" i="14"/>
  <c r="B242" i="14" s="1"/>
  <c r="AI114" i="12"/>
  <c r="AJ114" i="12" s="1"/>
  <c r="AL67" i="13"/>
  <c r="K106" i="1"/>
  <c r="K74" i="1" s="1"/>
  <c r="K26" i="1" s="1"/>
  <c r="J74" i="1"/>
  <c r="J26" i="1" s="1"/>
  <c r="L106" i="1"/>
  <c r="M106" i="1"/>
  <c r="V88" i="7"/>
  <c r="AB6" i="14"/>
  <c r="AK72" i="13"/>
  <c r="AN72" i="13" s="1"/>
  <c r="AJ41" i="12"/>
  <c r="K127" i="2"/>
  <c r="L141" i="2"/>
  <c r="L102" i="1"/>
  <c r="M102" i="1" s="1"/>
  <c r="AT100" i="12"/>
  <c r="B103" i="13"/>
  <c r="B86" i="13"/>
  <c r="AO71" i="13"/>
  <c r="V101" i="13"/>
  <c r="V85" i="13" s="1"/>
  <c r="X83" i="13"/>
  <c r="AW100" i="13"/>
  <c r="AK68" i="3"/>
  <c r="AJ68" i="3"/>
  <c r="AM68" i="3" s="1"/>
  <c r="AI163" i="3"/>
  <c r="AK324" i="3"/>
  <c r="CZ44" i="3"/>
  <c r="BW44" i="3" s="1"/>
  <c r="BW32" i="3"/>
  <c r="BX32" i="3" s="1"/>
  <c r="N72" i="9"/>
  <c r="M72" i="9"/>
  <c r="BV44" i="3"/>
  <c r="AI72" i="3"/>
  <c r="AM72" i="3" s="1"/>
  <c r="AL72" i="3"/>
  <c r="AK72" i="3"/>
  <c r="AJ72" i="3"/>
  <c r="AC100" i="12"/>
  <c r="U99" i="13"/>
  <c r="AE182" i="3"/>
  <c r="AE214" i="3" s="1"/>
  <c r="B100" i="12"/>
  <c r="B84" i="12" s="1"/>
  <c r="B83" i="12"/>
  <c r="AJ116" i="12"/>
  <c r="AK116" i="12" s="1"/>
  <c r="AO59" i="12"/>
  <c r="AP59" i="12"/>
  <c r="C100" i="11"/>
  <c r="C84" i="11" s="1"/>
  <c r="I101" i="12"/>
  <c r="I85" i="12"/>
  <c r="X181" i="3"/>
  <c r="X213" i="3" s="1"/>
  <c r="R126" i="12"/>
  <c r="Z229" i="14"/>
  <c r="Z245" i="14" s="1"/>
  <c r="I21" i="1"/>
  <c r="I32" i="1" s="1"/>
  <c r="I3" i="1" s="1"/>
  <c r="I80" i="1"/>
  <c r="I5" i="1" s="1"/>
  <c r="AM73" i="12"/>
  <c r="AN73" i="12"/>
  <c r="AO73" i="12"/>
  <c r="AM74" i="12"/>
  <c r="AL74" i="12"/>
  <c r="Z302" i="3"/>
  <c r="L104" i="1"/>
  <c r="J72" i="1"/>
  <c r="J24" i="1" s="1"/>
  <c r="K104" i="1"/>
  <c r="K72" i="1" s="1"/>
  <c r="K24" i="1" s="1"/>
  <c r="AS100" i="13"/>
  <c r="AL72" i="13"/>
  <c r="AM67" i="13"/>
  <c r="AN54" i="12"/>
  <c r="J77" i="1"/>
  <c r="J29" i="1" s="1"/>
  <c r="K109" i="1"/>
  <c r="K77" i="1" s="1"/>
  <c r="K29" i="1" s="1"/>
  <c r="AH101" i="12"/>
  <c r="AN103" i="13"/>
  <c r="AI245" i="3"/>
  <c r="AS53" i="12"/>
  <c r="AJ228" i="3"/>
  <c r="AD244" i="3"/>
  <c r="AI228" i="3"/>
  <c r="AD237" i="3"/>
  <c r="AH171" i="3"/>
  <c r="AI332" i="3"/>
  <c r="AP99" i="12"/>
  <c r="L102" i="11"/>
  <c r="L86" i="11" s="1"/>
  <c r="L85" i="11"/>
  <c r="AA128" i="12"/>
  <c r="AD253" i="3"/>
  <c r="AG247" i="3"/>
  <c r="P299" i="14"/>
  <c r="P39" i="14"/>
  <c r="AG119" i="7"/>
  <c r="AG163" i="7" s="1"/>
  <c r="AA163" i="7"/>
  <c r="AS75" i="13"/>
  <c r="X102" i="12"/>
  <c r="X86" i="12" s="1"/>
  <c r="AA102" i="14"/>
  <c r="AA118" i="14" s="1"/>
  <c r="AC86" i="14"/>
  <c r="AC102" i="14" s="1"/>
  <c r="AC118" i="14" s="1"/>
  <c r="Y343" i="3"/>
  <c r="X85" i="12"/>
  <c r="X130" i="12" s="1"/>
  <c r="L151" i="2"/>
  <c r="L150" i="2"/>
  <c r="L120" i="2" s="1"/>
  <c r="L152" i="2"/>
  <c r="L127" i="2" s="1"/>
  <c r="L149" i="2"/>
  <c r="AE85" i="13"/>
  <c r="AE101" i="13"/>
  <c r="AE84" i="13"/>
  <c r="AJ36" i="3"/>
  <c r="AT35" i="3"/>
  <c r="AQ35" i="3"/>
  <c r="AP35" i="3"/>
  <c r="AO35" i="3"/>
  <c r="AN35" i="3"/>
  <c r="AL35" i="3"/>
  <c r="AU36" i="3"/>
  <c r="AI35" i="3"/>
  <c r="AW36" i="3"/>
  <c r="AT36" i="3"/>
  <c r="AX35" i="3"/>
  <c r="AR36" i="3"/>
  <c r="AV35" i="3"/>
  <c r="AQ36" i="3"/>
  <c r="AU35" i="3"/>
  <c r="AP36" i="3"/>
  <c r="AS35" i="3"/>
  <c r="AN36" i="3"/>
  <c r="AM35" i="3"/>
  <c r="AO36" i="3"/>
  <c r="AM36" i="3"/>
  <c r="AL36" i="3"/>
  <c r="AK36" i="3"/>
  <c r="AW35" i="3"/>
  <c r="AI36" i="3"/>
  <c r="AR35" i="3"/>
  <c r="AH36" i="3"/>
  <c r="AK35" i="3"/>
  <c r="AJ35" i="3"/>
  <c r="AH35" i="3"/>
  <c r="AS36" i="3"/>
  <c r="AV36" i="3"/>
  <c r="D100" i="11"/>
  <c r="AQ53" i="12"/>
  <c r="AG101" i="13"/>
  <c r="AI34" i="13"/>
  <c r="J13" i="1"/>
  <c r="J6" i="1"/>
  <c r="I6" i="1"/>
  <c r="I13" i="1"/>
  <c r="AI121" i="12"/>
  <c r="AI120" i="12"/>
  <c r="CK68" i="3"/>
  <c r="CJ68" i="3"/>
  <c r="AL49" i="11"/>
  <c r="AL44" i="12"/>
  <c r="AV37" i="3"/>
  <c r="AS37" i="3"/>
  <c r="AR37" i="3"/>
  <c r="AQ37" i="3"/>
  <c r="AP37" i="3"/>
  <c r="AN37" i="3"/>
  <c r="AK37" i="3"/>
  <c r="AW37" i="3"/>
  <c r="AT37" i="3"/>
  <c r="AO37" i="3"/>
  <c r="AM37" i="3"/>
  <c r="AJ37" i="3"/>
  <c r="AU37" i="3"/>
  <c r="AL37" i="3"/>
  <c r="AI37" i="3"/>
  <c r="AH37" i="3"/>
  <c r="L17" i="9"/>
  <c r="N33" i="9"/>
  <c r="J73" i="1"/>
  <c r="J25" i="1" s="1"/>
  <c r="K105" i="1"/>
  <c r="K73" i="1" s="1"/>
  <c r="K25" i="1" s="1"/>
  <c r="AE86" i="7"/>
  <c r="AE130" i="7" s="1"/>
  <c r="X86" i="7"/>
  <c r="X130" i="7" s="1"/>
  <c r="W130" i="7"/>
  <c r="AJ113" i="12"/>
  <c r="AP42" i="12"/>
  <c r="AM42" i="12"/>
  <c r="AN42" i="12"/>
  <c r="N52" i="9"/>
  <c r="O52" i="9"/>
  <c r="P52" i="9" s="1"/>
  <c r="AM72" i="13"/>
  <c r="AG284" i="3"/>
  <c r="AL202" i="3"/>
  <c r="AK202" i="3"/>
  <c r="AN202" i="3" s="1"/>
  <c r="Z188" i="3"/>
  <c r="Z220" i="3" s="1"/>
  <c r="AR33" i="3"/>
  <c r="AN33" i="3"/>
  <c r="AM33" i="3"/>
  <c r="AL33" i="3"/>
  <c r="AJ33" i="3"/>
  <c r="AK33" i="3"/>
  <c r="AH33" i="3"/>
  <c r="AS33" i="3"/>
  <c r="AQ33" i="3"/>
  <c r="AP33" i="3"/>
  <c r="AO33" i="3"/>
  <c r="AI33" i="3"/>
  <c r="AX33" i="3"/>
  <c r="AV33" i="3"/>
  <c r="AU33" i="3"/>
  <c r="AT33" i="3"/>
  <c r="AW33" i="3"/>
  <c r="AP51" i="13"/>
  <c r="B114" i="14"/>
  <c r="B162" i="14"/>
  <c r="AO42" i="12"/>
  <c r="N55" i="9"/>
  <c r="O55" i="9" s="1"/>
  <c r="AM71" i="13"/>
  <c r="AQ71" i="13" s="1"/>
  <c r="AJ76" i="12"/>
  <c r="AK73" i="11"/>
  <c r="AG250" i="3"/>
  <c r="AN52" i="12"/>
  <c r="AJ236" i="3"/>
  <c r="AL236" i="3" s="1"/>
  <c r="L18" i="9"/>
  <c r="M34" i="9"/>
  <c r="N34" i="9" s="1"/>
  <c r="Q162" i="14"/>
  <c r="AQ52" i="13"/>
  <c r="AO52" i="13"/>
  <c r="AH245" i="3"/>
  <c r="Y288" i="14"/>
  <c r="Y295" i="14"/>
  <c r="Y291" i="14"/>
  <c r="Y296" i="14"/>
  <c r="Y297" i="14"/>
  <c r="Y289" i="14"/>
  <c r="Y290" i="14"/>
  <c r="Y287" i="14"/>
  <c r="Y298" i="14"/>
  <c r="Y294" i="14"/>
  <c r="Y292" i="14"/>
  <c r="Y293" i="14"/>
  <c r="AI161" i="3"/>
  <c r="AJ322" i="3"/>
  <c r="AN49" i="13"/>
  <c r="AP49" i="13" s="1"/>
  <c r="Y83" i="13"/>
  <c r="Y99" i="13"/>
  <c r="V126" i="12"/>
  <c r="AL196" i="3"/>
  <c r="AP58" i="12"/>
  <c r="AS58" i="12" s="1"/>
  <c r="AQ58" i="12"/>
  <c r="AH248" i="3"/>
  <c r="AK232" i="3"/>
  <c r="L24" i="9"/>
  <c r="M40" i="9"/>
  <c r="AG81" i="12"/>
  <c r="AB101" i="12"/>
  <c r="AB85" i="12"/>
  <c r="AB130" i="12" s="1"/>
  <c r="AC17" i="7"/>
  <c r="AI17" i="7" s="1"/>
  <c r="AJ17" i="7"/>
  <c r="DE40" i="3"/>
  <c r="AQ57" i="13"/>
  <c r="AO57" i="13"/>
  <c r="AN57" i="13"/>
  <c r="AI60" i="13"/>
  <c r="AU101" i="12"/>
  <c r="AH235" i="3"/>
  <c r="AD101" i="12"/>
  <c r="AJ76" i="13"/>
  <c r="AL66" i="13"/>
  <c r="AB150" i="14"/>
  <c r="AC150" i="14"/>
  <c r="AG170" i="3"/>
  <c r="AG266" i="3" s="1"/>
  <c r="AH331" i="3"/>
  <c r="AI331" i="3"/>
  <c r="H180" i="14"/>
  <c r="H164" i="14" s="1"/>
  <c r="Z106" i="14"/>
  <c r="Z122" i="14" s="1"/>
  <c r="AC90" i="14"/>
  <c r="AC106" i="14" s="1"/>
  <c r="AC122" i="14" s="1"/>
  <c r="AB90" i="14"/>
  <c r="AB106" i="14" s="1"/>
  <c r="AB122" i="14" s="1"/>
  <c r="AP55" i="13"/>
  <c r="AB209" i="14"/>
  <c r="AB225" i="14" s="1"/>
  <c r="AB241" i="14" s="1"/>
  <c r="AB306" i="14"/>
  <c r="AH100" i="11"/>
  <c r="AB101" i="11"/>
  <c r="M51" i="9"/>
  <c r="N51" i="9"/>
  <c r="AH247" i="3"/>
  <c r="S101" i="13"/>
  <c r="AH249" i="3"/>
  <c r="N32" i="9"/>
  <c r="E162" i="14"/>
  <c r="AD99" i="13"/>
  <c r="M56" i="9"/>
  <c r="CI67" i="3"/>
  <c r="AI248" i="3"/>
  <c r="AI76" i="11"/>
  <c r="AN195" i="3"/>
  <c r="N70" i="9"/>
  <c r="M70" i="9"/>
  <c r="O70" i="9" s="1"/>
  <c r="M68" i="9"/>
  <c r="AD92" i="3"/>
  <c r="BV80" i="3"/>
  <c r="BV81" i="3" s="1"/>
  <c r="AG283" i="3"/>
  <c r="AH225" i="3"/>
  <c r="AJ225" i="3" s="1"/>
  <c r="M17" i="9"/>
  <c r="W85" i="13"/>
  <c r="W101" i="13"/>
  <c r="W84" i="13"/>
  <c r="J75" i="1"/>
  <c r="J27" i="1" s="1"/>
  <c r="K107" i="1"/>
  <c r="K75" i="1" s="1"/>
  <c r="K27" i="1" s="1"/>
  <c r="E99" i="13"/>
  <c r="E83" i="13" s="1"/>
  <c r="AL55" i="12"/>
  <c r="AN55" i="12" s="1"/>
  <c r="AK69" i="11"/>
  <c r="AK76" i="11" s="1"/>
  <c r="AJ16" i="7"/>
  <c r="AC16" i="7"/>
  <c r="AI16" i="7" s="1"/>
  <c r="AB223" i="14"/>
  <c r="AB239" i="14" s="1"/>
  <c r="AK43" i="11"/>
  <c r="AI249" i="3"/>
  <c r="AO49" i="13"/>
  <c r="AO75" i="12"/>
  <c r="AK60" i="12"/>
  <c r="AK69" i="12"/>
  <c r="AL69" i="12"/>
  <c r="AL76" i="12" s="1"/>
  <c r="AN69" i="12"/>
  <c r="AW99" i="12"/>
  <c r="AU99" i="13"/>
  <c r="AJ112" i="12"/>
  <c r="C179" i="14"/>
  <c r="C163" i="14" s="1"/>
  <c r="AJ99" i="12"/>
  <c r="AU50" i="13"/>
  <c r="AE178" i="3"/>
  <c r="AE210" i="3" s="1"/>
  <c r="AJ67" i="3"/>
  <c r="AK67" i="3"/>
  <c r="AH283" i="3"/>
  <c r="AX100" i="13"/>
  <c r="AC83" i="12"/>
  <c r="M32" i="9"/>
  <c r="M30" i="9"/>
  <c r="N30" i="9" s="1"/>
  <c r="AJ229" i="3"/>
  <c r="AB154" i="14"/>
  <c r="AC154" i="14"/>
  <c r="U82" i="13"/>
  <c r="X129" i="12"/>
  <c r="AL55" i="13"/>
  <c r="C96" i="14"/>
  <c r="C92" i="14"/>
  <c r="C12" i="14" s="1"/>
  <c r="Q100" i="11"/>
  <c r="Q83" i="11"/>
  <c r="AN52" i="13"/>
  <c r="X292" i="3"/>
  <c r="X308" i="3"/>
  <c r="X318" i="3" s="1"/>
  <c r="X281" i="3"/>
  <c r="O53" i="9"/>
  <c r="P53" i="9" s="1"/>
  <c r="M53" i="9"/>
  <c r="N53" i="9"/>
  <c r="AB280" i="14"/>
  <c r="AC280" i="14"/>
  <c r="J111" i="1"/>
  <c r="J79" i="1" s="1"/>
  <c r="J31" i="1" s="1"/>
  <c r="L101" i="1"/>
  <c r="K101" i="1"/>
  <c r="M101" i="1"/>
  <c r="J69" i="1"/>
  <c r="AJ203" i="3"/>
  <c r="AL36" i="13"/>
  <c r="L73" i="9"/>
  <c r="M62" i="9"/>
  <c r="N62" i="9" s="1"/>
  <c r="AM36" i="13"/>
  <c r="AJ65" i="3"/>
  <c r="AK65" i="3"/>
  <c r="AH75" i="3"/>
  <c r="AH77" i="3" a="1"/>
  <c r="AH77" i="3" s="1"/>
  <c r="Z177" i="3"/>
  <c r="AL198" i="3"/>
  <c r="S84" i="11"/>
  <c r="S100" i="11"/>
  <c r="AE250" i="3"/>
  <c r="AJ234" i="3"/>
  <c r="AI234" i="3"/>
  <c r="BX80" i="3"/>
  <c r="BX81" i="3" s="1"/>
  <c r="CI66" i="3"/>
  <c r="CW66" i="3"/>
  <c r="BW81" i="3"/>
  <c r="M31" i="9"/>
  <c r="N100" i="13"/>
  <c r="N84" i="13" s="1"/>
  <c r="AI199" i="3"/>
  <c r="AK199" i="3" s="1"/>
  <c r="AK41" i="13"/>
  <c r="AC4" i="14"/>
  <c r="AB14" i="14" s="1"/>
  <c r="AD5" i="14"/>
  <c r="AD4" i="14" s="1"/>
  <c r="AC14" i="14" s="1"/>
  <c r="R100" i="11"/>
  <c r="R84" i="11" s="1"/>
  <c r="R83" i="11"/>
  <c r="AJ232" i="3"/>
  <c r="AJ76" i="11"/>
  <c r="AM194" i="3"/>
  <c r="AJ43" i="12"/>
  <c r="AL43" i="11"/>
  <c r="AG141" i="12"/>
  <c r="AL72" i="11"/>
  <c r="AB179" i="14"/>
  <c r="AG248" i="3"/>
  <c r="AL72" i="12"/>
  <c r="AK72" i="12"/>
  <c r="AM73" i="13"/>
  <c r="AP73" i="13" s="1"/>
  <c r="AT99" i="13"/>
  <c r="AO50" i="12"/>
  <c r="AH252" i="3"/>
  <c r="Y281" i="3"/>
  <c r="Y205" i="3"/>
  <c r="Y179" i="3" s="1"/>
  <c r="Y211" i="3" s="1"/>
  <c r="Y306" i="3"/>
  <c r="Y318" i="3" s="1"/>
  <c r="Y290" i="3"/>
  <c r="F101" i="12"/>
  <c r="AL58" i="11"/>
  <c r="AK58" i="11"/>
  <c r="AJ71" i="3"/>
  <c r="AI71" i="3"/>
  <c r="S5" i="6"/>
  <c r="A6" i="6"/>
  <c r="AB113" i="14"/>
  <c r="AB161" i="14"/>
  <c r="V99" i="12"/>
  <c r="AK51" i="3"/>
  <c r="AN51" i="3" s="1"/>
  <c r="AL51" i="3"/>
  <c r="AJ51" i="3"/>
  <c r="L19" i="9"/>
  <c r="AP42" i="3"/>
  <c r="AN42" i="3"/>
  <c r="AM42" i="3"/>
  <c r="AL42" i="3"/>
  <c r="AK42" i="3"/>
  <c r="AJ42" i="3"/>
  <c r="AH42" i="3"/>
  <c r="AW42" i="3"/>
  <c r="AV42" i="3"/>
  <c r="AU42" i="3"/>
  <c r="AS42" i="3"/>
  <c r="AQ42" i="3"/>
  <c r="AI42" i="3"/>
  <c r="AR42" i="3"/>
  <c r="AG42" i="3"/>
  <c r="AT42" i="3"/>
  <c r="AO42" i="3"/>
  <c r="AL100" i="12"/>
  <c r="AB84" i="11"/>
  <c r="M50" i="9"/>
  <c r="AI60" i="12"/>
  <c r="AM52" i="12"/>
  <c r="AN55" i="13"/>
  <c r="Z180" i="14"/>
  <c r="Z163" i="14"/>
  <c r="M132" i="2"/>
  <c r="AC92" i="3"/>
  <c r="AI80" i="3"/>
  <c r="AK197" i="3"/>
  <c r="AI34" i="12"/>
  <c r="AN75" i="12"/>
  <c r="N83" i="13"/>
  <c r="AN50" i="12"/>
  <c r="AO65" i="12"/>
  <c r="J103" i="13"/>
  <c r="AK36" i="12"/>
  <c r="AH118" i="12"/>
  <c r="AJ40" i="12"/>
  <c r="AB162" i="14"/>
  <c r="AR24" i="3"/>
  <c r="AC279" i="14"/>
  <c r="AP75" i="12"/>
  <c r="M141" i="2"/>
  <c r="L135" i="2"/>
  <c r="L136" i="2" s="1"/>
  <c r="AN73" i="13"/>
  <c r="AJ204" i="3"/>
  <c r="AL76" i="11"/>
  <c r="Z103" i="14"/>
  <c r="AB87" i="14"/>
  <c r="AB103" i="14" s="1"/>
  <c r="AB119" i="14" s="1"/>
  <c r="Z91" i="14"/>
  <c r="Z107" i="14" s="1"/>
  <c r="Z123" i="14" s="1"/>
  <c r="AC87" i="14"/>
  <c r="AC103" i="14" s="1"/>
  <c r="AC119" i="14" s="1"/>
  <c r="D179" i="14"/>
  <c r="D163" i="14" s="1"/>
  <c r="AC179" i="14"/>
  <c r="AI201" i="3"/>
  <c r="AJ201" i="3"/>
  <c r="T93" i="14"/>
  <c r="T15" i="14"/>
  <c r="AK57" i="12"/>
  <c r="AL57" i="12"/>
  <c r="AM57" i="12"/>
  <c r="E83" i="11"/>
  <c r="B223" i="14"/>
  <c r="B239" i="14" s="1"/>
  <c r="AL54" i="13"/>
  <c r="AD100" i="11"/>
  <c r="AD83" i="11"/>
  <c r="K130" i="12"/>
  <c r="W179" i="14"/>
  <c r="W163" i="14"/>
  <c r="F99" i="11"/>
  <c r="F83" i="11" s="1"/>
  <c r="F82" i="11"/>
  <c r="U93" i="14"/>
  <c r="U15" i="14"/>
  <c r="AG123" i="12"/>
  <c r="Z101" i="12"/>
  <c r="Z85" i="12"/>
  <c r="Z130" i="12" s="1"/>
  <c r="AZ102" i="12"/>
  <c r="AL70" i="12"/>
  <c r="I99" i="11"/>
  <c r="I83" i="11" s="1"/>
  <c r="AL197" i="3"/>
  <c r="AK203" i="3"/>
  <c r="AL194" i="3"/>
  <c r="AN194" i="3" s="1"/>
  <c r="L15" i="9"/>
  <c r="AE237" i="3"/>
  <c r="AK200" i="3"/>
  <c r="AJ5" i="7"/>
  <c r="AC5" i="7"/>
  <c r="AI5" i="7" s="1"/>
  <c r="Q86" i="13"/>
  <c r="Q102" i="13"/>
  <c r="Q85" i="13"/>
  <c r="T100" i="11"/>
  <c r="T84" i="11" s="1"/>
  <c r="J102" i="12"/>
  <c r="J86" i="12" s="1"/>
  <c r="J131" i="12" s="1"/>
  <c r="J85" i="12"/>
  <c r="M63" i="9"/>
  <c r="AE246" i="3"/>
  <c r="AE253" i="3" s="1"/>
  <c r="AG230" i="3"/>
  <c r="AL52" i="12"/>
  <c r="AP52" i="12" s="1"/>
  <c r="E85" i="12"/>
  <c r="E101" i="12"/>
  <c r="Z285" i="3"/>
  <c r="Z181" i="3"/>
  <c r="Z213" i="3" s="1"/>
  <c r="Z184" i="3"/>
  <c r="Z216" i="3" s="1"/>
  <c r="Z182" i="3"/>
  <c r="Z214" i="3" s="1"/>
  <c r="M111" i="2"/>
  <c r="AC281" i="3"/>
  <c r="AC205" i="3"/>
  <c r="AC178" i="3" s="1"/>
  <c r="AC210" i="3" s="1"/>
  <c r="AH193" i="3"/>
  <c r="AJ193" i="3" s="1"/>
  <c r="AC306" i="3"/>
  <c r="AC318" i="3" s="1"/>
  <c r="AC290" i="3"/>
  <c r="AJ34" i="12"/>
  <c r="O32" i="9"/>
  <c r="M36" i="9"/>
  <c r="AC348" i="3"/>
  <c r="AC187" i="3" s="1"/>
  <c r="AC219" i="3" s="1"/>
  <c r="AV101" i="13"/>
  <c r="AI60" i="11"/>
  <c r="AL53" i="11"/>
  <c r="AK53" i="11"/>
  <c r="AK60" i="11" s="1"/>
  <c r="AI204" i="3"/>
  <c r="AI284" i="3" s="1"/>
  <c r="CJ67" i="3"/>
  <c r="AN71" i="13"/>
  <c r="V93" i="14"/>
  <c r="V15" i="14"/>
  <c r="AL70" i="13"/>
  <c r="AI242" i="3"/>
  <c r="AL226" i="3"/>
  <c r="AM68" i="13"/>
  <c r="AL68" i="13"/>
  <c r="C83" i="11"/>
  <c r="AF141" i="12"/>
  <c r="AI118" i="12"/>
  <c r="AH45" i="13"/>
  <c r="AI33" i="13"/>
  <c r="AJ33" i="13"/>
  <c r="AK33" i="13"/>
  <c r="AC211" i="14"/>
  <c r="AC308" i="14"/>
  <c r="DF40" i="3"/>
  <c r="AH24" i="3"/>
  <c r="AM56" i="13"/>
  <c r="AM60" i="13" s="1"/>
  <c r="J181" i="14"/>
  <c r="AJ324" i="3"/>
  <c r="AG235" i="3"/>
  <c r="AA112" i="14"/>
  <c r="AA160" i="14"/>
  <c r="K20" i="1"/>
  <c r="AK101" i="11"/>
  <c r="J294" i="14"/>
  <c r="J290" i="14"/>
  <c r="J293" i="14"/>
  <c r="J289" i="14"/>
  <c r="J298" i="14"/>
  <c r="J291" i="14"/>
  <c r="J292" i="14"/>
  <c r="J297" i="14"/>
  <c r="J295" i="14"/>
  <c r="J287" i="14"/>
  <c r="J288" i="14"/>
  <c r="J296" i="14"/>
  <c r="AJ165" i="3"/>
  <c r="L179" i="14"/>
  <c r="L163" i="14" s="1"/>
  <c r="CK74" i="3"/>
  <c r="CH66" i="3"/>
  <c r="CK66" i="3" s="1"/>
  <c r="CY66" i="3"/>
  <c r="DA66" i="3"/>
  <c r="AW43" i="3"/>
  <c r="AV43" i="3"/>
  <c r="AT43" i="3"/>
  <c r="AR43" i="3"/>
  <c r="AQ43" i="3"/>
  <c r="AS43" i="3"/>
  <c r="AO43" i="3"/>
  <c r="AM43" i="3"/>
  <c r="AL43" i="3"/>
  <c r="AK43" i="3"/>
  <c r="AJ43" i="3"/>
  <c r="AI43" i="3"/>
  <c r="AH43" i="3"/>
  <c r="AG43" i="3"/>
  <c r="AN43" i="3"/>
  <c r="AP43" i="3"/>
  <c r="AU43" i="3"/>
  <c r="M134" i="2"/>
  <c r="AJ66" i="3"/>
  <c r="AM66" i="3"/>
  <c r="AK66" i="3"/>
  <c r="CJ74" i="3"/>
  <c r="BY81" i="3"/>
  <c r="AG281" i="3"/>
  <c r="AG205" i="3"/>
  <c r="AG179" i="3" s="1"/>
  <c r="AG211" i="3" s="1"/>
  <c r="AG290" i="3"/>
  <c r="AG306" i="3"/>
  <c r="AH102" i="13"/>
  <c r="AO53" i="13"/>
  <c r="AI101" i="11"/>
  <c r="AI165" i="3"/>
  <c r="AS99" i="12"/>
  <c r="X299" i="14"/>
  <c r="X39" i="14"/>
  <c r="U26" i="14"/>
  <c r="AB224" i="14"/>
  <c r="AB240" i="14" s="1"/>
  <c r="W299" i="14"/>
  <c r="W39" i="14"/>
  <c r="P126" i="12"/>
  <c r="AR59" i="12"/>
  <c r="L68" i="1"/>
  <c r="AI45" i="12"/>
  <c r="L162" i="14"/>
  <c r="AJ33" i="12"/>
  <c r="AB205" i="3"/>
  <c r="AB188" i="3" s="1"/>
  <c r="AB220" i="3" s="1"/>
  <c r="AB281" i="3"/>
  <c r="AB306" i="3"/>
  <c r="AB318" i="3" s="1"/>
  <c r="AB290" i="3"/>
  <c r="AK92" i="3"/>
  <c r="AK9" i="3"/>
  <c r="AL7" i="3"/>
  <c r="AG252" i="3"/>
  <c r="B232" i="14"/>
  <c r="B248" i="14" s="1"/>
  <c r="AF6" i="3"/>
  <c r="AF9" i="3" s="1"/>
  <c r="AF7" i="3" s="1"/>
  <c r="AF92" i="3" s="1"/>
  <c r="AC101" i="13"/>
  <c r="AC85" i="13" s="1"/>
  <c r="AA318" i="3"/>
  <c r="W99" i="11"/>
  <c r="AY100" i="12"/>
  <c r="S289" i="14"/>
  <c r="S296" i="14"/>
  <c r="S292" i="14"/>
  <c r="S293" i="14"/>
  <c r="S294" i="14"/>
  <c r="S287" i="14"/>
  <c r="S295" i="14"/>
  <c r="S288" i="14"/>
  <c r="S298" i="14"/>
  <c r="S291" i="14"/>
  <c r="S290" i="14"/>
  <c r="S297" i="14"/>
  <c r="AK326" i="3"/>
  <c r="AI74" i="3"/>
  <c r="AM74" i="3" s="1"/>
  <c r="AJ74" i="3"/>
  <c r="AK74" i="3"/>
  <c r="AL74" i="3"/>
  <c r="M85" i="11"/>
  <c r="M101" i="11"/>
  <c r="V101" i="11"/>
  <c r="AI56" i="3"/>
  <c r="AJ56" i="3"/>
  <c r="AL56" i="3"/>
  <c r="AK236" i="3"/>
  <c r="DK40" i="3"/>
  <c r="AM24" i="3"/>
  <c r="AC237" i="3"/>
  <c r="AC241" i="3"/>
  <c r="AC253" i="3" s="1"/>
  <c r="AI225" i="3"/>
  <c r="AQ59" i="12"/>
  <c r="AT59" i="12" s="1"/>
  <c r="AN99" i="12"/>
  <c r="AC96" i="14"/>
  <c r="AR100" i="13"/>
  <c r="AA302" i="3"/>
  <c r="AA338" i="3"/>
  <c r="AV100" i="12"/>
  <c r="AA208" i="14"/>
  <c r="AA224" i="14" s="1"/>
  <c r="AA240" i="14" s="1"/>
  <c r="AA305" i="14"/>
  <c r="O100" i="12"/>
  <c r="AL326" i="3"/>
  <c r="AJ73" i="3"/>
  <c r="AI73" i="3"/>
  <c r="AK73" i="3"/>
  <c r="AG100" i="11"/>
  <c r="CJ77" i="3"/>
  <c r="R289" i="14"/>
  <c r="R296" i="14"/>
  <c r="R288" i="14"/>
  <c r="R295" i="14"/>
  <c r="R293" i="14"/>
  <c r="R294" i="14"/>
  <c r="R287" i="14"/>
  <c r="R291" i="14"/>
  <c r="R290" i="14"/>
  <c r="R297" i="14"/>
  <c r="R292" i="14"/>
  <c r="R298" i="14"/>
  <c r="AJ100" i="11"/>
  <c r="AN72" i="3"/>
  <c r="T101" i="13"/>
  <c r="T85" i="13" s="1"/>
  <c r="AP24" i="3"/>
  <c r="AK60" i="13"/>
  <c r="AA102" i="11"/>
  <c r="AA86" i="11" s="1"/>
  <c r="N180" i="14"/>
  <c r="H99" i="13"/>
  <c r="AC100" i="11"/>
  <c r="AC84" i="11" s="1"/>
  <c r="AC161" i="14"/>
  <c r="AA93" i="14"/>
  <c r="AO49" i="12"/>
  <c r="AJ60" i="12"/>
  <c r="AO99" i="12"/>
  <c r="CV66" i="3"/>
  <c r="AF142" i="12"/>
  <c r="Y82" i="7"/>
  <c r="M84" i="13"/>
  <c r="M100" i="13"/>
  <c r="AY100" i="13"/>
  <c r="M71" i="9"/>
  <c r="O71" i="9" s="1"/>
  <c r="N71" i="9"/>
  <c r="AL100" i="11"/>
  <c r="AK42" i="11"/>
  <c r="AL42" i="11"/>
  <c r="AL52" i="3"/>
  <c r="AJ52" i="3"/>
  <c r="AK52" i="3"/>
  <c r="Z185" i="3"/>
  <c r="Z217" i="3" s="1"/>
  <c r="AJ102" i="13"/>
  <c r="T99" i="12"/>
  <c r="T83" i="12"/>
  <c r="T128" i="12" s="1"/>
  <c r="AA99" i="14"/>
  <c r="AA115" i="14" s="1"/>
  <c r="AC83" i="14"/>
  <c r="AC99" i="14" s="1"/>
  <c r="AC115" i="14" s="1"/>
  <c r="AJ70" i="3"/>
  <c r="AI70" i="3"/>
  <c r="AL70" i="3" s="1"/>
  <c r="G179" i="14"/>
  <c r="G163" i="14"/>
  <c r="DG40" i="3"/>
  <c r="AI24" i="3"/>
  <c r="AQ50" i="13"/>
  <c r="C101" i="13"/>
  <c r="Z100" i="13"/>
  <c r="Z84" i="13" s="1"/>
  <c r="AL49" i="12"/>
  <c r="AN49" i="12" s="1"/>
  <c r="B99" i="11"/>
  <c r="B83" i="11" s="1"/>
  <c r="CJ76" i="3"/>
  <c r="CJ75" i="3"/>
  <c r="L21" i="9"/>
  <c r="Y186" i="3"/>
  <c r="AF281" i="3"/>
  <c r="AF205" i="3"/>
  <c r="AF178" i="3" s="1"/>
  <c r="AF210" i="3" s="1"/>
  <c r="AF290" i="3"/>
  <c r="AF306" i="3"/>
  <c r="AF318" i="3" s="1"/>
  <c r="AI102" i="13"/>
  <c r="AH282" i="3"/>
  <c r="AM196" i="3"/>
  <c r="AO58" i="13"/>
  <c r="AP58" i="13"/>
  <c r="CK77" i="3"/>
  <c r="W126" i="12"/>
  <c r="T126" i="12"/>
  <c r="AG77" i="3" a="1"/>
  <c r="AG77" i="3" s="1"/>
  <c r="AI69" i="3"/>
  <c r="AJ69" i="3"/>
  <c r="S126" i="12"/>
  <c r="N297" i="14"/>
  <c r="N293" i="14"/>
  <c r="N296" i="14"/>
  <c r="N292" i="14"/>
  <c r="N294" i="14"/>
  <c r="N289" i="14"/>
  <c r="N287" i="14"/>
  <c r="N291" i="14"/>
  <c r="N298" i="14"/>
  <c r="N288" i="14"/>
  <c r="N295" i="14"/>
  <c r="N290" i="14"/>
  <c r="U85" i="11"/>
  <c r="U101" i="11"/>
  <c r="AA101" i="13"/>
  <c r="AA85" i="13" s="1"/>
  <c r="AR99" i="12"/>
  <c r="B243" i="14"/>
  <c r="DH40" i="3"/>
  <c r="AJ24" i="3"/>
  <c r="AR50" i="13"/>
  <c r="AC151" i="14"/>
  <c r="AC155" i="14" s="1"/>
  <c r="AN68" i="12"/>
  <c r="AO68" i="12"/>
  <c r="M103" i="1"/>
  <c r="Z344" i="3"/>
  <c r="Z183" i="3" s="1"/>
  <c r="C84" i="13"/>
  <c r="AK39" i="12"/>
  <c r="Z83" i="13"/>
  <c r="AK70" i="13"/>
  <c r="CI70" i="3"/>
  <c r="W83" i="12"/>
  <c r="W128" i="12" s="1"/>
  <c r="W99" i="12"/>
  <c r="AH162" i="3"/>
  <c r="AI323" i="3"/>
  <c r="S99" i="12"/>
  <c r="AF99" i="11"/>
  <c r="AL37" i="13"/>
  <c r="AA84" i="13"/>
  <c r="Z105" i="14"/>
  <c r="Z121" i="14" s="1"/>
  <c r="AC89" i="14"/>
  <c r="AC105" i="14" s="1"/>
  <c r="AC121" i="14" s="1"/>
  <c r="AB89" i="14"/>
  <c r="AB105" i="14" s="1"/>
  <c r="AB121" i="14" s="1"/>
  <c r="AK24" i="3"/>
  <c r="DI40" i="3"/>
  <c r="AP50" i="13"/>
  <c r="AB70" i="14"/>
  <c r="AC70" i="14"/>
  <c r="Z75" i="14"/>
  <c r="M99" i="12"/>
  <c r="M83" i="12" s="1"/>
  <c r="L99" i="13"/>
  <c r="M162" i="14"/>
  <c r="M178" i="14"/>
  <c r="O297" i="14"/>
  <c r="O293" i="14"/>
  <c r="O289" i="14"/>
  <c r="O294" i="14"/>
  <c r="O295" i="14"/>
  <c r="O287" i="14"/>
  <c r="O296" i="14"/>
  <c r="O291" i="14"/>
  <c r="O292" i="14"/>
  <c r="O298" i="14"/>
  <c r="O288" i="14"/>
  <c r="O290" i="14"/>
  <c r="Y102" i="12"/>
  <c r="Y86" i="12"/>
  <c r="Y131" i="12" s="1"/>
  <c r="R181" i="14"/>
  <c r="AO103" i="13"/>
  <c r="AL200" i="3"/>
  <c r="AH325" i="3"/>
  <c r="AG333" i="3"/>
  <c r="AG172" i="3" s="1"/>
  <c r="F179" i="14"/>
  <c r="F163" i="14"/>
  <c r="Q293" i="14"/>
  <c r="Q289" i="14"/>
  <c r="Q296" i="14"/>
  <c r="Q294" i="14"/>
  <c r="Q295" i="14"/>
  <c r="Q287" i="14"/>
  <c r="Q288" i="14"/>
  <c r="Q297" i="14"/>
  <c r="Q291" i="14"/>
  <c r="Q292" i="14"/>
  <c r="Q298" i="14"/>
  <c r="Q290" i="14"/>
  <c r="Z179" i="3"/>
  <c r="Z211" i="3" s="1"/>
  <c r="AD346" i="3"/>
  <c r="K178" i="14"/>
  <c r="K162" i="14" s="1"/>
  <c r="AW24" i="3"/>
  <c r="DJ40" i="3"/>
  <c r="AL24" i="3"/>
  <c r="AJ44" i="13"/>
  <c r="AS50" i="13"/>
  <c r="X101" i="11"/>
  <c r="AB149" i="14"/>
  <c r="Z155" i="14"/>
  <c r="AI327" i="3"/>
  <c r="AM64" i="3"/>
  <c r="Y85" i="12"/>
  <c r="AN71" i="12"/>
  <c r="AB71" i="14"/>
  <c r="AC71" i="14"/>
  <c r="AP53" i="12"/>
  <c r="AR53" i="12" s="1"/>
  <c r="X346" i="3"/>
  <c r="X185" i="3" s="1"/>
  <c r="X217" i="3" s="1"/>
  <c r="AO54" i="13"/>
  <c r="AD281" i="3"/>
  <c r="AD205" i="3"/>
  <c r="AD188" i="3" s="1"/>
  <c r="AD220" i="3" s="1"/>
  <c r="AI193" i="3"/>
  <c r="AD306" i="3"/>
  <c r="AD318" i="3" s="1"/>
  <c r="AD290" i="3"/>
  <c r="AK39" i="13"/>
  <c r="AH284" i="3"/>
  <c r="AG104" i="12"/>
  <c r="M37" i="9"/>
  <c r="N37" i="9" s="1"/>
  <c r="N21" i="9" s="1"/>
  <c r="AF180" i="3"/>
  <c r="AG249" i="3"/>
  <c r="AN65" i="12"/>
  <c r="Y180" i="14"/>
  <c r="AQ58" i="13"/>
  <c r="L26" i="14"/>
  <c r="AI76" i="13"/>
  <c r="AA179" i="14"/>
  <c r="Y183" i="3"/>
  <c r="AA86" i="12"/>
  <c r="AA131" i="12" s="1"/>
  <c r="AA102" i="12"/>
  <c r="AG168" i="3"/>
  <c r="AI329" i="3"/>
  <c r="AJ329" i="3" s="1"/>
  <c r="AH329" i="3"/>
  <c r="AM99" i="12"/>
  <c r="AM37" i="13"/>
  <c r="AK233" i="3"/>
  <c r="F162" i="14"/>
  <c r="AN24" i="3"/>
  <c r="AN50" i="13"/>
  <c r="X84" i="11"/>
  <c r="AC74" i="14"/>
  <c r="AB74" i="14"/>
  <c r="M126" i="12"/>
  <c r="N84" i="12"/>
  <c r="N100" i="12"/>
  <c r="AH227" i="3"/>
  <c r="AB243" i="3"/>
  <c r="F101" i="13"/>
  <c r="F85" i="13" s="1"/>
  <c r="F291" i="14"/>
  <c r="F298" i="14"/>
  <c r="F287" i="14"/>
  <c r="F290" i="14"/>
  <c r="F297" i="14"/>
  <c r="F292" i="14"/>
  <c r="F293" i="14"/>
  <c r="F294" i="14"/>
  <c r="F295" i="14"/>
  <c r="F289" i="14"/>
  <c r="F288" i="14"/>
  <c r="F296" i="14"/>
  <c r="AL64" i="3"/>
  <c r="U166" i="14"/>
  <c r="U182" i="14"/>
  <c r="B82" i="11"/>
  <c r="AA339" i="3"/>
  <c r="AA178" i="3" s="1"/>
  <c r="AA210" i="3" s="1"/>
  <c r="AK71" i="12"/>
  <c r="K102" i="12"/>
  <c r="AO69" i="13"/>
  <c r="AQ69" i="13" s="1"/>
  <c r="B241" i="14"/>
  <c r="AM102" i="13"/>
  <c r="AM49" i="3"/>
  <c r="AK49" i="3"/>
  <c r="AJ49" i="3"/>
  <c r="Y85" i="11"/>
  <c r="Y101" i="11"/>
  <c r="X180" i="3"/>
  <c r="X212" i="3" s="1"/>
  <c r="AO74" i="13"/>
  <c r="AH330" i="3"/>
  <c r="AG169" i="3"/>
  <c r="AI330" i="3"/>
  <c r="L299" i="14"/>
  <c r="L39" i="14"/>
  <c r="J78" i="1"/>
  <c r="J30" i="1" s="1"/>
  <c r="K110" i="1"/>
  <c r="K78" i="1" s="1"/>
  <c r="K30" i="1" s="1"/>
  <c r="L110" i="1"/>
  <c r="M110" i="1"/>
  <c r="AA98" i="14"/>
  <c r="AA108" i="14" s="1"/>
  <c r="AC82" i="14"/>
  <c r="AC98" i="14" s="1"/>
  <c r="AJ233" i="3"/>
  <c r="AA155" i="14"/>
  <c r="Q83" i="12"/>
  <c r="Q128" i="12" s="1"/>
  <c r="Q99" i="12"/>
  <c r="AJ54" i="3"/>
  <c r="AI54" i="3"/>
  <c r="AG264" i="3"/>
  <c r="AG173" i="3"/>
  <c r="AG12" i="3" s="1"/>
  <c r="S178" i="14"/>
  <c r="U165" i="14"/>
  <c r="CI73" i="3"/>
  <c r="L100" i="12"/>
  <c r="L84" i="12"/>
  <c r="L129" i="12" s="1"/>
  <c r="AL50" i="3"/>
  <c r="AK50" i="3"/>
  <c r="AJ50" i="3"/>
  <c r="AO50" i="3" s="1"/>
  <c r="AM50" i="3"/>
  <c r="AP102" i="13"/>
  <c r="V292" i="14"/>
  <c r="V288" i="14"/>
  <c r="V291" i="14"/>
  <c r="V298" i="14"/>
  <c r="V287" i="14"/>
  <c r="V295" i="14"/>
  <c r="V290" i="14"/>
  <c r="V293" i="14"/>
  <c r="V296" i="14"/>
  <c r="V294" i="14"/>
  <c r="V297" i="14"/>
  <c r="V289" i="14"/>
  <c r="AI100" i="12"/>
  <c r="AG167" i="3"/>
  <c r="AH328" i="3"/>
  <c r="AI328" i="3"/>
  <c r="K136" i="2"/>
  <c r="N54" i="9"/>
  <c r="O100" i="13"/>
  <c r="O84" i="13"/>
  <c r="Z101" i="11"/>
  <c r="AV24" i="3"/>
  <c r="AC277" i="14"/>
  <c r="AC139" i="14"/>
  <c r="AL42" i="13"/>
  <c r="AC266" i="14"/>
  <c r="K99" i="11"/>
  <c r="K83" i="11" s="1"/>
  <c r="B230" i="14"/>
  <c r="B246" i="14" s="1"/>
  <c r="AN56" i="12"/>
  <c r="AP56" i="12" s="1"/>
  <c r="Q126" i="12"/>
  <c r="AH166" i="3"/>
  <c r="AH45" i="11"/>
  <c r="I101" i="13"/>
  <c r="I85" i="13"/>
  <c r="AN64" i="3"/>
  <c r="AP64" i="3" s="1"/>
  <c r="AC345" i="3"/>
  <c r="AC184" i="3" s="1"/>
  <c r="AC216" i="3" s="1"/>
  <c r="P163" i="14"/>
  <c r="P179" i="14"/>
  <c r="AP59" i="13"/>
  <c r="AF140" i="12"/>
  <c r="J99" i="11"/>
  <c r="M39" i="9"/>
  <c r="X183" i="3"/>
  <c r="X215" i="3" s="1"/>
  <c r="AM71" i="12"/>
  <c r="L83" i="12"/>
  <c r="AI57" i="3"/>
  <c r="AJ57" i="3"/>
  <c r="AL57" i="3" s="1"/>
  <c r="CI76" i="3"/>
  <c r="O103" i="11"/>
  <c r="AQ99" i="12"/>
  <c r="AL56" i="12"/>
  <c r="AM74" i="13"/>
  <c r="AP74" i="13" s="1"/>
  <c r="P100" i="13"/>
  <c r="P84" i="13"/>
  <c r="X186" i="3"/>
  <c r="X218" i="3" s="1"/>
  <c r="AE247" i="3"/>
  <c r="AI231" i="3"/>
  <c r="AK231" i="3" s="1"/>
  <c r="AJ231" i="3"/>
  <c r="AH242" i="3"/>
  <c r="O83" i="13"/>
  <c r="Z84" i="11"/>
  <c r="X180" i="14"/>
  <c r="AR51" i="13"/>
  <c r="AQ51" i="13"/>
  <c r="AC72" i="14"/>
  <c r="AB72" i="14"/>
  <c r="O46" i="9"/>
  <c r="AM42" i="13"/>
  <c r="AN42" i="13" s="1"/>
  <c r="B179" i="14"/>
  <c r="Q82" i="12"/>
  <c r="Q127" i="12" s="1"/>
  <c r="AL38" i="12"/>
  <c r="G99" i="11"/>
  <c r="G83" i="11" s="1"/>
  <c r="AP71" i="13"/>
  <c r="C13" i="1"/>
  <c r="C6" i="1"/>
  <c r="AM200" i="3"/>
  <c r="AM68" i="12"/>
  <c r="AP68" i="12" s="1"/>
  <c r="CM74" i="3" l="1"/>
  <c r="CL71" i="3"/>
  <c r="AX40" i="3"/>
  <c r="AY40" i="3" s="1"/>
  <c r="AB282" i="14"/>
  <c r="AF183" i="3"/>
  <c r="AM202" i="3"/>
  <c r="AF186" i="3"/>
  <c r="AF179" i="3"/>
  <c r="AF211" i="3" s="1"/>
  <c r="AX37" i="3"/>
  <c r="AY37" i="3" s="1"/>
  <c r="AY35" i="3"/>
  <c r="AY19" i="3" s="1"/>
  <c r="CJ66" i="3"/>
  <c r="CL66" i="3" s="1"/>
  <c r="CL72" i="3"/>
  <c r="CN72" i="3" s="1"/>
  <c r="AX43" i="3"/>
  <c r="AY43" i="3" s="1"/>
  <c r="AG181" i="3"/>
  <c r="AG213" i="3" s="1"/>
  <c r="AM233" i="3"/>
  <c r="AC182" i="3"/>
  <c r="AC214" i="3" s="1"/>
  <c r="AM226" i="3"/>
  <c r="AM242" i="3" s="1"/>
  <c r="AL201" i="3"/>
  <c r="AY33" i="3"/>
  <c r="AZ33" i="3" s="1"/>
  <c r="AK204" i="3"/>
  <c r="AM204" i="3" s="1"/>
  <c r="AO202" i="3"/>
  <c r="AR202" i="3" s="1"/>
  <c r="AL231" i="3"/>
  <c r="AN231" i="3" s="1"/>
  <c r="AX39" i="3"/>
  <c r="AY39" i="3" s="1"/>
  <c r="AZ39" i="3" s="1"/>
  <c r="AY34" i="3"/>
  <c r="AY18" i="3" s="1"/>
  <c r="AX36" i="3"/>
  <c r="AX20" i="3" s="1"/>
  <c r="Y182" i="3"/>
  <c r="Y214" i="3" s="1"/>
  <c r="CK69" i="3"/>
  <c r="CN69" i="3" s="1"/>
  <c r="AB186" i="3"/>
  <c r="AB218" i="3" s="1"/>
  <c r="Z270" i="3"/>
  <c r="Z276" i="3" s="1"/>
  <c r="AM199" i="3"/>
  <c r="AZ37" i="3"/>
  <c r="AC186" i="3"/>
  <c r="AO198" i="3"/>
  <c r="AL225" i="3"/>
  <c r="AL241" i="3" s="1"/>
  <c r="AB155" i="14"/>
  <c r="AB75" i="14"/>
  <c r="AY21" i="3"/>
  <c r="AP72" i="13"/>
  <c r="AZ21" i="3"/>
  <c r="M128" i="12"/>
  <c r="O68" i="9"/>
  <c r="AN43" i="13"/>
  <c r="AT75" i="13"/>
  <c r="AU75" i="13"/>
  <c r="N14" i="9"/>
  <c r="O30" i="9"/>
  <c r="AJ80" i="3"/>
  <c r="AU66" i="12"/>
  <c r="AT66" i="12"/>
  <c r="AV66" i="12" s="1"/>
  <c r="AT53" i="12"/>
  <c r="AM324" i="3"/>
  <c r="AR54" i="12"/>
  <c r="AR49" i="13"/>
  <c r="R52" i="9"/>
  <c r="Q52" i="9"/>
  <c r="X131" i="12"/>
  <c r="AM249" i="3"/>
  <c r="AP49" i="12"/>
  <c r="U128" i="12"/>
  <c r="AN58" i="3"/>
  <c r="AR74" i="13"/>
  <c r="AQ56" i="12"/>
  <c r="AO65" i="3"/>
  <c r="AJ168" i="3"/>
  <c r="AX27" i="3"/>
  <c r="AY24" i="3"/>
  <c r="AK120" i="12"/>
  <c r="AL120" i="12" s="1"/>
  <c r="AK247" i="3"/>
  <c r="AX23" i="3"/>
  <c r="Y181" i="14"/>
  <c r="Y165" i="14"/>
  <c r="AQ74" i="3"/>
  <c r="M20" i="9"/>
  <c r="N36" i="9"/>
  <c r="AO55" i="12"/>
  <c r="L109" i="1"/>
  <c r="P85" i="11"/>
  <c r="P101" i="11"/>
  <c r="Z86" i="11"/>
  <c r="Z102" i="11"/>
  <c r="Y164" i="14"/>
  <c r="R47" i="9"/>
  <c r="AK33" i="11"/>
  <c r="AK45" i="11" s="1"/>
  <c r="DE41" i="3"/>
  <c r="AN226" i="3"/>
  <c r="S179" i="14"/>
  <c r="AI59" i="3"/>
  <c r="AP26" i="3"/>
  <c r="AJ245" i="3"/>
  <c r="AK248" i="3"/>
  <c r="AJ252" i="3"/>
  <c r="AF215" i="3"/>
  <c r="AI25" i="3"/>
  <c r="DG41" i="3"/>
  <c r="AI169" i="3"/>
  <c r="AJ247" i="3"/>
  <c r="AH281" i="3"/>
  <c r="AH205" i="3"/>
  <c r="AH285" i="3" s="1"/>
  <c r="AD85" i="11"/>
  <c r="AD101" i="11"/>
  <c r="AQ49" i="12"/>
  <c r="AS49" i="12" s="1"/>
  <c r="T180" i="14"/>
  <c r="AK76" i="12"/>
  <c r="AA209" i="14"/>
  <c r="AA225" i="14" s="1"/>
  <c r="AA306" i="14"/>
  <c r="DE43" i="3"/>
  <c r="AK102" i="11"/>
  <c r="AP194" i="3"/>
  <c r="AD84" i="11"/>
  <c r="Z165" i="14"/>
  <c r="Z181" i="14"/>
  <c r="AK234" i="3"/>
  <c r="AM234" i="3" s="1"/>
  <c r="AD183" i="3"/>
  <c r="AI170" i="3"/>
  <c r="AW17" i="3"/>
  <c r="AR17" i="3"/>
  <c r="AR19" i="3"/>
  <c r="DG35" i="3"/>
  <c r="AI19" i="3"/>
  <c r="AC101" i="12"/>
  <c r="AC85" i="12"/>
  <c r="AC130" i="12" s="1"/>
  <c r="AK114" i="12"/>
  <c r="AM115" i="12"/>
  <c r="AK329" i="3"/>
  <c r="AP71" i="12"/>
  <c r="C86" i="13"/>
  <c r="C102" i="13"/>
  <c r="AG338" i="3"/>
  <c r="DF43" i="3"/>
  <c r="AH27" i="3"/>
  <c r="J130" i="12"/>
  <c r="AC164" i="14"/>
  <c r="AC180" i="14"/>
  <c r="Z164" i="14"/>
  <c r="AM51" i="3"/>
  <c r="F86" i="12"/>
  <c r="F102" i="12"/>
  <c r="AN36" i="13"/>
  <c r="AS59" i="13"/>
  <c r="AI143" i="12"/>
  <c r="L107" i="1"/>
  <c r="M107" i="1" s="1"/>
  <c r="O56" i="9"/>
  <c r="AH170" i="3"/>
  <c r="AR58" i="12"/>
  <c r="AL114" i="12"/>
  <c r="AP21" i="3"/>
  <c r="AI20" i="3"/>
  <c r="DG36" i="3"/>
  <c r="AC84" i="12"/>
  <c r="AC129" i="12" s="1"/>
  <c r="AS51" i="12"/>
  <c r="DI39" i="3"/>
  <c r="AK23" i="3"/>
  <c r="AU23" i="3"/>
  <c r="AO67" i="12"/>
  <c r="AN22" i="3"/>
  <c r="DJ38" i="3"/>
  <c r="AL22" i="3"/>
  <c r="K126" i="2"/>
  <c r="K125" i="2"/>
  <c r="K143" i="2" s="1"/>
  <c r="B108" i="14"/>
  <c r="B23" i="14" s="1"/>
  <c r="B25" i="14" s="1"/>
  <c r="B28" i="14" s="1"/>
  <c r="B26" i="14" s="1"/>
  <c r="B113" i="14"/>
  <c r="B240" i="14" s="1"/>
  <c r="B161" i="14"/>
  <c r="DK41" i="3"/>
  <c r="AM25" i="3"/>
  <c r="AC225" i="14"/>
  <c r="AC241" i="14" s="1"/>
  <c r="CK73" i="3"/>
  <c r="W84" i="11"/>
  <c r="W100" i="11"/>
  <c r="AG246" i="3"/>
  <c r="AJ230" i="3"/>
  <c r="AI230" i="3"/>
  <c r="AL230" i="3" s="1"/>
  <c r="M15" i="9"/>
  <c r="O31" i="9"/>
  <c r="O15" i="9" s="1"/>
  <c r="P31" i="9"/>
  <c r="P15" i="9" s="1"/>
  <c r="AG126" i="12"/>
  <c r="G102" i="12"/>
  <c r="G86" i="12" s="1"/>
  <c r="DI42" i="3"/>
  <c r="AK26" i="3"/>
  <c r="DF33" i="3"/>
  <c r="AL76" i="13"/>
  <c r="AN74" i="3"/>
  <c r="M73" i="9"/>
  <c r="AO21" i="3"/>
  <c r="M109" i="1"/>
  <c r="AR23" i="3"/>
  <c r="P84" i="11"/>
  <c r="P49" i="9"/>
  <c r="AK249" i="3"/>
  <c r="E84" i="13"/>
  <c r="E100" i="13"/>
  <c r="L87" i="11"/>
  <c r="L103" i="11"/>
  <c r="AJ248" i="3"/>
  <c r="AE186" i="3"/>
  <c r="AC75" i="14"/>
  <c r="AN27" i="3"/>
  <c r="AR70" i="12"/>
  <c r="J88" i="13"/>
  <c r="J104" i="13"/>
  <c r="AJ250" i="3"/>
  <c r="K103" i="12"/>
  <c r="AI103" i="13"/>
  <c r="AH103" i="13"/>
  <c r="C180" i="14"/>
  <c r="C164" i="14" s="1"/>
  <c r="AJ284" i="3"/>
  <c r="AW20" i="3"/>
  <c r="AK163" i="3"/>
  <c r="AP58" i="3"/>
  <c r="K86" i="12"/>
  <c r="P71" i="9"/>
  <c r="AC212" i="14"/>
  <c r="AC228" i="14" s="1"/>
  <c r="AC244" i="14" s="1"/>
  <c r="AC309" i="14"/>
  <c r="AC285" i="3"/>
  <c r="AC183" i="3"/>
  <c r="AC181" i="3"/>
  <c r="AC213" i="3" s="1"/>
  <c r="AC180" i="3"/>
  <c r="AC163" i="14"/>
  <c r="AQ26" i="3"/>
  <c r="AM72" i="12"/>
  <c r="R70" i="9"/>
  <c r="AS101" i="13"/>
  <c r="AT101" i="12"/>
  <c r="X87" i="7"/>
  <c r="X131" i="7" s="1"/>
  <c r="W131" i="7"/>
  <c r="AE87" i="7"/>
  <c r="AE131" i="7" s="1"/>
  <c r="AT22" i="3"/>
  <c r="DH38" i="3"/>
  <c r="AJ22" i="3"/>
  <c r="K118" i="2"/>
  <c r="K116" i="2"/>
  <c r="K117" i="2"/>
  <c r="AU51" i="12"/>
  <c r="T163" i="14"/>
  <c r="AO58" i="3"/>
  <c r="DJ41" i="3"/>
  <c r="AL25" i="3"/>
  <c r="AM37" i="12"/>
  <c r="F180" i="14"/>
  <c r="T100" i="12"/>
  <c r="T84" i="12" s="1"/>
  <c r="H84" i="13"/>
  <c r="H100" i="13"/>
  <c r="AM236" i="3"/>
  <c r="AC227" i="14"/>
  <c r="AC243" i="14" s="1"/>
  <c r="AS26" i="3"/>
  <c r="M23" i="9"/>
  <c r="N39" i="9"/>
  <c r="AO56" i="12"/>
  <c r="AH243" i="3"/>
  <c r="AJ227" i="3"/>
  <c r="AK227" i="3"/>
  <c r="AM227" i="3"/>
  <c r="AL227" i="3"/>
  <c r="AH168" i="3"/>
  <c r="W100" i="12"/>
  <c r="AR100" i="12"/>
  <c r="AL69" i="3"/>
  <c r="AQ65" i="12"/>
  <c r="C85" i="13"/>
  <c r="AN198" i="3"/>
  <c r="AQ198" i="3" s="1"/>
  <c r="H83" i="13"/>
  <c r="AG285" i="3"/>
  <c r="AG178" i="3"/>
  <c r="AG210" i="3" s="1"/>
  <c r="AK40" i="12"/>
  <c r="N141" i="2"/>
  <c r="Z102" i="12"/>
  <c r="Z86" i="12" s="1"/>
  <c r="AL229" i="3"/>
  <c r="AU26" i="3"/>
  <c r="AP51" i="3"/>
  <c r="F85" i="12"/>
  <c r="AC6" i="14"/>
  <c r="S101" i="11"/>
  <c r="M16" i="9"/>
  <c r="AM112" i="12"/>
  <c r="P70" i="9"/>
  <c r="N56" i="9"/>
  <c r="O51" i="9"/>
  <c r="AJ331" i="3"/>
  <c r="AP57" i="13"/>
  <c r="AT17" i="3"/>
  <c r="AP202" i="3"/>
  <c r="AK284" i="3"/>
  <c r="AW19" i="3"/>
  <c r="AU20" i="3"/>
  <c r="AP100" i="12"/>
  <c r="M135" i="2"/>
  <c r="I86" i="12"/>
  <c r="I102" i="12"/>
  <c r="AP72" i="3"/>
  <c r="Q66" i="9"/>
  <c r="R66" i="9" s="1"/>
  <c r="O64" i="9"/>
  <c r="AL23" i="3"/>
  <c r="DJ39" i="3"/>
  <c r="AM203" i="3"/>
  <c r="AN115" i="12"/>
  <c r="K119" i="2"/>
  <c r="K120" i="2"/>
  <c r="K121" i="2"/>
  <c r="DG34" i="3"/>
  <c r="AI18" i="3"/>
  <c r="AC179" i="3"/>
  <c r="AC211" i="3" s="1"/>
  <c r="B93" i="14"/>
  <c r="B15" i="14"/>
  <c r="AM58" i="3"/>
  <c r="DH41" i="3"/>
  <c r="AJ25" i="3"/>
  <c r="O34" i="9"/>
  <c r="AO100" i="12"/>
  <c r="J166" i="14"/>
  <c r="J182" i="14"/>
  <c r="AV55" i="13"/>
  <c r="AI244" i="3"/>
  <c r="D86" i="12"/>
  <c r="D102" i="12"/>
  <c r="AQ22" i="3"/>
  <c r="AQ18" i="3"/>
  <c r="AT70" i="12"/>
  <c r="AS18" i="3"/>
  <c r="DK42" i="3"/>
  <c r="AM26" i="3"/>
  <c r="AU22" i="3"/>
  <c r="AT18" i="3"/>
  <c r="X86" i="11"/>
  <c r="X102" i="11"/>
  <c r="N63" i="9"/>
  <c r="AR20" i="3"/>
  <c r="Z85" i="11"/>
  <c r="M136" i="2"/>
  <c r="AO36" i="13"/>
  <c r="AT21" i="3"/>
  <c r="U100" i="13"/>
  <c r="L290" i="14"/>
  <c r="L297" i="14"/>
  <c r="L289" i="14"/>
  <c r="L296" i="14"/>
  <c r="L292" i="14"/>
  <c r="L293" i="14"/>
  <c r="L295" i="14"/>
  <c r="L287" i="14"/>
  <c r="L291" i="14"/>
  <c r="L298" i="14"/>
  <c r="L294" i="14"/>
  <c r="L288" i="14"/>
  <c r="AL165" i="3"/>
  <c r="AW27" i="3"/>
  <c r="O62" i="9"/>
  <c r="L122" i="2"/>
  <c r="L124" i="2"/>
  <c r="AK53" i="3"/>
  <c r="AS55" i="13"/>
  <c r="O85" i="13"/>
  <c r="O101" i="13"/>
  <c r="AS69" i="13"/>
  <c r="O85" i="12"/>
  <c r="O130" i="12" s="1"/>
  <c r="O101" i="12"/>
  <c r="AO226" i="3"/>
  <c r="AN232" i="3"/>
  <c r="AJ241" i="3"/>
  <c r="AD184" i="3"/>
  <c r="AD216" i="3" s="1"/>
  <c r="AQ58" i="3"/>
  <c r="AZ103" i="12"/>
  <c r="J87" i="13"/>
  <c r="AD178" i="3"/>
  <c r="AD210" i="3" s="1"/>
  <c r="AN68" i="13"/>
  <c r="DF41" i="3"/>
  <c r="AH25" i="3"/>
  <c r="AI247" i="3"/>
  <c r="AI167" i="3"/>
  <c r="AL232" i="3"/>
  <c r="AC128" i="12"/>
  <c r="AH143" i="12"/>
  <c r="Q70" i="9"/>
  <c r="AV17" i="3"/>
  <c r="M104" i="1"/>
  <c r="AJ120" i="12"/>
  <c r="N22" i="9"/>
  <c r="AO23" i="3"/>
  <c r="L25" i="9"/>
  <c r="L26" i="9" s="1"/>
  <c r="Z246" i="14"/>
  <c r="O35" i="9"/>
  <c r="DI34" i="3"/>
  <c r="AK18" i="3"/>
  <c r="AL103" i="13"/>
  <c r="AQ70" i="12"/>
  <c r="AS70" i="12" s="1"/>
  <c r="AA270" i="3"/>
  <c r="AA276" i="3" s="1"/>
  <c r="AK104" i="13"/>
  <c r="AQ25" i="3"/>
  <c r="AJ283" i="3"/>
  <c r="N31" i="9"/>
  <c r="X181" i="14"/>
  <c r="X165" i="14" s="1"/>
  <c r="AR27" i="3"/>
  <c r="AK43" i="12"/>
  <c r="Q53" i="9"/>
  <c r="R53" i="9" s="1"/>
  <c r="AQ20" i="3"/>
  <c r="X85" i="13"/>
  <c r="X101" i="13"/>
  <c r="W164" i="14"/>
  <c r="W180" i="14"/>
  <c r="AJ281" i="3"/>
  <c r="AJ205" i="3"/>
  <c r="AJ285" i="3" s="1"/>
  <c r="AO70" i="12"/>
  <c r="I102" i="13"/>
  <c r="I86" i="13"/>
  <c r="AL73" i="3"/>
  <c r="AN26" i="3"/>
  <c r="AE285" i="3"/>
  <c r="AE184" i="3"/>
  <c r="AE216" i="3" s="1"/>
  <c r="AE180" i="3"/>
  <c r="AE185" i="3"/>
  <c r="AE217" i="3" s="1"/>
  <c r="AE188" i="3"/>
  <c r="AE220" i="3" s="1"/>
  <c r="AE183" i="3"/>
  <c r="AH140" i="12"/>
  <c r="G84" i="13"/>
  <c r="G100" i="13"/>
  <c r="C102" i="12"/>
  <c r="C86" i="12" s="1"/>
  <c r="AL40" i="13"/>
  <c r="AP73" i="12"/>
  <c r="AR73" i="12" s="1"/>
  <c r="AN53" i="13"/>
  <c r="AN60" i="13" s="1"/>
  <c r="DI41" i="3"/>
  <c r="AK25" i="3"/>
  <c r="DG42" i="3"/>
  <c r="AI26" i="3"/>
  <c r="AL234" i="3"/>
  <c r="AN17" i="3"/>
  <c r="DF36" i="3"/>
  <c r="AH20" i="3"/>
  <c r="N135" i="2"/>
  <c r="AX18" i="3"/>
  <c r="N165" i="14"/>
  <c r="N181" i="14"/>
  <c r="AI117" i="12"/>
  <c r="AQ21" i="3"/>
  <c r="DI36" i="3"/>
  <c r="AK20" i="3"/>
  <c r="X103" i="12"/>
  <c r="X87" i="12" s="1"/>
  <c r="C85" i="11"/>
  <c r="C101" i="11"/>
  <c r="AF302" i="3"/>
  <c r="AF338" i="3"/>
  <c r="N164" i="14"/>
  <c r="AL193" i="3"/>
  <c r="AQ50" i="12"/>
  <c r="J21" i="1"/>
  <c r="J32" i="1" s="1"/>
  <c r="J3" i="1" s="1"/>
  <c r="J80" i="1"/>
  <c r="J5" i="1" s="1"/>
  <c r="J7" i="1" s="1"/>
  <c r="P101" i="13"/>
  <c r="P85" i="13" s="1"/>
  <c r="U183" i="14"/>
  <c r="N101" i="12"/>
  <c r="M21" i="9"/>
  <c r="O37" i="9"/>
  <c r="P37" i="9"/>
  <c r="P21" i="9" s="1"/>
  <c r="AI325" i="3"/>
  <c r="AN70" i="13"/>
  <c r="AF285" i="3"/>
  <c r="AF187" i="3"/>
  <c r="AF219" i="3" s="1"/>
  <c r="AF184" i="3"/>
  <c r="AF216" i="3" s="1"/>
  <c r="AF181" i="3"/>
  <c r="AF213" i="3" s="1"/>
  <c r="AF182" i="3"/>
  <c r="AF214" i="3" s="1"/>
  <c r="AK76" i="13"/>
  <c r="AF185" i="3"/>
  <c r="AF217" i="3" s="1"/>
  <c r="AA350" i="3"/>
  <c r="AA177" i="3"/>
  <c r="AK80" i="3"/>
  <c r="AK81" i="3"/>
  <c r="DH43" i="3"/>
  <c r="AJ27" i="3"/>
  <c r="AI45" i="13"/>
  <c r="AI123" i="12"/>
  <c r="CM71" i="3"/>
  <c r="AM41" i="13"/>
  <c r="Z189" i="3"/>
  <c r="Z269" i="3"/>
  <c r="Z209" i="3"/>
  <c r="AM35" i="12"/>
  <c r="AD84" i="13"/>
  <c r="AD100" i="13"/>
  <c r="AB102" i="11"/>
  <c r="AL282" i="3"/>
  <c r="AR21" i="3"/>
  <c r="DJ36" i="3"/>
  <c r="AL20" i="3"/>
  <c r="AN19" i="3"/>
  <c r="AI171" i="3"/>
  <c r="AJ332" i="3"/>
  <c r="AL203" i="3"/>
  <c r="AL68" i="3"/>
  <c r="AN68" i="3" s="1"/>
  <c r="AH86" i="3"/>
  <c r="AH81" i="3"/>
  <c r="AJ81" i="3" s="1"/>
  <c r="AH90" i="3"/>
  <c r="AH85" i="3"/>
  <c r="AH88" i="3"/>
  <c r="AG90" i="3"/>
  <c r="AG91" i="3"/>
  <c r="AG85" i="3"/>
  <c r="AH82" i="3"/>
  <c r="AJ82" i="3" s="1"/>
  <c r="AG87" i="3"/>
  <c r="AH87" i="3"/>
  <c r="AH83" i="3"/>
  <c r="AH89" i="3"/>
  <c r="AG88" i="3"/>
  <c r="AG84" i="3"/>
  <c r="AG86" i="3"/>
  <c r="AG89" i="3"/>
  <c r="AH84" i="3"/>
  <c r="P32" i="9"/>
  <c r="R32" i="9" s="1"/>
  <c r="AQ23" i="3"/>
  <c r="N134" i="2"/>
  <c r="AF102" i="13"/>
  <c r="AL18" i="3"/>
  <c r="DJ34" i="3"/>
  <c r="AN54" i="13"/>
  <c r="AS25" i="3"/>
  <c r="Y84" i="7"/>
  <c r="AP65" i="13"/>
  <c r="DH42" i="3"/>
  <c r="AJ26" i="3"/>
  <c r="D84" i="13"/>
  <c r="D100" i="13"/>
  <c r="D85" i="12"/>
  <c r="AE101" i="11"/>
  <c r="AE85" i="11" s="1"/>
  <c r="X164" i="14"/>
  <c r="AQ68" i="12"/>
  <c r="AV19" i="3"/>
  <c r="AQ64" i="3"/>
  <c r="AK57" i="3"/>
  <c r="AJ75" i="3"/>
  <c r="AJ77" i="3" s="1" a="1"/>
  <c r="AJ77" i="3" s="1"/>
  <c r="Y103" i="12"/>
  <c r="AU27" i="3"/>
  <c r="AT26" i="3"/>
  <c r="AN197" i="3"/>
  <c r="AV25" i="3"/>
  <c r="AI241" i="3"/>
  <c r="DE42" i="3"/>
  <c r="AI250" i="3"/>
  <c r="N68" i="9"/>
  <c r="AL17" i="3"/>
  <c r="DJ33" i="3"/>
  <c r="AT20" i="3"/>
  <c r="AK21" i="3"/>
  <c r="DI37" i="3"/>
  <c r="M151" i="2"/>
  <c r="M149" i="2"/>
  <c r="M150" i="2"/>
  <c r="M152" i="2"/>
  <c r="Z101" i="13"/>
  <c r="K123" i="2"/>
  <c r="K122" i="2"/>
  <c r="K142" i="2" s="1"/>
  <c r="K124" i="2"/>
  <c r="AH167" i="3"/>
  <c r="Y302" i="3"/>
  <c r="Y338" i="3"/>
  <c r="V100" i="12"/>
  <c r="Y285" i="3"/>
  <c r="Y180" i="3"/>
  <c r="Y184" i="3"/>
  <c r="Y216" i="3" s="1"/>
  <c r="Y185" i="3"/>
  <c r="Y217" i="3" s="1"/>
  <c r="Y187" i="3"/>
  <c r="AO56" i="13"/>
  <c r="AL41" i="13"/>
  <c r="Z350" i="3"/>
  <c r="K69" i="1"/>
  <c r="K111" i="1"/>
  <c r="K79" i="1" s="1"/>
  <c r="K31" i="1" s="1"/>
  <c r="AX101" i="13"/>
  <c r="AK44" i="13"/>
  <c r="W102" i="13"/>
  <c r="W86" i="13" s="1"/>
  <c r="AD83" i="13"/>
  <c r="AB85" i="11"/>
  <c r="AO19" i="3"/>
  <c r="AN104" i="13"/>
  <c r="AU59" i="12"/>
  <c r="AO72" i="3"/>
  <c r="AK41" i="12"/>
  <c r="AV22" i="3"/>
  <c r="AM18" i="3"/>
  <c r="DK34" i="3"/>
  <c r="R100" i="12"/>
  <c r="R84" i="12" s="1"/>
  <c r="H101" i="11"/>
  <c r="O180" i="14"/>
  <c r="AJ45" i="12"/>
  <c r="AK33" i="12"/>
  <c r="V132" i="7"/>
  <c r="W88" i="7"/>
  <c r="AT25" i="3"/>
  <c r="AI281" i="3"/>
  <c r="AI205" i="3"/>
  <c r="AI285" i="3" s="1"/>
  <c r="AN65" i="3"/>
  <c r="AP65" i="3" s="1"/>
  <c r="AR22" i="3"/>
  <c r="S100" i="12"/>
  <c r="AJ21" i="3"/>
  <c r="DH37" i="3"/>
  <c r="V86" i="13"/>
  <c r="V102" i="13"/>
  <c r="AE302" i="3"/>
  <c r="AE338" i="3"/>
  <c r="AP23" i="3"/>
  <c r="AS22" i="3"/>
  <c r="AU25" i="3"/>
  <c r="B84" i="11"/>
  <c r="B100" i="11"/>
  <c r="AO26" i="3"/>
  <c r="AK17" i="3"/>
  <c r="DI33" i="3"/>
  <c r="AV20" i="3"/>
  <c r="AD186" i="3"/>
  <c r="AL252" i="3"/>
  <c r="L128" i="12"/>
  <c r="X85" i="11"/>
  <c r="AC102" i="13"/>
  <c r="AC86" i="13"/>
  <c r="AX42" i="3"/>
  <c r="AY42" i="3" s="1"/>
  <c r="AJ100" i="12"/>
  <c r="C85" i="12"/>
  <c r="AM43" i="13"/>
  <c r="AK43" i="13"/>
  <c r="AJ101" i="11"/>
  <c r="AO73" i="13"/>
  <c r="AR73" i="13" s="1"/>
  <c r="N133" i="2"/>
  <c r="AJ123" i="12"/>
  <c r="AL228" i="3"/>
  <c r="AT69" i="13"/>
  <c r="AW69" i="13" s="1"/>
  <c r="AJ121" i="12"/>
  <c r="AK228" i="3"/>
  <c r="AN228" i="3" s="1"/>
  <c r="F102" i="13"/>
  <c r="F86" i="13" s="1"/>
  <c r="N153" i="2"/>
  <c r="B180" i="14"/>
  <c r="B164" i="14" s="1"/>
  <c r="AH169" i="3"/>
  <c r="AF212" i="3"/>
  <c r="AI77" i="3" a="1"/>
  <c r="AI77" i="3" s="1"/>
  <c r="DG43" i="3"/>
  <c r="AI27" i="3"/>
  <c r="J87" i="12"/>
  <c r="J132" i="12" s="1"/>
  <c r="J103" i="12"/>
  <c r="AU17" i="3"/>
  <c r="DH34" i="3"/>
  <c r="AJ18" i="3"/>
  <c r="U100" i="12"/>
  <c r="AP103" i="13"/>
  <c r="AM232" i="3"/>
  <c r="AO232" i="3" s="1"/>
  <c r="AO52" i="12"/>
  <c r="AR56" i="12"/>
  <c r="AK117" i="12"/>
  <c r="AK328" i="3"/>
  <c r="AL54" i="3"/>
  <c r="AN54" i="3" s="1"/>
  <c r="Y102" i="11"/>
  <c r="AR64" i="3"/>
  <c r="AA103" i="12"/>
  <c r="AA87" i="12"/>
  <c r="U102" i="11"/>
  <c r="U86" i="11" s="1"/>
  <c r="AK193" i="3"/>
  <c r="AM193" i="3" s="1"/>
  <c r="AW50" i="13"/>
  <c r="AP52" i="3"/>
  <c r="M101" i="13"/>
  <c r="AR101" i="13"/>
  <c r="AK56" i="3"/>
  <c r="AB302" i="3"/>
  <c r="AB338" i="3"/>
  <c r="CL74" i="3"/>
  <c r="DJ43" i="3"/>
  <c r="AL27" i="3"/>
  <c r="AL204" i="3"/>
  <c r="Q87" i="13"/>
  <c r="Q103" i="13"/>
  <c r="AF188" i="3"/>
  <c r="AF220" i="3" s="1"/>
  <c r="AT75" i="12"/>
  <c r="AW26" i="3"/>
  <c r="V83" i="12"/>
  <c r="AB164" i="14"/>
  <c r="AB180" i="14"/>
  <c r="AK112" i="12"/>
  <c r="AU100" i="13"/>
  <c r="AS51" i="13"/>
  <c r="AU51" i="13" s="1"/>
  <c r="AG180" i="3"/>
  <c r="AX17" i="3"/>
  <c r="AS21" i="3"/>
  <c r="AG102" i="13"/>
  <c r="DK36" i="3"/>
  <c r="AM20" i="3"/>
  <c r="AP19" i="3"/>
  <c r="AQ59" i="13"/>
  <c r="AS59" i="12"/>
  <c r="AP195" i="3"/>
  <c r="AR195" i="3" s="1"/>
  <c r="AW101" i="13"/>
  <c r="AE103" i="12"/>
  <c r="AE87" i="12"/>
  <c r="AE132" i="12" s="1"/>
  <c r="DG39" i="3"/>
  <c r="AI23" i="3"/>
  <c r="H102" i="12"/>
  <c r="AX24" i="3"/>
  <c r="AN18" i="3"/>
  <c r="H84" i="11"/>
  <c r="O163" i="14"/>
  <c r="AO25" i="3"/>
  <c r="M19" i="9"/>
  <c r="AS68" i="12"/>
  <c r="AR68" i="13"/>
  <c r="AL36" i="12"/>
  <c r="AN74" i="12"/>
  <c r="AD285" i="3"/>
  <c r="AD181" i="3"/>
  <c r="AD213" i="3" s="1"/>
  <c r="AD187" i="3"/>
  <c r="AD219" i="3" s="1"/>
  <c r="AD179" i="3"/>
  <c r="AD211" i="3" s="1"/>
  <c r="T102" i="13"/>
  <c r="AJ244" i="3"/>
  <c r="AI83" i="3"/>
  <c r="AI81" i="3"/>
  <c r="AI82" i="3"/>
  <c r="R101" i="13"/>
  <c r="R85" i="13" s="1"/>
  <c r="AN35" i="12"/>
  <c r="AQ102" i="13"/>
  <c r="AI162" i="3"/>
  <c r="AM73" i="3"/>
  <c r="AX19" i="3"/>
  <c r="AC302" i="3"/>
  <c r="AC338" i="3"/>
  <c r="U83" i="13"/>
  <c r="AJ59" i="3"/>
  <c r="I164" i="14"/>
  <c r="I180" i="14"/>
  <c r="M41" i="9"/>
  <c r="M25" i="9" s="1"/>
  <c r="M14" i="9"/>
  <c r="R85" i="11"/>
  <c r="R101" i="11"/>
  <c r="AK225" i="3"/>
  <c r="AN225" i="3" s="1"/>
  <c r="AI168" i="3"/>
  <c r="AJ103" i="13"/>
  <c r="D180" i="14"/>
  <c r="AJ23" i="3"/>
  <c r="DH39" i="3"/>
  <c r="AK54" i="3"/>
  <c r="AE187" i="3"/>
  <c r="AE219" i="3" s="1"/>
  <c r="M57" i="9"/>
  <c r="AQ100" i="12"/>
  <c r="Q84" i="12"/>
  <c r="Q129" i="12" s="1"/>
  <c r="Q100" i="12"/>
  <c r="AG105" i="12"/>
  <c r="AD185" i="3"/>
  <c r="AD217" i="3" s="1"/>
  <c r="M179" i="14"/>
  <c r="M163" i="14" s="1"/>
  <c r="AL39" i="12"/>
  <c r="Y218" i="3"/>
  <c r="AQ49" i="13"/>
  <c r="X288" i="14"/>
  <c r="X295" i="14"/>
  <c r="X298" i="14"/>
  <c r="X287" i="14"/>
  <c r="X294" i="14"/>
  <c r="X296" i="14"/>
  <c r="X297" i="14"/>
  <c r="X289" i="14"/>
  <c r="X290" i="14"/>
  <c r="X292" i="14"/>
  <c r="X291" i="14"/>
  <c r="X293" i="14"/>
  <c r="AM27" i="3"/>
  <c r="DK43" i="3"/>
  <c r="AC188" i="3"/>
  <c r="E102" i="12"/>
  <c r="AG237" i="3"/>
  <c r="AQ75" i="12"/>
  <c r="AB163" i="14"/>
  <c r="AB91" i="14"/>
  <c r="AB107" i="14" s="1"/>
  <c r="AB123" i="14" s="1"/>
  <c r="Q85" i="11"/>
  <c r="Q101" i="11"/>
  <c r="AK113" i="12"/>
  <c r="AN66" i="13"/>
  <c r="AM229" i="3"/>
  <c r="DG33" i="3"/>
  <c r="AI17" i="3"/>
  <c r="AY36" i="3"/>
  <c r="AZ36" i="3" s="1"/>
  <c r="AW53" i="12"/>
  <c r="AQ19" i="3"/>
  <c r="AI122" i="12"/>
  <c r="AJ122" i="12" s="1"/>
  <c r="AL41" i="12"/>
  <c r="R65" i="9"/>
  <c r="AE86" i="12"/>
  <c r="CM72" i="3"/>
  <c r="DE39" i="3"/>
  <c r="AO196" i="3"/>
  <c r="AQ53" i="13"/>
  <c r="N48" i="9"/>
  <c r="DI38" i="3"/>
  <c r="AK22" i="3"/>
  <c r="H85" i="12"/>
  <c r="AA271" i="3"/>
  <c r="AA277" i="3" s="1"/>
  <c r="AA215" i="3"/>
  <c r="AP18" i="3"/>
  <c r="AP70" i="12"/>
  <c r="AK102" i="12"/>
  <c r="AZ40" i="3"/>
  <c r="AP65" i="12"/>
  <c r="AS66" i="12"/>
  <c r="AN100" i="12"/>
  <c r="F100" i="11"/>
  <c r="S102" i="13"/>
  <c r="AN23" i="3"/>
  <c r="Q164" i="14"/>
  <c r="Q180" i="14"/>
  <c r="AI166" i="3"/>
  <c r="AJ327" i="3"/>
  <c r="R182" i="14"/>
  <c r="R166" i="14" s="1"/>
  <c r="G180" i="14"/>
  <c r="G85" i="12"/>
  <c r="R165" i="14"/>
  <c r="AT100" i="13"/>
  <c r="AH251" i="3"/>
  <c r="AI263" i="3"/>
  <c r="AM69" i="12"/>
  <c r="AO69" i="12" s="1"/>
  <c r="AQ69" i="12" s="1"/>
  <c r="M24" i="9"/>
  <c r="N40" i="9"/>
  <c r="N24" i="9" s="1"/>
  <c r="O40" i="9"/>
  <c r="P40" i="9"/>
  <c r="M18" i="9"/>
  <c r="L118" i="2"/>
  <c r="L117" i="2"/>
  <c r="L116" i="2"/>
  <c r="AO74" i="12"/>
  <c r="AS20" i="3"/>
  <c r="AW25" i="3"/>
  <c r="AJ323" i="3"/>
  <c r="AS23" i="3"/>
  <c r="AX38" i="3"/>
  <c r="AX41" i="3"/>
  <c r="AY41" i="3" s="1"/>
  <c r="S162" i="14"/>
  <c r="L105" i="1"/>
  <c r="L111" i="1" s="1"/>
  <c r="AM100" i="12"/>
  <c r="M105" i="1"/>
  <c r="AO72" i="13"/>
  <c r="AV23" i="3"/>
  <c r="Z215" i="14"/>
  <c r="Z312" i="14"/>
  <c r="AV51" i="12"/>
  <c r="AN25" i="3"/>
  <c r="AA102" i="13"/>
  <c r="AA86" i="13"/>
  <c r="W292" i="14"/>
  <c r="W288" i="14"/>
  <c r="W295" i="14"/>
  <c r="W287" i="14"/>
  <c r="W296" i="14"/>
  <c r="W298" i="14"/>
  <c r="W293" i="14"/>
  <c r="W290" i="14"/>
  <c r="W297" i="14"/>
  <c r="W291" i="14"/>
  <c r="W289" i="14"/>
  <c r="W294" i="14"/>
  <c r="Q32" i="9"/>
  <c r="AG265" i="3"/>
  <c r="AG267" i="3" s="1"/>
  <c r="P46" i="9"/>
  <c r="Q46" i="9" s="1"/>
  <c r="K100" i="11"/>
  <c r="K84" i="11" s="1"/>
  <c r="AJ328" i="3"/>
  <c r="AL329" i="3"/>
  <c r="AM329" i="3" s="1"/>
  <c r="K179" i="14"/>
  <c r="K163" i="14" s="1"/>
  <c r="AO37" i="13"/>
  <c r="AC91" i="14"/>
  <c r="AI283" i="3"/>
  <c r="Q84" i="11"/>
  <c r="AL67" i="3"/>
  <c r="AH101" i="11"/>
  <c r="AO66" i="13"/>
  <c r="Y84" i="13"/>
  <c r="Y100" i="13"/>
  <c r="AS71" i="13"/>
  <c r="AO17" i="3"/>
  <c r="AH21" i="3"/>
  <c r="DF37" i="3"/>
  <c r="AV21" i="3"/>
  <c r="AO20" i="3"/>
  <c r="AT19" i="3"/>
  <c r="P293" i="14"/>
  <c r="P289" i="14"/>
  <c r="P292" i="14"/>
  <c r="P288" i="14"/>
  <c r="P294" i="14"/>
  <c r="P295" i="14"/>
  <c r="P287" i="14"/>
  <c r="P297" i="14"/>
  <c r="P291" i="14"/>
  <c r="P296" i="14"/>
  <c r="P290" i="14"/>
  <c r="P298" i="14"/>
  <c r="AJ117" i="12"/>
  <c r="AH102" i="12"/>
  <c r="I7" i="1"/>
  <c r="BX44" i="3"/>
  <c r="AA223" i="14"/>
  <c r="AA239" i="14" s="1"/>
  <c r="X178" i="3"/>
  <c r="X210" i="3" s="1"/>
  <c r="DF39" i="3"/>
  <c r="AH23" i="3"/>
  <c r="K84" i="13"/>
  <c r="K100" i="13"/>
  <c r="AG125" i="7"/>
  <c r="AA272" i="3"/>
  <c r="AA278" i="3" s="1"/>
  <c r="AA218" i="3"/>
  <c r="AR18" i="3"/>
  <c r="AQ54" i="12"/>
  <c r="AP67" i="12"/>
  <c r="P84" i="12"/>
  <c r="P100" i="12"/>
  <c r="AD182" i="3"/>
  <c r="AD214" i="3" s="1"/>
  <c r="AP25" i="3"/>
  <c r="AL112" i="12"/>
  <c r="AG101" i="11"/>
  <c r="AD86" i="12"/>
  <c r="AD131" i="12" s="1"/>
  <c r="AD102" i="12"/>
  <c r="AL101" i="12"/>
  <c r="S85" i="13"/>
  <c r="CL68" i="3"/>
  <c r="D83" i="13"/>
  <c r="AF130" i="12"/>
  <c r="AK70" i="3"/>
  <c r="AI102" i="11"/>
  <c r="AM197" i="3"/>
  <c r="AM282" i="3" s="1"/>
  <c r="AU102" i="12"/>
  <c r="AM21" i="3"/>
  <c r="DK37" i="3"/>
  <c r="X84" i="13"/>
  <c r="O49" i="9"/>
  <c r="Q49" i="9" s="1"/>
  <c r="AP68" i="13"/>
  <c r="AR71" i="13"/>
  <c r="AL38" i="13"/>
  <c r="AU18" i="3"/>
  <c r="AF87" i="12"/>
  <c r="AF132" i="12" s="1"/>
  <c r="AF103" i="12"/>
  <c r="AU69" i="13"/>
  <c r="AO74" i="3"/>
  <c r="AV27" i="3"/>
  <c r="AL242" i="3"/>
  <c r="H165" i="14"/>
  <c r="H181" i="14"/>
  <c r="DF35" i="3"/>
  <c r="AH19" i="3"/>
  <c r="AN67" i="13"/>
  <c r="AP67" i="13" s="1"/>
  <c r="N140" i="2"/>
  <c r="AW22" i="3"/>
  <c r="AM228" i="3"/>
  <c r="AL33" i="11"/>
  <c r="AL45" i="11" s="1"/>
  <c r="AO200" i="3"/>
  <c r="V180" i="14"/>
  <c r="AN72" i="12"/>
  <c r="AO67" i="13"/>
  <c r="AL48" i="3"/>
  <c r="AN48" i="3" s="1"/>
  <c r="DF38" i="3"/>
  <c r="AH22" i="3"/>
  <c r="O54" i="9"/>
  <c r="Q62" i="9"/>
  <c r="AI22" i="3"/>
  <c r="DG38" i="3"/>
  <c r="DE38" i="3"/>
  <c r="AG44" i="3"/>
  <c r="AM38" i="12"/>
  <c r="J100" i="11"/>
  <c r="AV101" i="12"/>
  <c r="AL9" i="3"/>
  <c r="AM7" i="3"/>
  <c r="AL92" i="3"/>
  <c r="AR58" i="13"/>
  <c r="AV26" i="3"/>
  <c r="AV58" i="12"/>
  <c r="DJ35" i="3"/>
  <c r="AL19" i="3"/>
  <c r="N132" i="2"/>
  <c r="AP22" i="3"/>
  <c r="DF34" i="3"/>
  <c r="B163" i="14"/>
  <c r="AP56" i="13"/>
  <c r="AH237" i="3"/>
  <c r="N129" i="12"/>
  <c r="AH164" i="3"/>
  <c r="AH333" i="3"/>
  <c r="AH172" i="3" s="1"/>
  <c r="AA87" i="11"/>
  <c r="AA103" i="11"/>
  <c r="Y215" i="3"/>
  <c r="AO27" i="3"/>
  <c r="AI141" i="12"/>
  <c r="O104" i="11"/>
  <c r="AN50" i="3"/>
  <c r="AA164" i="14"/>
  <c r="AA180" i="14"/>
  <c r="CL75" i="3"/>
  <c r="CL77" i="3"/>
  <c r="AC112" i="14"/>
  <c r="AC160" i="14"/>
  <c r="V102" i="11"/>
  <c r="V86" i="11" s="1"/>
  <c r="AB285" i="3"/>
  <c r="AB187" i="3"/>
  <c r="AB219" i="3" s="1"/>
  <c r="AB185" i="3"/>
  <c r="AB217" i="3" s="1"/>
  <c r="AB183" i="3"/>
  <c r="AB182" i="3"/>
  <c r="AB214" i="3" s="1"/>
  <c r="AB179" i="3"/>
  <c r="AB211" i="3" s="1"/>
  <c r="AB178" i="3"/>
  <c r="AB210" i="3" s="1"/>
  <c r="AB184" i="3"/>
  <c r="AB216" i="3" s="1"/>
  <c r="AB181" i="3"/>
  <c r="AB213" i="3" s="1"/>
  <c r="AB180" i="3"/>
  <c r="AO66" i="3"/>
  <c r="AS27" i="3"/>
  <c r="AP50" i="12"/>
  <c r="AJ118" i="12"/>
  <c r="AL118" i="12" s="1"/>
  <c r="AQ42" i="12"/>
  <c r="Z93" i="14"/>
  <c r="C93" i="14"/>
  <c r="C15" i="14"/>
  <c r="AW100" i="12"/>
  <c r="AH241" i="3"/>
  <c r="AH253" i="3" s="1"/>
  <c r="AM225" i="3"/>
  <c r="AO225" i="3" s="1"/>
  <c r="AN229" i="3"/>
  <c r="P55" i="9"/>
  <c r="AP17" i="3"/>
  <c r="AI21" i="3"/>
  <c r="DG37" i="3"/>
  <c r="AM44" i="12"/>
  <c r="Y178" i="3"/>
  <c r="Y210" i="3" s="1"/>
  <c r="DK35" i="3"/>
  <c r="AM19" i="3"/>
  <c r="DH36" i="3"/>
  <c r="AJ20" i="3"/>
  <c r="AC185" i="3"/>
  <c r="AC217" i="3" s="1"/>
  <c r="AL116" i="12"/>
  <c r="AM116" i="12" s="1"/>
  <c r="AJ140" i="12"/>
  <c r="CK70" i="3"/>
  <c r="CN70" i="3" s="1"/>
  <c r="AC282" i="14"/>
  <c r="AC207" i="14"/>
  <c r="AW23" i="3"/>
  <c r="AJ34" i="13"/>
  <c r="AJ45" i="13" s="1"/>
  <c r="AO194" i="3"/>
  <c r="DK38" i="3"/>
  <c r="AM22" i="3"/>
  <c r="AO18" i="3"/>
  <c r="AQ67" i="12"/>
  <c r="AO55" i="3"/>
  <c r="T296" i="14"/>
  <c r="T292" i="14"/>
  <c r="T295" i="14"/>
  <c r="T291" i="14"/>
  <c r="T293" i="14"/>
  <c r="T294" i="14"/>
  <c r="T287" i="14"/>
  <c r="T288" i="14"/>
  <c r="T289" i="14"/>
  <c r="T298" i="14"/>
  <c r="T290" i="14"/>
  <c r="T297" i="14"/>
  <c r="AK282" i="3"/>
  <c r="AL35" i="13"/>
  <c r="AA114" i="14"/>
  <c r="AA162" i="14"/>
  <c r="M84" i="12"/>
  <c r="M100" i="12"/>
  <c r="B85" i="12"/>
  <c r="B101" i="12"/>
  <c r="AU19" i="3"/>
  <c r="DJ42" i="3"/>
  <c r="AL26" i="3"/>
  <c r="AS58" i="13"/>
  <c r="CM69" i="3"/>
  <c r="AL101" i="11"/>
  <c r="AR69" i="13"/>
  <c r="AP27" i="3"/>
  <c r="Z272" i="3"/>
  <c r="Z278" i="3" s="1"/>
  <c r="Z218" i="3"/>
  <c r="AK165" i="3"/>
  <c r="P62" i="9"/>
  <c r="DK33" i="3"/>
  <c r="AM17" i="3"/>
  <c r="DI35" i="3"/>
  <c r="AK19" i="3"/>
  <c r="AJ330" i="3"/>
  <c r="AK330" i="3" s="1"/>
  <c r="O84" i="12"/>
  <c r="U296" i="14"/>
  <c r="U292" i="14"/>
  <c r="U288" i="14"/>
  <c r="U294" i="14"/>
  <c r="U287" i="14"/>
  <c r="U295" i="14"/>
  <c r="U297" i="14"/>
  <c r="U289" i="14"/>
  <c r="U293" i="14"/>
  <c r="U298" i="14"/>
  <c r="U291" i="14"/>
  <c r="U290" i="14"/>
  <c r="AK252" i="3"/>
  <c r="L164" i="14"/>
  <c r="L180" i="14"/>
  <c r="N17" i="9"/>
  <c r="O33" i="9"/>
  <c r="J83" i="11"/>
  <c r="AK69" i="3"/>
  <c r="T85" i="11"/>
  <c r="T101" i="11"/>
  <c r="AK27" i="3"/>
  <c r="DI43" i="3"/>
  <c r="AL33" i="13"/>
  <c r="AI101" i="12"/>
  <c r="AF100" i="11"/>
  <c r="AF84" i="11" s="1"/>
  <c r="Z271" i="3"/>
  <c r="Z277" i="3" s="1"/>
  <c r="Z215" i="3"/>
  <c r="AI75" i="3"/>
  <c r="O87" i="11"/>
  <c r="AV59" i="13"/>
  <c r="AJ249" i="3"/>
  <c r="AN39" i="13"/>
  <c r="AL39" i="13"/>
  <c r="AM39" i="13"/>
  <c r="AF83" i="11"/>
  <c r="CM75" i="3"/>
  <c r="AK121" i="12"/>
  <c r="AO64" i="3"/>
  <c r="CM77" i="3"/>
  <c r="V85" i="11"/>
  <c r="AY101" i="12"/>
  <c r="AG142" i="12"/>
  <c r="AL66" i="3"/>
  <c r="AG251" i="3"/>
  <c r="AI235" i="3"/>
  <c r="AJ235" i="3"/>
  <c r="AK118" i="12"/>
  <c r="AL233" i="3"/>
  <c r="AL35" i="12"/>
  <c r="AN57" i="12"/>
  <c r="AN60" i="12" s="1"/>
  <c r="Z119" i="14"/>
  <c r="Z108" i="14"/>
  <c r="Z23" i="14" s="1"/>
  <c r="Z25" i="14" s="1"/>
  <c r="Z28" i="14" s="1"/>
  <c r="Z26" i="14" s="1"/>
  <c r="AH141" i="12"/>
  <c r="AK34" i="12"/>
  <c r="N50" i="9"/>
  <c r="AN236" i="3"/>
  <c r="N85" i="13"/>
  <c r="N101" i="13"/>
  <c r="AM65" i="3"/>
  <c r="C108" i="14"/>
  <c r="C23" i="14" s="1"/>
  <c r="C25" i="14" s="1"/>
  <c r="C28" i="14" s="1"/>
  <c r="C26" i="14" s="1"/>
  <c r="C112" i="14"/>
  <c r="C239" i="14" s="1"/>
  <c r="C160" i="14"/>
  <c r="AN67" i="3"/>
  <c r="CL67" i="3"/>
  <c r="CK67" i="3"/>
  <c r="AB210" i="14"/>
  <c r="AB307" i="14"/>
  <c r="AB86" i="12"/>
  <c r="AB102" i="12"/>
  <c r="AT49" i="13"/>
  <c r="AQ17" i="3"/>
  <c r="AL21" i="3"/>
  <c r="DJ37" i="3"/>
  <c r="AL60" i="11"/>
  <c r="D101" i="11"/>
  <c r="D85" i="11" s="1"/>
  <c r="AN20" i="3"/>
  <c r="AP42" i="13"/>
  <c r="AN44" i="12"/>
  <c r="O72" i="9"/>
  <c r="P72" i="9" s="1"/>
  <c r="AP54" i="12"/>
  <c r="AQ226" i="3"/>
  <c r="AY38" i="3"/>
  <c r="C7" i="1"/>
  <c r="AL43" i="13"/>
  <c r="AW18" i="3"/>
  <c r="O38" i="9"/>
  <c r="AP55" i="3"/>
  <c r="AN196" i="3"/>
  <c r="AR25" i="3"/>
  <c r="AU58" i="12"/>
  <c r="AQ195" i="3"/>
  <c r="AJ161" i="3"/>
  <c r="AP20" i="3"/>
  <c r="AT51" i="13"/>
  <c r="AC218" i="3"/>
  <c r="E164" i="14"/>
  <c r="E180" i="14"/>
  <c r="AN76" i="13"/>
  <c r="AR55" i="3"/>
  <c r="W83" i="11"/>
  <c r="J165" i="14"/>
  <c r="AL322" i="3"/>
  <c r="AL247" i="3"/>
  <c r="AX21" i="3"/>
  <c r="AX102" i="12"/>
  <c r="AE84" i="11"/>
  <c r="AM103" i="13"/>
  <c r="S83" i="12"/>
  <c r="AT27" i="3"/>
  <c r="AO68" i="13"/>
  <c r="AK71" i="3"/>
  <c r="CM68" i="3"/>
  <c r="AP69" i="12"/>
  <c r="AP55" i="12"/>
  <c r="AJ17" i="3"/>
  <c r="DH33" i="3"/>
  <c r="L125" i="2"/>
  <c r="L126" i="2"/>
  <c r="I100" i="11"/>
  <c r="AL71" i="3"/>
  <c r="AF218" i="3"/>
  <c r="L119" i="2"/>
  <c r="L121" i="2"/>
  <c r="G100" i="11"/>
  <c r="AR68" i="12"/>
  <c r="AW21" i="3"/>
  <c r="DH35" i="3"/>
  <c r="AJ19" i="3"/>
  <c r="B88" i="13"/>
  <c r="B104" i="13"/>
  <c r="AN37" i="13"/>
  <c r="AL60" i="12"/>
  <c r="AR49" i="12"/>
  <c r="L20" i="1"/>
  <c r="AR26" i="3"/>
  <c r="AZ35" i="3"/>
  <c r="B87" i="13"/>
  <c r="AL53" i="3"/>
  <c r="AV18" i="3"/>
  <c r="AC85" i="11"/>
  <c r="AC101" i="11"/>
  <c r="AX32" i="3"/>
  <c r="AW32" i="3"/>
  <c r="AV32" i="3"/>
  <c r="AU32" i="3"/>
  <c r="AT32" i="3"/>
  <c r="AR32" i="3"/>
  <c r="AS32" i="3"/>
  <c r="AQ32" i="3"/>
  <c r="AP32" i="3"/>
  <c r="AO32" i="3"/>
  <c r="AN32" i="3"/>
  <c r="AM32" i="3"/>
  <c r="AL32" i="3"/>
  <c r="AK32" i="3"/>
  <c r="AI32" i="3"/>
  <c r="AH32" i="3"/>
  <c r="AJ32" i="3"/>
  <c r="X340" i="3"/>
  <c r="X179" i="3" s="1"/>
  <c r="X211" i="3" s="1"/>
  <c r="X302" i="3"/>
  <c r="AN21" i="3"/>
  <c r="AQ73" i="12"/>
  <c r="AT23" i="3"/>
  <c r="AY101" i="13"/>
  <c r="P64" i="9"/>
  <c r="AT59" i="13"/>
  <c r="CL73" i="3"/>
  <c r="AO71" i="12"/>
  <c r="AQ71" i="12" s="1"/>
  <c r="AM52" i="3"/>
  <c r="AS100" i="12"/>
  <c r="AN52" i="3"/>
  <c r="AA163" i="14"/>
  <c r="Y130" i="12"/>
  <c r="L84" i="13"/>
  <c r="L100" i="13"/>
  <c r="CL76" i="3"/>
  <c r="CK76" i="3"/>
  <c r="P180" i="14"/>
  <c r="AO42" i="13"/>
  <c r="AQ74" i="13"/>
  <c r="L101" i="12"/>
  <c r="AC114" i="14"/>
  <c r="AC162" i="14"/>
  <c r="AL49" i="3"/>
  <c r="AT50" i="13"/>
  <c r="AD302" i="3"/>
  <c r="AD338" i="3"/>
  <c r="AO104" i="13"/>
  <c r="L83" i="13"/>
  <c r="L123" i="2"/>
  <c r="CN71" i="3"/>
  <c r="AG84" i="11"/>
  <c r="AM326" i="3"/>
  <c r="M102" i="11"/>
  <c r="M86" i="11" s="1"/>
  <c r="AQ27" i="3"/>
  <c r="AJ163" i="3"/>
  <c r="AL324" i="3"/>
  <c r="AV102" i="13"/>
  <c r="AR52" i="12"/>
  <c r="AO57" i="12"/>
  <c r="AN200" i="3"/>
  <c r="AQ200" i="3" s="1"/>
  <c r="AL34" i="12"/>
  <c r="DF42" i="3"/>
  <c r="AH26" i="3"/>
  <c r="S6" i="6"/>
  <c r="A7" i="6"/>
  <c r="AL65" i="3"/>
  <c r="AR55" i="13"/>
  <c r="AT55" i="13" s="1"/>
  <c r="AM67" i="3"/>
  <c r="AL199" i="3"/>
  <c r="AD85" i="12"/>
  <c r="AK322" i="3"/>
  <c r="AP52" i="13"/>
  <c r="AS17" i="3"/>
  <c r="AU21" i="3"/>
  <c r="D84" i="11"/>
  <c r="AS19" i="3"/>
  <c r="AE102" i="13"/>
  <c r="AE86" i="13"/>
  <c r="AM231" i="3"/>
  <c r="AR57" i="13"/>
  <c r="AM70" i="13"/>
  <c r="AK34" i="13"/>
  <c r="E163" i="14"/>
  <c r="Y188" i="3"/>
  <c r="Y220" i="3" s="1"/>
  <c r="DK39" i="3"/>
  <c r="AM23" i="3"/>
  <c r="O69" i="9"/>
  <c r="P69" i="9" s="1"/>
  <c r="AO236" i="3"/>
  <c r="E101" i="11"/>
  <c r="AO22" i="3"/>
  <c r="N101" i="11"/>
  <c r="N85" i="11"/>
  <c r="Y181" i="3"/>
  <c r="Y213" i="3" s="1"/>
  <c r="AJ119" i="12"/>
  <c r="M22" i="9"/>
  <c r="AD180" i="3"/>
  <c r="AB103" i="13"/>
  <c r="AM55" i="3"/>
  <c r="AT58" i="12"/>
  <c r="AB108" i="14"/>
  <c r="AU53" i="12"/>
  <c r="AK201" i="3"/>
  <c r="AN201" i="3" s="1"/>
  <c r="CM66" i="3" l="1"/>
  <c r="CO66" i="3" s="1"/>
  <c r="AR194" i="3"/>
  <c r="AQ202" i="3"/>
  <c r="AS202" i="3" s="1"/>
  <c r="AF270" i="3"/>
  <c r="AF276" i="3" s="1"/>
  <c r="AF272" i="3"/>
  <c r="AF278" i="3" s="1"/>
  <c r="CN73" i="3"/>
  <c r="AY17" i="3"/>
  <c r="AY32" i="3"/>
  <c r="AO197" i="3"/>
  <c r="AS195" i="3"/>
  <c r="AP229" i="3"/>
  <c r="AL235" i="3"/>
  <c r="AN193" i="3"/>
  <c r="AN281" i="3" s="1"/>
  <c r="AT202" i="3"/>
  <c r="AW202" i="3" s="1"/>
  <c r="AZ41" i="3"/>
  <c r="BA41" i="3" s="1"/>
  <c r="AN199" i="3"/>
  <c r="AP199" i="3" s="1"/>
  <c r="AZ34" i="3"/>
  <c r="BA34" i="3" s="1"/>
  <c r="BB34" i="3" s="1"/>
  <c r="BB18" i="3" s="1"/>
  <c r="BA37" i="3"/>
  <c r="BB37" i="3" s="1"/>
  <c r="BB21" i="3" s="1"/>
  <c r="X350" i="3"/>
  <c r="Z221" i="3"/>
  <c r="AK283" i="3"/>
  <c r="AP197" i="3"/>
  <c r="AR197" i="3" s="1"/>
  <c r="AM201" i="3"/>
  <c r="AO248" i="3"/>
  <c r="AL332" i="3"/>
  <c r="AM332" i="3" s="1"/>
  <c r="AT71" i="12"/>
  <c r="R129" i="12"/>
  <c r="AO241" i="3"/>
  <c r="AZ20" i="3"/>
  <c r="X132" i="12"/>
  <c r="M129" i="12"/>
  <c r="AT64" i="3"/>
  <c r="AS64" i="3"/>
  <c r="AW64" i="3" s="1"/>
  <c r="AT56" i="12"/>
  <c r="AL102" i="11"/>
  <c r="AP36" i="13"/>
  <c r="AS67" i="12"/>
  <c r="Y270" i="3"/>
  <c r="Y276" i="3" s="1"/>
  <c r="Y212" i="3"/>
  <c r="AL246" i="3"/>
  <c r="AM101" i="12"/>
  <c r="AC220" i="3"/>
  <c r="AC272" i="3"/>
  <c r="AC278" i="3" s="1"/>
  <c r="AD272" i="3"/>
  <c r="AD278" i="3" s="1"/>
  <c r="AD218" i="3"/>
  <c r="V101" i="12"/>
  <c r="AU71" i="13"/>
  <c r="AV69" i="13"/>
  <c r="AN71" i="3"/>
  <c r="AM71" i="3"/>
  <c r="AP71" i="3" s="1"/>
  <c r="AO76" i="13"/>
  <c r="AN101" i="12"/>
  <c r="H103" i="12"/>
  <c r="H86" i="12"/>
  <c r="AW59" i="12"/>
  <c r="V84" i="12"/>
  <c r="V129" i="12" s="1"/>
  <c r="AG100" i="3"/>
  <c r="AG101" i="3" s="1"/>
  <c r="AG102" i="3" s="1"/>
  <c r="AG103" i="3" s="1"/>
  <c r="AG104" i="3" s="1"/>
  <c r="AG105" i="3" s="1"/>
  <c r="AG106" i="3" s="1"/>
  <c r="AG107" i="3" s="1"/>
  <c r="AH96" i="3" s="1"/>
  <c r="AH97" i="3" s="1"/>
  <c r="AH98" i="3" s="1"/>
  <c r="AH99" i="3" s="1"/>
  <c r="AH100" i="3" s="1"/>
  <c r="AH101" i="3" s="1"/>
  <c r="AH102" i="3" s="1"/>
  <c r="AH103" i="3" s="1"/>
  <c r="AH104" i="3" s="1"/>
  <c r="AH105" i="3" s="1"/>
  <c r="AH106" i="3" s="1"/>
  <c r="AI84" i="3"/>
  <c r="AK84" i="3" s="1"/>
  <c r="AJ84" i="3"/>
  <c r="N86" i="12"/>
  <c r="N131" i="12" s="1"/>
  <c r="N102" i="12"/>
  <c r="N85" i="12"/>
  <c r="AT74" i="13"/>
  <c r="N57" i="9"/>
  <c r="O48" i="9"/>
  <c r="H102" i="11"/>
  <c r="H85" i="11"/>
  <c r="O181" i="14"/>
  <c r="O165" i="14" s="1"/>
  <c r="AI173" i="3"/>
  <c r="AI12" i="3" s="1"/>
  <c r="O164" i="14"/>
  <c r="Q71" i="9"/>
  <c r="R71" i="9" s="1"/>
  <c r="AN73" i="3"/>
  <c r="AO73" i="3"/>
  <c r="AT67" i="3"/>
  <c r="N16" i="9"/>
  <c r="AZ23" i="3"/>
  <c r="AY27" i="3"/>
  <c r="AZ43" i="3"/>
  <c r="BA43" i="3" s="1"/>
  <c r="F101" i="11"/>
  <c r="AL244" i="3"/>
  <c r="AP228" i="3"/>
  <c r="O19" i="9"/>
  <c r="P35" i="9"/>
  <c r="P19" i="9" s="1"/>
  <c r="R64" i="9"/>
  <c r="AS52" i="13"/>
  <c r="AR52" i="13"/>
  <c r="T102" i="11"/>
  <c r="T86" i="11" s="1"/>
  <c r="AK169" i="3"/>
  <c r="AM70" i="3"/>
  <c r="AP70" i="3" s="1"/>
  <c r="AR102" i="13"/>
  <c r="S86" i="11"/>
  <c r="S102" i="11"/>
  <c r="AM281" i="3"/>
  <c r="AM205" i="3"/>
  <c r="AM285" i="3" s="1"/>
  <c r="AN247" i="3"/>
  <c r="AV75" i="13"/>
  <c r="AY75" i="13" s="1"/>
  <c r="AW75" i="13"/>
  <c r="Z275" i="3"/>
  <c r="Z279" i="3" s="1"/>
  <c r="Z273" i="3"/>
  <c r="AO44" i="3"/>
  <c r="AO16" i="3"/>
  <c r="AO28" i="3" s="1"/>
  <c r="AK167" i="3"/>
  <c r="AW66" i="12"/>
  <c r="AI164" i="3"/>
  <c r="AK325" i="3"/>
  <c r="AL325" i="3" s="1"/>
  <c r="AI333" i="3"/>
  <c r="AI172" i="3" s="1"/>
  <c r="AJ325" i="3"/>
  <c r="P129" i="12"/>
  <c r="AI237" i="3"/>
  <c r="AJ237" i="3" s="1"/>
  <c r="R37" i="9"/>
  <c r="R21" i="9" s="1"/>
  <c r="AS102" i="13"/>
  <c r="F84" i="11"/>
  <c r="U101" i="12"/>
  <c r="U84" i="12"/>
  <c r="AI88" i="3"/>
  <c r="AJ88" i="3"/>
  <c r="AK161" i="3"/>
  <c r="AN322" i="3"/>
  <c r="CO75" i="3"/>
  <c r="CN75" i="3"/>
  <c r="CP75" i="3" s="1"/>
  <c r="CQ75" i="3"/>
  <c r="P54" i="9"/>
  <c r="Q54" i="9" s="1"/>
  <c r="R54" i="9"/>
  <c r="AR67" i="3"/>
  <c r="AQ67" i="3"/>
  <c r="AO67" i="3"/>
  <c r="AP67" i="3"/>
  <c r="AW51" i="13"/>
  <c r="M102" i="13"/>
  <c r="M86" i="13" s="1"/>
  <c r="AQ73" i="13"/>
  <c r="AJ83" i="3"/>
  <c r="AJ91" i="3" s="1"/>
  <c r="AK83" i="3"/>
  <c r="AZ104" i="12"/>
  <c r="AO101" i="12"/>
  <c r="S85" i="11"/>
  <c r="AP231" i="3"/>
  <c r="AO105" i="13"/>
  <c r="AU58" i="13"/>
  <c r="AU49" i="13"/>
  <c r="AL123" i="12"/>
  <c r="AS16" i="3"/>
  <c r="AS28" i="3" s="1"/>
  <c r="AS44" i="3"/>
  <c r="AC102" i="12"/>
  <c r="AR57" i="12"/>
  <c r="AU57" i="12" s="1"/>
  <c r="AM248" i="3"/>
  <c r="AO115" i="12"/>
  <c r="M180" i="14"/>
  <c r="AI89" i="3"/>
  <c r="AJ89" i="3"/>
  <c r="CM76" i="3"/>
  <c r="CO76" i="3" s="1"/>
  <c r="CN76" i="3"/>
  <c r="AN56" i="3"/>
  <c r="AM56" i="3"/>
  <c r="AP56" i="3"/>
  <c r="AV74" i="13"/>
  <c r="AD130" i="12"/>
  <c r="L101" i="13"/>
  <c r="AK75" i="3"/>
  <c r="AM69" i="3"/>
  <c r="AP69" i="3"/>
  <c r="AT101" i="13"/>
  <c r="AY20" i="3"/>
  <c r="BA36" i="3"/>
  <c r="M85" i="13"/>
  <c r="AB104" i="13"/>
  <c r="AP70" i="13"/>
  <c r="AO70" i="13"/>
  <c r="AM76" i="13"/>
  <c r="AS71" i="12"/>
  <c r="AT71" i="13"/>
  <c r="AW71" i="13" s="1"/>
  <c r="AL284" i="3"/>
  <c r="AN203" i="3"/>
  <c r="AO203" i="3"/>
  <c r="AU73" i="12"/>
  <c r="AS73" i="12"/>
  <c r="AN244" i="3"/>
  <c r="AQ67" i="13"/>
  <c r="AS67" i="13"/>
  <c r="CO69" i="3"/>
  <c r="CQ69" i="3" s="1"/>
  <c r="CP69" i="3"/>
  <c r="AG103" i="13"/>
  <c r="AM284" i="3"/>
  <c r="AR72" i="3"/>
  <c r="AQ72" i="3"/>
  <c r="AS72" i="3"/>
  <c r="AU72" i="3" s="1"/>
  <c r="M26" i="9"/>
  <c r="AN233" i="3"/>
  <c r="S128" i="12"/>
  <c r="AA181" i="14"/>
  <c r="AA165" i="14" s="1"/>
  <c r="AK88" i="3"/>
  <c r="AM38" i="13"/>
  <c r="AN38" i="13" s="1"/>
  <c r="AB87" i="13"/>
  <c r="AM35" i="13"/>
  <c r="AQ56" i="13"/>
  <c r="AV56" i="13" s="1"/>
  <c r="AS56" i="13"/>
  <c r="AO60" i="13"/>
  <c r="AT56" i="13"/>
  <c r="AP198" i="3"/>
  <c r="AR198" i="3" s="1"/>
  <c r="AP245" i="3"/>
  <c r="AM241" i="3"/>
  <c r="AL104" i="13"/>
  <c r="AM39" i="12"/>
  <c r="K141" i="2"/>
  <c r="AM40" i="13"/>
  <c r="AN40" i="13"/>
  <c r="AV103" i="13"/>
  <c r="D102" i="11"/>
  <c r="AR69" i="12"/>
  <c r="AU69" i="12" s="1"/>
  <c r="AT73" i="12"/>
  <c r="AI103" i="11"/>
  <c r="CN66" i="3"/>
  <c r="AT68" i="12"/>
  <c r="AU68" i="12"/>
  <c r="AN282" i="3"/>
  <c r="AQ196" i="3"/>
  <c r="AP196" i="3"/>
  <c r="AS196" i="3" s="1"/>
  <c r="CN68" i="3"/>
  <c r="CO68" i="3"/>
  <c r="AT58" i="13"/>
  <c r="AW58" i="13" s="1"/>
  <c r="AP48" i="3"/>
  <c r="AD101" i="13"/>
  <c r="N23" i="9"/>
  <c r="O39" i="9"/>
  <c r="AX51" i="12"/>
  <c r="AM114" i="12"/>
  <c r="AK250" i="3"/>
  <c r="AO234" i="3"/>
  <c r="AN234" i="3"/>
  <c r="AP60" i="13"/>
  <c r="R31" i="9"/>
  <c r="R15" i="9" s="1"/>
  <c r="N20" i="9"/>
  <c r="O36" i="9"/>
  <c r="O20" i="9" s="1"/>
  <c r="N41" i="9"/>
  <c r="N25" i="9" s="1"/>
  <c r="AL161" i="3"/>
  <c r="AM322" i="3"/>
  <c r="AQ57" i="3"/>
  <c r="AM57" i="3"/>
  <c r="AP57" i="3" s="1"/>
  <c r="AN57" i="3"/>
  <c r="AO57" i="3"/>
  <c r="AK140" i="12"/>
  <c r="AS65" i="12"/>
  <c r="AX59" i="13"/>
  <c r="AP74" i="12"/>
  <c r="AN76" i="12"/>
  <c r="AB181" i="14"/>
  <c r="AB165" i="14"/>
  <c r="AL43" i="12"/>
  <c r="M111" i="1"/>
  <c r="AP225" i="3"/>
  <c r="AP101" i="12"/>
  <c r="AX70" i="12"/>
  <c r="AZ17" i="3"/>
  <c r="BA33" i="3"/>
  <c r="Z166" i="14"/>
  <c r="Z182" i="14"/>
  <c r="AH266" i="3"/>
  <c r="R55" i="9"/>
  <c r="Q55" i="9"/>
  <c r="AP44" i="3"/>
  <c r="AP16" i="3"/>
  <c r="AP28" i="3" s="1"/>
  <c r="R101" i="12"/>
  <c r="R102" i="13"/>
  <c r="AN69" i="3"/>
  <c r="M125" i="2"/>
  <c r="M126" i="2"/>
  <c r="M127" i="2"/>
  <c r="AM250" i="3"/>
  <c r="AN120" i="12"/>
  <c r="AM163" i="3"/>
  <c r="AO324" i="3"/>
  <c r="AL88" i="3"/>
  <c r="AL80" i="3"/>
  <c r="AL82" i="3"/>
  <c r="AL81" i="3"/>
  <c r="AM168" i="3"/>
  <c r="AN329" i="3"/>
  <c r="AM92" i="3"/>
  <c r="AM9" i="3"/>
  <c r="AN7" i="3"/>
  <c r="AQ44" i="3"/>
  <c r="AQ16" i="3"/>
  <c r="AQ28" i="3" s="1"/>
  <c r="AP68" i="3"/>
  <c r="Y219" i="3"/>
  <c r="Y272" i="3"/>
  <c r="Y278" i="3" s="1"/>
  <c r="S87" i="13"/>
  <c r="S103" i="13"/>
  <c r="S86" i="13"/>
  <c r="AR101" i="12"/>
  <c r="G101" i="11"/>
  <c r="G84" i="11"/>
  <c r="O105" i="11"/>
  <c r="O89" i="11"/>
  <c r="O88" i="11"/>
  <c r="Y85" i="7"/>
  <c r="AQ65" i="3"/>
  <c r="AC107" i="14"/>
  <c r="AC93" i="14"/>
  <c r="AM245" i="3"/>
  <c r="AO69" i="3"/>
  <c r="M119" i="2"/>
  <c r="M120" i="2"/>
  <c r="M121" i="2"/>
  <c r="AR56" i="13"/>
  <c r="Z131" i="12"/>
  <c r="AK45" i="13"/>
  <c r="AZ19" i="3"/>
  <c r="BA35" i="3"/>
  <c r="AL251" i="3"/>
  <c r="G103" i="12"/>
  <c r="AQ103" i="13"/>
  <c r="AU54" i="12"/>
  <c r="AW54" i="12" s="1"/>
  <c r="X104" i="12"/>
  <c r="X88" i="12"/>
  <c r="X133" i="12" s="1"/>
  <c r="AX66" i="12"/>
  <c r="AO282" i="3"/>
  <c r="I103" i="13"/>
  <c r="I87" i="13"/>
  <c r="AJ171" i="3"/>
  <c r="AK332" i="3"/>
  <c r="T129" i="12"/>
  <c r="AY102" i="13"/>
  <c r="AR67" i="13"/>
  <c r="AU67" i="13" s="1"/>
  <c r="AP104" i="13"/>
  <c r="AN116" i="12"/>
  <c r="AS54" i="12"/>
  <c r="AT54" i="12"/>
  <c r="O21" i="9"/>
  <c r="Q37" i="9"/>
  <c r="Q21" i="9" s="1"/>
  <c r="AO35" i="12"/>
  <c r="AP50" i="3"/>
  <c r="AT50" i="3" s="1"/>
  <c r="AR50" i="3"/>
  <c r="AQ50" i="3"/>
  <c r="O22" i="9"/>
  <c r="P38" i="9"/>
  <c r="AL249" i="3"/>
  <c r="AO233" i="3"/>
  <c r="R62" i="9"/>
  <c r="AQ74" i="12"/>
  <c r="AQ55" i="3"/>
  <c r="AS55" i="3" s="1"/>
  <c r="AN53" i="3"/>
  <c r="AR53" i="3" s="1"/>
  <c r="AP53" i="3"/>
  <c r="CN67" i="3"/>
  <c r="CM67" i="3"/>
  <c r="AJ251" i="3"/>
  <c r="AB270" i="3"/>
  <c r="AB276" i="3" s="1"/>
  <c r="AB212" i="3"/>
  <c r="AM54" i="3"/>
  <c r="AP54" i="3"/>
  <c r="AY26" i="3"/>
  <c r="AN70" i="3"/>
  <c r="M118" i="2"/>
  <c r="M117" i="2"/>
  <c r="M143" i="2" s="1"/>
  <c r="M116" i="2"/>
  <c r="AR55" i="12"/>
  <c r="AO60" i="12"/>
  <c r="AT55" i="12"/>
  <c r="AQ55" i="12"/>
  <c r="AS55" i="12"/>
  <c r="AD270" i="3"/>
  <c r="AD276" i="3" s="1"/>
  <c r="AD212" i="3"/>
  <c r="AY23" i="3"/>
  <c r="AZ32" i="3"/>
  <c r="AI251" i="3"/>
  <c r="M101" i="12"/>
  <c r="AN245" i="3"/>
  <c r="P101" i="12"/>
  <c r="P85" i="12" s="1"/>
  <c r="AN283" i="3"/>
  <c r="I181" i="14"/>
  <c r="I165" i="14" s="1"/>
  <c r="AM36" i="12"/>
  <c r="V128" i="12"/>
  <c r="AQ52" i="12"/>
  <c r="AN105" i="13"/>
  <c r="M122" i="2"/>
  <c r="M123" i="2"/>
  <c r="M124" i="2"/>
  <c r="AI86" i="3"/>
  <c r="AK86" i="3" s="1"/>
  <c r="AJ86" i="3"/>
  <c r="C102" i="11"/>
  <c r="J183" i="14"/>
  <c r="J167" i="14" s="1"/>
  <c r="AU58" i="3"/>
  <c r="AT102" i="12"/>
  <c r="K131" i="12"/>
  <c r="J105" i="13"/>
  <c r="AX58" i="12"/>
  <c r="AZ58" i="12" s="1"/>
  <c r="AR65" i="12"/>
  <c r="AU65" i="12" s="1"/>
  <c r="BA40" i="3"/>
  <c r="N73" i="9"/>
  <c r="AK119" i="12"/>
  <c r="AV53" i="12"/>
  <c r="AN241" i="3"/>
  <c r="L128" i="2"/>
  <c r="M142" i="2"/>
  <c r="M144" i="2" s="1"/>
  <c r="AP66" i="13"/>
  <c r="AS66" i="13"/>
  <c r="AQ66" i="13"/>
  <c r="AC350" i="3"/>
  <c r="AC177" i="3"/>
  <c r="AJ102" i="11"/>
  <c r="AE350" i="3"/>
  <c r="AE177" i="3"/>
  <c r="Y350" i="3"/>
  <c r="Y177" i="3"/>
  <c r="AP54" i="13"/>
  <c r="AY50" i="13"/>
  <c r="AP35" i="12"/>
  <c r="AN248" i="3"/>
  <c r="W101" i="12"/>
  <c r="Y182" i="14"/>
  <c r="Y166" i="14"/>
  <c r="AK123" i="12"/>
  <c r="AL163" i="3"/>
  <c r="AS65" i="3"/>
  <c r="L143" i="2"/>
  <c r="AG106" i="12"/>
  <c r="D181" i="14"/>
  <c r="D165" i="14"/>
  <c r="AM330" i="3"/>
  <c r="AW68" i="12"/>
  <c r="AI87" i="3"/>
  <c r="AK87" i="3" s="1"/>
  <c r="AJ87" i="3"/>
  <c r="U184" i="14"/>
  <c r="U168" i="14" s="1"/>
  <c r="AU70" i="12"/>
  <c r="O18" i="9"/>
  <c r="AU202" i="3"/>
  <c r="W84" i="12"/>
  <c r="AM252" i="3"/>
  <c r="K140" i="2"/>
  <c r="K128" i="2"/>
  <c r="L142" i="2"/>
  <c r="L144" i="2" s="1"/>
  <c r="AY51" i="12"/>
  <c r="AN330" i="3"/>
  <c r="AN242" i="3"/>
  <c r="AO204" i="3"/>
  <c r="AK235" i="3"/>
  <c r="AK103" i="11"/>
  <c r="S180" i="14"/>
  <c r="S164" i="14" s="1"/>
  <c r="AR44" i="3"/>
  <c r="AR16" i="3"/>
  <c r="AR28" i="3" s="1"/>
  <c r="AM104" i="13"/>
  <c r="AH103" i="12"/>
  <c r="AK281" i="3"/>
  <c r="AK205" i="3"/>
  <c r="AK285" i="3" s="1"/>
  <c r="R49" i="9"/>
  <c r="AG177" i="3"/>
  <c r="S163" i="14"/>
  <c r="AL283" i="3"/>
  <c r="AO199" i="3"/>
  <c r="AT44" i="3"/>
  <c r="AT16" i="3"/>
  <c r="AT28" i="3" s="1"/>
  <c r="AS67" i="3"/>
  <c r="AD350" i="3"/>
  <c r="AD177" i="3"/>
  <c r="AU44" i="3"/>
  <c r="AU16" i="3"/>
  <c r="AU28" i="3" s="1"/>
  <c r="E181" i="14"/>
  <c r="E165" i="14"/>
  <c r="N86" i="13"/>
  <c r="N102" i="13"/>
  <c r="AY102" i="12"/>
  <c r="AW101" i="12"/>
  <c r="AV102" i="12"/>
  <c r="H182" i="14"/>
  <c r="AO201" i="3"/>
  <c r="AY66" i="12"/>
  <c r="D164" i="14"/>
  <c r="AP43" i="13"/>
  <c r="V87" i="13"/>
  <c r="V103" i="13"/>
  <c r="AS65" i="13"/>
  <c r="U167" i="14"/>
  <c r="AO242" i="3"/>
  <c r="H101" i="13"/>
  <c r="H85" i="13"/>
  <c r="AH91" i="3"/>
  <c r="AU55" i="13"/>
  <c r="AY55" i="13" s="1"/>
  <c r="AB271" i="3"/>
  <c r="AB277" i="3" s="1"/>
  <c r="AB215" i="3"/>
  <c r="AL59" i="3"/>
  <c r="AO48" i="3"/>
  <c r="AR48" i="3" s="1"/>
  <c r="G181" i="14"/>
  <c r="G165" i="14" s="1"/>
  <c r="AP76" i="12"/>
  <c r="Q102" i="11"/>
  <c r="Q86" i="11"/>
  <c r="Q101" i="12"/>
  <c r="CO72" i="3"/>
  <c r="Q104" i="13"/>
  <c r="U87" i="11"/>
  <c r="U103" i="11"/>
  <c r="AE88" i="7"/>
  <c r="AE132" i="7" s="1"/>
  <c r="X88" i="7"/>
  <c r="X132" i="7" s="1"/>
  <c r="AE89" i="7"/>
  <c r="AE133" i="7" s="1"/>
  <c r="W132" i="7"/>
  <c r="AW55" i="13"/>
  <c r="AI85" i="3"/>
  <c r="AK85" i="3" s="1"/>
  <c r="AJ85" i="3"/>
  <c r="CP71" i="3"/>
  <c r="CO71" i="3"/>
  <c r="AL250" i="3"/>
  <c r="X182" i="14"/>
  <c r="AL248" i="3"/>
  <c r="O102" i="12"/>
  <c r="X103" i="11"/>
  <c r="C103" i="13"/>
  <c r="AA210" i="14"/>
  <c r="AA307" i="14"/>
  <c r="AP57" i="12"/>
  <c r="AS57" i="12" s="1"/>
  <c r="O14" i="9"/>
  <c r="AM247" i="3"/>
  <c r="N102" i="11"/>
  <c r="AZ24" i="3"/>
  <c r="AA241" i="14"/>
  <c r="AI265" i="3"/>
  <c r="AV50" i="13"/>
  <c r="AX50" i="13" s="1"/>
  <c r="AW58" i="12"/>
  <c r="AY58" i="12" s="1"/>
  <c r="AL245" i="3"/>
  <c r="AM243" i="3"/>
  <c r="AP232" i="3"/>
  <c r="AJ246" i="3"/>
  <c r="AN324" i="3"/>
  <c r="AS36" i="13"/>
  <c r="AP226" i="3"/>
  <c r="AS226" i="3" s="1"/>
  <c r="AM53" i="3"/>
  <c r="AO53" i="3" s="1"/>
  <c r="AR71" i="12"/>
  <c r="R46" i="9"/>
  <c r="AY44" i="3"/>
  <c r="AY16" i="3"/>
  <c r="I101" i="11"/>
  <c r="I85" i="11"/>
  <c r="T101" i="12"/>
  <c r="AE272" i="3"/>
  <c r="AE278" i="3" s="1"/>
  <c r="AE218" i="3"/>
  <c r="AN49" i="3"/>
  <c r="AO49" i="3"/>
  <c r="AP49" i="3"/>
  <c r="O17" i="9"/>
  <c r="AL102" i="12"/>
  <c r="P24" i="9"/>
  <c r="AQ197" i="3"/>
  <c r="AI90" i="3"/>
  <c r="AI91" i="3" s="1"/>
  <c r="AJ90" i="3"/>
  <c r="AS101" i="12"/>
  <c r="AB93" i="14"/>
  <c r="AV44" i="3"/>
  <c r="AV16" i="3"/>
  <c r="AV28" i="3" s="1"/>
  <c r="AM120" i="12"/>
  <c r="AQ242" i="3"/>
  <c r="AM34" i="12"/>
  <c r="AI102" i="12"/>
  <c r="P33" i="9"/>
  <c r="AX69" i="13"/>
  <c r="AU65" i="13"/>
  <c r="AQ72" i="12"/>
  <c r="AQ76" i="12" s="1"/>
  <c r="AA103" i="13"/>
  <c r="AX25" i="3"/>
  <c r="O24" i="9"/>
  <c r="AE131" i="12"/>
  <c r="AL328" i="3"/>
  <c r="AM328" i="3" s="1"/>
  <c r="AW102" i="13"/>
  <c r="AG212" i="3"/>
  <c r="AM33" i="13"/>
  <c r="AN33" i="13" s="1"/>
  <c r="AA132" i="12"/>
  <c r="AR72" i="12"/>
  <c r="AV51" i="13"/>
  <c r="AX51" i="13" s="1"/>
  <c r="AK45" i="12"/>
  <c r="AF103" i="13"/>
  <c r="AF87" i="13"/>
  <c r="AN204" i="3"/>
  <c r="AP204" i="3" s="1"/>
  <c r="G101" i="13"/>
  <c r="G85" i="13" s="1"/>
  <c r="AR36" i="13"/>
  <c r="N15" i="9"/>
  <c r="N26" i="9" s="1"/>
  <c r="Q31" i="9"/>
  <c r="Q15" i="9" s="1"/>
  <c r="AO231" i="3"/>
  <c r="AY69" i="13"/>
  <c r="AS54" i="13"/>
  <c r="AK59" i="3"/>
  <c r="AS57" i="13"/>
  <c r="AK243" i="3"/>
  <c r="AH104" i="13"/>
  <c r="AQ36" i="13"/>
  <c r="AT36" i="13" s="1"/>
  <c r="AK168" i="3"/>
  <c r="O50" i="9"/>
  <c r="P50" i="9" s="1"/>
  <c r="Q50" i="9" s="1"/>
  <c r="J101" i="11"/>
  <c r="J85" i="11"/>
  <c r="AO43" i="13"/>
  <c r="AO193" i="3"/>
  <c r="AQ193" i="3" s="1"/>
  <c r="Q64" i="9"/>
  <c r="C181" i="14"/>
  <c r="C165" i="14"/>
  <c r="AI246" i="3"/>
  <c r="AE103" i="13"/>
  <c r="AE87" i="13"/>
  <c r="AR65" i="3"/>
  <c r="Q69" i="9"/>
  <c r="R69" i="9" s="1"/>
  <c r="AY22" i="3"/>
  <c r="J84" i="11"/>
  <c r="AL168" i="3"/>
  <c r="R183" i="14"/>
  <c r="AK103" i="12"/>
  <c r="AJ104" i="13"/>
  <c r="AE104" i="12"/>
  <c r="AE88" i="12"/>
  <c r="AE133" i="12" s="1"/>
  <c r="N151" i="2"/>
  <c r="N149" i="2"/>
  <c r="N150" i="2"/>
  <c r="N152" i="2"/>
  <c r="W87" i="13"/>
  <c r="W103" i="13"/>
  <c r="A8" i="6"/>
  <c r="S7" i="6"/>
  <c r="AN66" i="3"/>
  <c r="AJ44" i="3"/>
  <c r="DH32" i="3"/>
  <c r="DH44" i="3" s="1"/>
  <c r="AJ16" i="3"/>
  <c r="AJ28" i="3" s="1"/>
  <c r="AW44" i="3"/>
  <c r="AW16" i="3"/>
  <c r="AW28" i="3" s="1"/>
  <c r="B105" i="13"/>
  <c r="AQ194" i="3"/>
  <c r="AS194" i="3" s="1"/>
  <c r="AV54" i="12"/>
  <c r="AM118" i="12"/>
  <c r="AU64" i="3"/>
  <c r="Q33" i="9"/>
  <c r="Q17" i="9" s="1"/>
  <c r="O129" i="12"/>
  <c r="AU59" i="13"/>
  <c r="AO44" i="12"/>
  <c r="AN38" i="12"/>
  <c r="AD87" i="12"/>
  <c r="AD132" i="12" s="1"/>
  <c r="AD103" i="12"/>
  <c r="K101" i="13"/>
  <c r="K85" i="13" s="1"/>
  <c r="AJ167" i="3"/>
  <c r="AX22" i="3"/>
  <c r="AZ38" i="3"/>
  <c r="BA38" i="3" s="1"/>
  <c r="AJ166" i="3"/>
  <c r="AK327" i="3"/>
  <c r="AV70" i="12"/>
  <c r="AS49" i="13"/>
  <c r="AQ101" i="12"/>
  <c r="AK230" i="3"/>
  <c r="AN230" i="3" s="1"/>
  <c r="AA104" i="12"/>
  <c r="AA88" i="12" s="1"/>
  <c r="AJ101" i="12"/>
  <c r="AL33" i="12"/>
  <c r="AL44" i="13"/>
  <c r="AL45" i="13" s="1"/>
  <c r="AH265" i="3"/>
  <c r="D101" i="13"/>
  <c r="AF86" i="13"/>
  <c r="W181" i="14"/>
  <c r="W165" i="14"/>
  <c r="AO120" i="12"/>
  <c r="O86" i="13"/>
  <c r="O102" i="13"/>
  <c r="AS58" i="3"/>
  <c r="AJ170" i="3"/>
  <c r="AK331" i="3"/>
  <c r="Z103" i="12"/>
  <c r="Z87" i="12"/>
  <c r="Z132" i="12" s="1"/>
  <c r="AJ243" i="3"/>
  <c r="AO227" i="3"/>
  <c r="F103" i="12"/>
  <c r="F87" i="12"/>
  <c r="AB272" i="3"/>
  <c r="AB278" i="3" s="1"/>
  <c r="AL117" i="12"/>
  <c r="AM117" i="12" s="1"/>
  <c r="AI140" i="12"/>
  <c r="P51" i="9"/>
  <c r="Q51" i="9" s="1"/>
  <c r="F181" i="14"/>
  <c r="F165" i="14" s="1"/>
  <c r="AI104" i="13"/>
  <c r="AG253" i="3"/>
  <c r="AT57" i="13"/>
  <c r="T181" i="14"/>
  <c r="T165" i="14" s="1"/>
  <c r="Q34" i="9"/>
  <c r="AT58" i="3"/>
  <c r="Q72" i="9"/>
  <c r="R72" i="9" s="1"/>
  <c r="BA32" i="3"/>
  <c r="BB32" i="3" s="1"/>
  <c r="I84" i="11"/>
  <c r="AN252" i="3"/>
  <c r="AP53" i="13"/>
  <c r="G164" i="14"/>
  <c r="B181" i="14"/>
  <c r="B165" i="14" s="1"/>
  <c r="AL243" i="3"/>
  <c r="L102" i="12"/>
  <c r="L86" i="12"/>
  <c r="L131" i="12" s="1"/>
  <c r="AO52" i="3"/>
  <c r="AR52" i="3" s="1"/>
  <c r="DF32" i="3"/>
  <c r="DF44" i="3" s="1"/>
  <c r="AH44" i="3"/>
  <c r="AX44" i="3"/>
  <c r="AX16" i="3"/>
  <c r="Y271" i="3"/>
  <c r="Y277" i="3" s="1"/>
  <c r="V165" i="14"/>
  <c r="V181" i="14"/>
  <c r="AQ54" i="13"/>
  <c r="T103" i="13"/>
  <c r="AU195" i="3"/>
  <c r="AX102" i="13"/>
  <c r="AL121" i="12"/>
  <c r="AU71" i="12"/>
  <c r="DG32" i="3"/>
  <c r="DG44" i="3" s="1"/>
  <c r="AI44" i="3"/>
  <c r="AI16" i="3"/>
  <c r="AI28" i="3" s="1"/>
  <c r="AC223" i="14"/>
  <c r="AC239" i="14" s="1"/>
  <c r="AP72" i="12"/>
  <c r="N136" i="2"/>
  <c r="AG396" i="3"/>
  <c r="AG4" i="3"/>
  <c r="AG6" i="3" s="1"/>
  <c r="AG10" i="3" s="1"/>
  <c r="AH3" i="3" s="1"/>
  <c r="V164" i="14"/>
  <c r="AG102" i="11"/>
  <c r="Y101" i="13"/>
  <c r="Y85" i="13" s="1"/>
  <c r="AK122" i="12"/>
  <c r="AS75" i="12"/>
  <c r="T86" i="13"/>
  <c r="AU101" i="13"/>
  <c r="AL75" i="3"/>
  <c r="AX26" i="3"/>
  <c r="AZ42" i="3"/>
  <c r="P68" i="9"/>
  <c r="R68" i="9" s="1"/>
  <c r="Q68" i="9"/>
  <c r="AP74" i="3"/>
  <c r="N182" i="14"/>
  <c r="X102" i="13"/>
  <c r="X86" i="13" s="1"/>
  <c r="AO229" i="3"/>
  <c r="AQ229" i="3" s="1"/>
  <c r="AR65" i="13"/>
  <c r="D103" i="12"/>
  <c r="P56" i="9"/>
  <c r="Q56" i="9" s="1"/>
  <c r="AN227" i="3"/>
  <c r="AP227" i="3" s="1"/>
  <c r="F164" i="14"/>
  <c r="AC270" i="3"/>
  <c r="AC276" i="3" s="1"/>
  <c r="AC212" i="3"/>
  <c r="L88" i="11"/>
  <c r="L104" i="11"/>
  <c r="W101" i="11"/>
  <c r="W85" i="11" s="1"/>
  <c r="AO51" i="3"/>
  <c r="AP115" i="12"/>
  <c r="AI266" i="3"/>
  <c r="T164" i="14"/>
  <c r="AF271" i="3"/>
  <c r="AF277" i="3" s="1"/>
  <c r="Z87" i="11"/>
  <c r="Z103" i="11"/>
  <c r="N18" i="9"/>
  <c r="AR58" i="3"/>
  <c r="AO72" i="12"/>
  <c r="AT72" i="12" s="1"/>
  <c r="AX103" i="12"/>
  <c r="AF101" i="11"/>
  <c r="AE102" i="11"/>
  <c r="AA269" i="3"/>
  <c r="AA189" i="3"/>
  <c r="AA209" i="3"/>
  <c r="AA221" i="3" s="1"/>
  <c r="P102" i="13"/>
  <c r="P86" i="13" s="1"/>
  <c r="C87" i="12"/>
  <c r="C103" i="12"/>
  <c r="E102" i="11"/>
  <c r="E86" i="11" s="1"/>
  <c r="AJ169" i="3"/>
  <c r="V103" i="11"/>
  <c r="K101" i="11"/>
  <c r="K85" i="11"/>
  <c r="AY25" i="3"/>
  <c r="F103" i="13"/>
  <c r="E85" i="11"/>
  <c r="L85" i="12"/>
  <c r="AP201" i="3"/>
  <c r="AO252" i="3"/>
  <c r="DI32" i="3"/>
  <c r="DI44" i="3" s="1"/>
  <c r="AK44" i="3"/>
  <c r="AK16" i="3"/>
  <c r="AK28" i="3" s="1"/>
  <c r="AC102" i="11"/>
  <c r="AC86" i="11" s="1"/>
  <c r="AJ263" i="3"/>
  <c r="AB103" i="12"/>
  <c r="AB87" i="12"/>
  <c r="AB132" i="12" s="1"/>
  <c r="L181" i="14"/>
  <c r="L165" i="14" s="1"/>
  <c r="AQ57" i="12"/>
  <c r="AA104" i="11"/>
  <c r="BW49" i="3"/>
  <c r="AU49" i="12"/>
  <c r="AU103" i="12"/>
  <c r="AS69" i="12"/>
  <c r="Q181" i="14"/>
  <c r="AW49" i="13"/>
  <c r="AQ225" i="3"/>
  <c r="AK241" i="3"/>
  <c r="O63" i="9"/>
  <c r="O73" i="9" s="1"/>
  <c r="AM121" i="12"/>
  <c r="AN121" i="12" s="1"/>
  <c r="Y87" i="11"/>
  <c r="Y103" i="11"/>
  <c r="AK244" i="3"/>
  <c r="P34" i="9"/>
  <c r="AL281" i="3"/>
  <c r="AL205" i="3"/>
  <c r="AL285" i="3" s="1"/>
  <c r="AE271" i="3"/>
  <c r="AE277" i="3" s="1"/>
  <c r="AE215" i="3"/>
  <c r="U101" i="13"/>
  <c r="AS56" i="12"/>
  <c r="AM76" i="12"/>
  <c r="K104" i="12"/>
  <c r="K88" i="12"/>
  <c r="K133" i="12" s="1"/>
  <c r="AW49" i="12"/>
  <c r="AP236" i="3"/>
  <c r="M87" i="11"/>
  <c r="M103" i="11"/>
  <c r="DJ32" i="3"/>
  <c r="DJ44" i="3" s="1"/>
  <c r="AL44" i="3"/>
  <c r="AL16" i="3"/>
  <c r="AL28" i="3" s="1"/>
  <c r="AB131" i="12"/>
  <c r="AQ42" i="13"/>
  <c r="CM70" i="3"/>
  <c r="CP70" i="3" s="1"/>
  <c r="DE44" i="3"/>
  <c r="Z216" i="14"/>
  <c r="Z232" i="14" s="1"/>
  <c r="Z248" i="14" s="1"/>
  <c r="Z313" i="14"/>
  <c r="R102" i="11"/>
  <c r="R86" i="11" s="1"/>
  <c r="AW59" i="13"/>
  <c r="AY59" i="13" s="1"/>
  <c r="CO74" i="3"/>
  <c r="CN74" i="3"/>
  <c r="CQ74" i="3" s="1"/>
  <c r="Y86" i="11"/>
  <c r="J104" i="12"/>
  <c r="J88" i="12"/>
  <c r="AJ142" i="12"/>
  <c r="AC103" i="13"/>
  <c r="B101" i="11"/>
  <c r="B85" i="11" s="1"/>
  <c r="CP72" i="3"/>
  <c r="K21" i="1"/>
  <c r="K32" i="1" s="1"/>
  <c r="K3" i="1" s="1"/>
  <c r="K80" i="1"/>
  <c r="K5" i="1" s="1"/>
  <c r="K7" i="1" s="1"/>
  <c r="AO68" i="3"/>
  <c r="AR68" i="3" s="1"/>
  <c r="AK105" i="13"/>
  <c r="U84" i="13"/>
  <c r="I103" i="12"/>
  <c r="I87" i="12"/>
  <c r="AC271" i="3"/>
  <c r="AC277" i="3" s="1"/>
  <c r="AC215" i="3"/>
  <c r="K87" i="12"/>
  <c r="K132" i="12" s="1"/>
  <c r="E101" i="13"/>
  <c r="E85" i="13" s="1"/>
  <c r="AR67" i="12"/>
  <c r="R56" i="9"/>
  <c r="AD102" i="11"/>
  <c r="P102" i="11"/>
  <c r="P86" i="11" s="1"/>
  <c r="CM73" i="3"/>
  <c r="CO73" i="3" s="1"/>
  <c r="AT49" i="12"/>
  <c r="Q40" i="9"/>
  <c r="AT53" i="13"/>
  <c r="AS53" i="13"/>
  <c r="AR72" i="13"/>
  <c r="AO37" i="12"/>
  <c r="AN37" i="12"/>
  <c r="AW51" i="12"/>
  <c r="AZ51" i="12" s="1"/>
  <c r="AD271" i="3"/>
  <c r="AD277" i="3" s="1"/>
  <c r="AD215" i="3"/>
  <c r="AQ232" i="3"/>
  <c r="AL330" i="3"/>
  <c r="AT195" i="3"/>
  <c r="K180" i="14"/>
  <c r="AM165" i="3"/>
  <c r="AN326" i="3"/>
  <c r="P181" i="14"/>
  <c r="P165" i="14" s="1"/>
  <c r="AM44" i="3"/>
  <c r="DK32" i="3"/>
  <c r="DK44" i="3" s="1"/>
  <c r="AM16" i="3"/>
  <c r="AM28" i="3" s="1"/>
  <c r="AB211" i="14"/>
  <c r="AB227" i="14" s="1"/>
  <c r="AB243" i="14" s="1"/>
  <c r="AB308" i="14"/>
  <c r="AQ72" i="13"/>
  <c r="AJ141" i="12"/>
  <c r="CN77" i="3"/>
  <c r="CO77" i="3"/>
  <c r="AM244" i="3"/>
  <c r="AH102" i="11"/>
  <c r="Z231" i="14"/>
  <c r="Z247" i="14" s="1"/>
  <c r="E87" i="12"/>
  <c r="E103" i="12"/>
  <c r="AM283" i="3"/>
  <c r="AI142" i="12"/>
  <c r="S101" i="12"/>
  <c r="S85" i="12" s="1"/>
  <c r="AL34" i="13"/>
  <c r="Z102" i="13"/>
  <c r="Z86" i="13" s="1"/>
  <c r="Y104" i="12"/>
  <c r="Y88" i="12" s="1"/>
  <c r="Y133" i="12" s="1"/>
  <c r="AB103" i="11"/>
  <c r="AR42" i="12"/>
  <c r="P164" i="14"/>
  <c r="AN44" i="3"/>
  <c r="AN16" i="3"/>
  <c r="AN28" i="3" s="1"/>
  <c r="AB226" i="14"/>
  <c r="AB242" i="14" s="1"/>
  <c r="AP200" i="3"/>
  <c r="AS200" i="3" s="1"/>
  <c r="AO39" i="13"/>
  <c r="AQ236" i="3"/>
  <c r="B102" i="12"/>
  <c r="B86" i="12"/>
  <c r="AR50" i="12"/>
  <c r="AT50" i="12" s="1"/>
  <c r="AS50" i="12"/>
  <c r="AH264" i="3"/>
  <c r="AH267" i="3" s="1"/>
  <c r="AH173" i="3"/>
  <c r="AH12" i="3" s="1"/>
  <c r="AF104" i="12"/>
  <c r="AF88" i="12"/>
  <c r="AF133" i="12" s="1"/>
  <c r="BA39" i="3"/>
  <c r="BB39" i="3" s="1"/>
  <c r="AJ162" i="3"/>
  <c r="AK323" i="3"/>
  <c r="E86" i="12"/>
  <c r="AS74" i="13"/>
  <c r="AU74" i="13" s="1"/>
  <c r="AJ143" i="12"/>
  <c r="AN112" i="12"/>
  <c r="AB350" i="3"/>
  <c r="AB177" i="3"/>
  <c r="S84" i="12"/>
  <c r="S129" i="12" s="1"/>
  <c r="AM41" i="12"/>
  <c r="AN41" i="13"/>
  <c r="Z85" i="13"/>
  <c r="Y87" i="12"/>
  <c r="AV59" i="12"/>
  <c r="AX59" i="12" s="1"/>
  <c r="AB86" i="11"/>
  <c r="AK82" i="3"/>
  <c r="AF350" i="3"/>
  <c r="AF177" i="3"/>
  <c r="AR53" i="13"/>
  <c r="AE270" i="3"/>
  <c r="AE276" i="3" s="1"/>
  <c r="AE212" i="3"/>
  <c r="AO228" i="3"/>
  <c r="AQ228" i="3" s="1"/>
  <c r="AC213" i="14"/>
  <c r="AC229" i="14" s="1"/>
  <c r="AC245" i="14" s="1"/>
  <c r="AC310" i="14"/>
  <c r="AL113" i="12"/>
  <c r="AL40" i="12"/>
  <c r="AC181" i="14"/>
  <c r="AC165" i="14"/>
  <c r="P30" i="9"/>
  <c r="AQ68" i="13"/>
  <c r="AP37" i="13"/>
  <c r="AZ18" i="3" l="1"/>
  <c r="CQ68" i="3"/>
  <c r="AZ25" i="3"/>
  <c r="AL84" i="3"/>
  <c r="AL83" i="3"/>
  <c r="AQ199" i="3"/>
  <c r="AL89" i="3"/>
  <c r="AK89" i="3"/>
  <c r="AP193" i="3"/>
  <c r="AV202" i="3"/>
  <c r="AZ202" i="3" s="1"/>
  <c r="BB202" i="3" s="1"/>
  <c r="CQ71" i="3"/>
  <c r="CS71" i="3" s="1"/>
  <c r="CU71" i="3" s="1"/>
  <c r="BA18" i="3"/>
  <c r="AY202" i="3"/>
  <c r="AS236" i="3"/>
  <c r="AQ201" i="3"/>
  <c r="AQ205" i="3" s="1"/>
  <c r="AQ285" i="3" s="1"/>
  <c r="AR199" i="3"/>
  <c r="AT199" i="3" s="1"/>
  <c r="AP283" i="3"/>
  <c r="BA25" i="3"/>
  <c r="BB41" i="3"/>
  <c r="BC41" i="3" s="1"/>
  <c r="BC25" i="3" s="1"/>
  <c r="AM230" i="3"/>
  <c r="AO230" i="3" s="1"/>
  <c r="BC39" i="3"/>
  <c r="BD39" i="3" s="1"/>
  <c r="AX202" i="3"/>
  <c r="BA202" i="3" s="1"/>
  <c r="BB35" i="3"/>
  <c r="BC35" i="3" s="1"/>
  <c r="BC34" i="3"/>
  <c r="BC18" i="3" s="1"/>
  <c r="AL253" i="3"/>
  <c r="CR71" i="3"/>
  <c r="AX28" i="3"/>
  <c r="AJ253" i="3"/>
  <c r="AQ234" i="3"/>
  <c r="AQ250" i="3" s="1"/>
  <c r="AQ227" i="3"/>
  <c r="AV195" i="3"/>
  <c r="AX195" i="3" s="1"/>
  <c r="AS225" i="3"/>
  <c r="AS241" i="3" s="1"/>
  <c r="CP77" i="3"/>
  <c r="CR77" i="3" s="1"/>
  <c r="AS193" i="3"/>
  <c r="AI253" i="3"/>
  <c r="BA21" i="3"/>
  <c r="BC37" i="3"/>
  <c r="AS252" i="3"/>
  <c r="AQ283" i="3"/>
  <c r="AQ244" i="3"/>
  <c r="AS228" i="3"/>
  <c r="S130" i="12"/>
  <c r="BA27" i="3"/>
  <c r="BB43" i="3"/>
  <c r="BC43" i="3" s="1"/>
  <c r="AO38" i="13"/>
  <c r="AP38" i="13"/>
  <c r="CQ73" i="3"/>
  <c r="AO121" i="12"/>
  <c r="AO33" i="13"/>
  <c r="AS43" i="13"/>
  <c r="AV55" i="3"/>
  <c r="AY55" i="3" s="1"/>
  <c r="AX55" i="3"/>
  <c r="AM140" i="12"/>
  <c r="AM167" i="3"/>
  <c r="AP328" i="3"/>
  <c r="AO328" i="3"/>
  <c r="AN328" i="3"/>
  <c r="P130" i="12"/>
  <c r="AA133" i="12"/>
  <c r="AP243" i="3"/>
  <c r="AS227" i="3"/>
  <c r="AK91" i="3"/>
  <c r="AL164" i="3"/>
  <c r="AU194" i="3"/>
  <c r="AM171" i="3"/>
  <c r="AQ245" i="3"/>
  <c r="BA22" i="3"/>
  <c r="BB38" i="3"/>
  <c r="BC38" i="3" s="1"/>
  <c r="AW50" i="12"/>
  <c r="AU72" i="13"/>
  <c r="N103" i="11"/>
  <c r="BA24" i="3"/>
  <c r="AG104" i="13"/>
  <c r="AT52" i="13"/>
  <c r="AT52" i="12"/>
  <c r="AL90" i="3"/>
  <c r="AN284" i="3"/>
  <c r="P14" i="9"/>
  <c r="Q30" i="9"/>
  <c r="N120" i="2"/>
  <c r="N121" i="2"/>
  <c r="N119" i="2"/>
  <c r="AY51" i="13"/>
  <c r="AS42" i="12"/>
  <c r="AT42" i="12"/>
  <c r="G102" i="11"/>
  <c r="AZ44" i="3"/>
  <c r="AZ16" i="3"/>
  <c r="BC32" i="3"/>
  <c r="BD32" i="3" s="1"/>
  <c r="AN35" i="13"/>
  <c r="AZ105" i="12"/>
  <c r="AV64" i="3"/>
  <c r="AZ58" i="3"/>
  <c r="AQ121" i="12"/>
  <c r="Q18" i="9"/>
  <c r="H183" i="14"/>
  <c r="AT73" i="13"/>
  <c r="AK106" i="13"/>
  <c r="AQ53" i="3"/>
  <c r="AX103" i="13"/>
  <c r="X88" i="11"/>
  <c r="X104" i="11"/>
  <c r="H166" i="14"/>
  <c r="AI104" i="11"/>
  <c r="AL105" i="13"/>
  <c r="AK333" i="3"/>
  <c r="AK172" i="3" s="1"/>
  <c r="AO70" i="3"/>
  <c r="AP244" i="3"/>
  <c r="AU225" i="3"/>
  <c r="AQ33" i="13"/>
  <c r="K102" i="11"/>
  <c r="L105" i="11"/>
  <c r="L103" i="12"/>
  <c r="L87" i="12" s="1"/>
  <c r="AL45" i="12"/>
  <c r="AO33" i="12"/>
  <c r="AM33" i="12"/>
  <c r="AN33" i="12"/>
  <c r="AJ265" i="3"/>
  <c r="AW4" i="3"/>
  <c r="AO205" i="3"/>
  <c r="AO285" i="3" s="1"/>
  <c r="AO281" i="3"/>
  <c r="AQ68" i="3"/>
  <c r="AP242" i="3"/>
  <c r="AR226" i="3"/>
  <c r="AQ204" i="3"/>
  <c r="X87" i="11"/>
  <c r="U88" i="11"/>
  <c r="U104" i="11"/>
  <c r="Y269" i="3"/>
  <c r="Y189" i="3"/>
  <c r="Y209" i="3"/>
  <c r="Y221" i="3" s="1"/>
  <c r="AS199" i="3"/>
  <c r="AU199" i="3" s="1"/>
  <c r="S104" i="13"/>
  <c r="AM43" i="12"/>
  <c r="AU55" i="3"/>
  <c r="AW67" i="13"/>
  <c r="AK263" i="3"/>
  <c r="AV58" i="13"/>
  <c r="T102" i="12"/>
  <c r="AS242" i="3"/>
  <c r="AP105" i="13"/>
  <c r="N127" i="2"/>
  <c r="N126" i="2"/>
  <c r="N125" i="2"/>
  <c r="AW50" i="3"/>
  <c r="AU4" i="3"/>
  <c r="J90" i="13"/>
  <c r="J106" i="13"/>
  <c r="AS103" i="13"/>
  <c r="AL122" i="12"/>
  <c r="AL142" i="12" s="1"/>
  <c r="BA16" i="3"/>
  <c r="AY103" i="13"/>
  <c r="AO163" i="3"/>
  <c r="H103" i="11"/>
  <c r="AC182" i="14"/>
  <c r="AU56" i="12"/>
  <c r="AV57" i="13"/>
  <c r="AX57" i="13" s="1"/>
  <c r="AH104" i="12"/>
  <c r="AN92" i="3"/>
  <c r="AN9" i="3"/>
  <c r="AO7" i="3"/>
  <c r="CP68" i="3"/>
  <c r="CS68" i="3" s="1"/>
  <c r="AO35" i="13"/>
  <c r="AT65" i="12"/>
  <c r="AC214" i="14"/>
  <c r="AC230" i="14" s="1"/>
  <c r="AC246" i="14" s="1"/>
  <c r="AC311" i="14"/>
  <c r="Q182" i="14"/>
  <c r="J168" i="14"/>
  <c r="J184" i="14"/>
  <c r="AL119" i="12"/>
  <c r="R87" i="11"/>
  <c r="R103" i="11"/>
  <c r="V88" i="11"/>
  <c r="V104" i="11"/>
  <c r="AX55" i="13"/>
  <c r="AO243" i="3"/>
  <c r="R168" i="14"/>
  <c r="R184" i="14"/>
  <c r="AQ328" i="3"/>
  <c r="AL167" i="3"/>
  <c r="AW195" i="3"/>
  <c r="O103" i="12"/>
  <c r="O87" i="12"/>
  <c r="O132" i="12" s="1"/>
  <c r="AV103" i="12"/>
  <c r="AT4" i="3"/>
  <c r="W129" i="12"/>
  <c r="C103" i="11"/>
  <c r="C87" i="11" s="1"/>
  <c r="R73" i="9"/>
  <c r="AL85" i="3"/>
  <c r="AP282" i="3"/>
  <c r="AR225" i="3"/>
  <c r="AT67" i="13"/>
  <c r="AP39" i="13"/>
  <c r="AD87" i="11"/>
  <c r="AD103" i="11"/>
  <c r="AQ52" i="3"/>
  <c r="V87" i="11"/>
  <c r="T104" i="13"/>
  <c r="T88" i="13"/>
  <c r="AR227" i="3"/>
  <c r="AU227" i="3" s="1"/>
  <c r="R167" i="14"/>
  <c r="O86" i="12"/>
  <c r="Q105" i="13"/>
  <c r="H102" i="13"/>
  <c r="H86" i="13" s="1"/>
  <c r="AW102" i="12"/>
  <c r="AR4" i="3"/>
  <c r="AE189" i="3"/>
  <c r="AE269" i="3"/>
  <c r="AE209" i="3"/>
  <c r="AE221" i="3" s="1"/>
  <c r="C86" i="11"/>
  <c r="AZ54" i="12"/>
  <c r="AC123" i="14"/>
  <c r="AC108" i="14"/>
  <c r="AR196" i="3"/>
  <c r="AU196" i="3" s="1"/>
  <c r="AT69" i="12"/>
  <c r="AS42" i="13"/>
  <c r="AR70" i="13"/>
  <c r="M165" i="14"/>
  <c r="M181" i="14"/>
  <c r="AN34" i="12"/>
  <c r="AJ164" i="3"/>
  <c r="AJ333" i="3"/>
  <c r="AJ172" i="3" s="1"/>
  <c r="AM325" i="3"/>
  <c r="F86" i="11"/>
  <c r="F102" i="11"/>
  <c r="AP73" i="3"/>
  <c r="N87" i="12"/>
  <c r="N132" i="12" s="1"/>
  <c r="N103" i="12"/>
  <c r="BB16" i="3"/>
  <c r="AP248" i="3"/>
  <c r="X103" i="13"/>
  <c r="CP66" i="3"/>
  <c r="CR66" i="3" s="1"/>
  <c r="AQ203" i="3"/>
  <c r="BB36" i="3"/>
  <c r="AO56" i="3"/>
  <c r="AN102" i="12"/>
  <c r="AN41" i="12"/>
  <c r="AO41" i="12" s="1"/>
  <c r="J89" i="13"/>
  <c r="N122" i="2"/>
  <c r="N123" i="2"/>
  <c r="N124" i="2"/>
  <c r="AA211" i="14"/>
  <c r="AA227" i="14" s="1"/>
  <c r="AA243" i="14" s="1"/>
  <c r="AA308" i="14"/>
  <c r="AV50" i="12"/>
  <c r="AX50" i="12" s="1"/>
  <c r="AV56" i="12"/>
  <c r="B106" i="13"/>
  <c r="AQ48" i="3"/>
  <c r="AS48" i="3" s="1"/>
  <c r="AT103" i="12"/>
  <c r="AP102" i="12"/>
  <c r="AB269" i="3"/>
  <c r="AB189" i="3"/>
  <c r="AB209" i="3"/>
  <c r="AB221" i="3" s="1"/>
  <c r="AF102" i="11"/>
  <c r="AS74" i="3"/>
  <c r="C104" i="13"/>
  <c r="AY71" i="12"/>
  <c r="AN161" i="3"/>
  <c r="K165" i="14"/>
  <c r="K181" i="14"/>
  <c r="AK4" i="3"/>
  <c r="AM105" i="13"/>
  <c r="P87" i="11"/>
  <c r="P103" i="11"/>
  <c r="AL4" i="3"/>
  <c r="AJ102" i="12"/>
  <c r="K102" i="13"/>
  <c r="P102" i="12"/>
  <c r="P86" i="12" s="1"/>
  <c r="BA19" i="3"/>
  <c r="M87" i="13"/>
  <c r="M103" i="13"/>
  <c r="AR228" i="3"/>
  <c r="N130" i="12"/>
  <c r="AG390" i="3"/>
  <c r="AG393" i="3"/>
  <c r="AG388" i="3"/>
  <c r="AG21" i="13" s="1"/>
  <c r="AG389" i="3"/>
  <c r="AG391" i="3"/>
  <c r="AG392" i="3"/>
  <c r="AG394" i="3"/>
  <c r="AQ39" i="13"/>
  <c r="AR39" i="13" s="1"/>
  <c r="AL169" i="3"/>
  <c r="AD86" i="11"/>
  <c r="AU104" i="12"/>
  <c r="AW74" i="13"/>
  <c r="AY74" i="13" s="1"/>
  <c r="AU72" i="12"/>
  <c r="AZ26" i="3"/>
  <c r="BA42" i="3"/>
  <c r="T87" i="13"/>
  <c r="AD104" i="12"/>
  <c r="AV71" i="12"/>
  <c r="AX71" i="12" s="1"/>
  <c r="AR232" i="3"/>
  <c r="Q88" i="13"/>
  <c r="AU226" i="3"/>
  <c r="AN118" i="12"/>
  <c r="AO54" i="3"/>
  <c r="AO249" i="3"/>
  <c r="AY54" i="12"/>
  <c r="I104" i="13"/>
  <c r="I88" i="13"/>
  <c r="AS57" i="3"/>
  <c r="AU57" i="3" s="1"/>
  <c r="AR57" i="3"/>
  <c r="AN114" i="12"/>
  <c r="AQ282" i="3"/>
  <c r="AO76" i="12"/>
  <c r="AM75" i="3"/>
  <c r="M164" i="14"/>
  <c r="F85" i="11"/>
  <c r="AX74" i="13"/>
  <c r="H104" i="12"/>
  <c r="H88" i="12"/>
  <c r="AS68" i="13"/>
  <c r="H87" i="12"/>
  <c r="AO41" i="13"/>
  <c r="K105" i="12"/>
  <c r="I86" i="11"/>
  <c r="I102" i="11"/>
  <c r="W182" i="14"/>
  <c r="AS197" i="3"/>
  <c r="AU197" i="3" s="1"/>
  <c r="AK90" i="3"/>
  <c r="AM90" i="3" s="1"/>
  <c r="B540" i="5"/>
  <c r="AG26" i="3" s="1"/>
  <c r="AG25" i="3"/>
  <c r="AQ104" i="13"/>
  <c r="AY50" i="12"/>
  <c r="AE103" i="11"/>
  <c r="AS52" i="12"/>
  <c r="AN165" i="3"/>
  <c r="AI103" i="12"/>
  <c r="G85" i="11"/>
  <c r="Q24" i="9"/>
  <c r="R40" i="9"/>
  <c r="R24" i="9" s="1"/>
  <c r="AU36" i="13"/>
  <c r="AV71" i="13"/>
  <c r="AX71" i="13" s="1"/>
  <c r="AN4" i="3"/>
  <c r="F104" i="13"/>
  <c r="F88" i="13" s="1"/>
  <c r="P63" i="9"/>
  <c r="P73" i="9" s="1"/>
  <c r="Q63" i="9"/>
  <c r="Q73" i="9" s="1"/>
  <c r="X105" i="12"/>
  <c r="X89" i="12"/>
  <c r="AK265" i="3"/>
  <c r="N117" i="2"/>
  <c r="N116" i="2"/>
  <c r="N118" i="2"/>
  <c r="AY4" i="3"/>
  <c r="AR229" i="3"/>
  <c r="AM169" i="3"/>
  <c r="R63" i="9"/>
  <c r="P17" i="9"/>
  <c r="R33" i="9"/>
  <c r="R17" i="9" s="1"/>
  <c r="CR69" i="3"/>
  <c r="CT69" i="3" s="1"/>
  <c r="CR75" i="3"/>
  <c r="AL171" i="3"/>
  <c r="Y102" i="13"/>
  <c r="Y86" i="13" s="1"/>
  <c r="AO4" i="3"/>
  <c r="AA226" i="14"/>
  <c r="AA242" i="14" s="1"/>
  <c r="AD189" i="3"/>
  <c r="AD269" i="3"/>
  <c r="AD209" i="3"/>
  <c r="AD221" i="3" s="1"/>
  <c r="AT57" i="12"/>
  <c r="AX57" i="12" s="1"/>
  <c r="AG103" i="11"/>
  <c r="AJ105" i="13"/>
  <c r="AQ120" i="12"/>
  <c r="AR120" i="12" s="1"/>
  <c r="AN250" i="3"/>
  <c r="AO71" i="3"/>
  <c r="B103" i="12"/>
  <c r="B87" i="12" s="1"/>
  <c r="AF85" i="11"/>
  <c r="AR66" i="13"/>
  <c r="AR76" i="13" s="1"/>
  <c r="AN59" i="3"/>
  <c r="CQ76" i="3"/>
  <c r="AI105" i="13"/>
  <c r="AA105" i="12"/>
  <c r="AY103" i="12"/>
  <c r="Z218" i="14"/>
  <c r="Z234" i="14" s="1"/>
  <c r="Z250" i="14" s="1"/>
  <c r="Z217" i="14"/>
  <c r="AV49" i="12"/>
  <c r="AY49" i="12" s="1"/>
  <c r="AT227" i="3"/>
  <c r="AN243" i="3"/>
  <c r="Z104" i="12"/>
  <c r="X183" i="14"/>
  <c r="Q102" i="12"/>
  <c r="AK141" i="12"/>
  <c r="AL87" i="3"/>
  <c r="AX54" i="12"/>
  <c r="AB182" i="14"/>
  <c r="AM161" i="3"/>
  <c r="AT72" i="3"/>
  <c r="AW72" i="3" s="1"/>
  <c r="AT228" i="3"/>
  <c r="AV228" i="3" s="1"/>
  <c r="AB105" i="13"/>
  <c r="AQ69" i="3"/>
  <c r="AX58" i="13"/>
  <c r="AT65" i="3"/>
  <c r="AK164" i="3"/>
  <c r="AQ73" i="3"/>
  <c r="P87" i="13"/>
  <c r="P103" i="13"/>
  <c r="AF105" i="12"/>
  <c r="AF89" i="12"/>
  <c r="AF134" i="12" s="1"/>
  <c r="AM4" i="3"/>
  <c r="AK166" i="3"/>
  <c r="AL327" i="3"/>
  <c r="AN327" i="3" s="1"/>
  <c r="AM327" i="3"/>
  <c r="R86" i="12"/>
  <c r="R131" i="12" s="1"/>
  <c r="R102" i="12"/>
  <c r="AI4" i="3"/>
  <c r="G182" i="14"/>
  <c r="AS50" i="3"/>
  <c r="P166" i="14"/>
  <c r="P182" i="14"/>
  <c r="AH396" i="3"/>
  <c r="AI396" i="3" s="1"/>
  <c r="AH4" i="3"/>
  <c r="AH6" i="3" s="1"/>
  <c r="AH10" i="3" s="1"/>
  <c r="AI3" i="3" s="1"/>
  <c r="AI6" i="3" s="1"/>
  <c r="AI10" i="3" s="1"/>
  <c r="AJ3" i="3" s="1"/>
  <c r="AJ6" i="3" s="1"/>
  <c r="AJ10" i="3" s="1"/>
  <c r="AK3" i="3" s="1"/>
  <c r="O41" i="9"/>
  <c r="AR103" i="13"/>
  <c r="AN36" i="12"/>
  <c r="AU65" i="3"/>
  <c r="Q35" i="9"/>
  <c r="Q19" i="9" s="1"/>
  <c r="AY58" i="13"/>
  <c r="AQ51" i="3"/>
  <c r="AR51" i="3"/>
  <c r="AS51" i="3"/>
  <c r="B89" i="13"/>
  <c r="AM83" i="3"/>
  <c r="AM88" i="3"/>
  <c r="AM86" i="3"/>
  <c r="AM84" i="3"/>
  <c r="AM89" i="3"/>
  <c r="AM80" i="3"/>
  <c r="AM85" i="3"/>
  <c r="AM81" i="3"/>
  <c r="AM87" i="3"/>
  <c r="AM82" i="3"/>
  <c r="P48" i="9"/>
  <c r="K144" i="2"/>
  <c r="AN168" i="3"/>
  <c r="Q165" i="14"/>
  <c r="AX104" i="12"/>
  <c r="AM246" i="3"/>
  <c r="AW103" i="13"/>
  <c r="AT197" i="3"/>
  <c r="AK171" i="3"/>
  <c r="AT68" i="13"/>
  <c r="AV68" i="13" s="1"/>
  <c r="AR200" i="3"/>
  <c r="AT200" i="3" s="1"/>
  <c r="B182" i="14"/>
  <c r="CR72" i="3"/>
  <c r="CQ72" i="3"/>
  <c r="AO283" i="3"/>
  <c r="T103" i="11"/>
  <c r="AF269" i="3"/>
  <c r="AF189" i="3"/>
  <c r="AF209" i="3"/>
  <c r="AF221" i="3" s="1"/>
  <c r="AV75" i="12"/>
  <c r="AX75" i="12" s="1"/>
  <c r="AP38" i="12"/>
  <c r="AO38" i="12"/>
  <c r="AJ103" i="11"/>
  <c r="AO116" i="12"/>
  <c r="AK162" i="3"/>
  <c r="AL323" i="3"/>
  <c r="AT67" i="12"/>
  <c r="AW67" i="12" s="1"/>
  <c r="AR74" i="3"/>
  <c r="AV74" i="3" s="1"/>
  <c r="M104" i="11"/>
  <c r="M88" i="11" s="1"/>
  <c r="P18" i="9"/>
  <c r="R34" i="9"/>
  <c r="R18" i="9" s="1"/>
  <c r="AX58" i="3"/>
  <c r="V182" i="14"/>
  <c r="V166" i="14" s="1"/>
  <c r="AM34" i="13"/>
  <c r="AM45" i="13" s="1"/>
  <c r="AK170" i="3"/>
  <c r="AL331" i="3"/>
  <c r="AM331" i="3" s="1"/>
  <c r="AK246" i="3"/>
  <c r="AQ230" i="3"/>
  <c r="J102" i="11"/>
  <c r="J86" i="11" s="1"/>
  <c r="AV4" i="3"/>
  <c r="AQ49" i="3"/>
  <c r="AT49" i="3" s="1"/>
  <c r="AN163" i="3"/>
  <c r="AP324" i="3"/>
  <c r="X166" i="14"/>
  <c r="Q85" i="12"/>
  <c r="N87" i="13"/>
  <c r="N103" i="13"/>
  <c r="AC269" i="3"/>
  <c r="AC189" i="3"/>
  <c r="AE190" i="3" s="1"/>
  <c r="AC209" i="3"/>
  <c r="AC221" i="3" s="1"/>
  <c r="AP76" i="13"/>
  <c r="P22" i="9"/>
  <c r="Q38" i="9"/>
  <c r="Q22" i="9" s="1"/>
  <c r="AT69" i="3"/>
  <c r="Z183" i="14"/>
  <c r="Z167" i="14"/>
  <c r="AQ70" i="13"/>
  <c r="AB88" i="13"/>
  <c r="L102" i="13"/>
  <c r="AO106" i="13"/>
  <c r="AV67" i="3"/>
  <c r="AI264" i="3"/>
  <c r="AI267" i="3" s="1"/>
  <c r="AR193" i="3"/>
  <c r="AU193" i="3" s="1"/>
  <c r="AH107" i="3"/>
  <c r="AI96" i="3" s="1"/>
  <c r="AI97" i="3" s="1"/>
  <c r="AI98" i="3" s="1"/>
  <c r="AI99" i="3" s="1"/>
  <c r="AI100" i="3" s="1"/>
  <c r="AI101" i="3" s="1"/>
  <c r="AI102" i="3" s="1"/>
  <c r="AI103" i="3" s="1"/>
  <c r="AI104" i="3" s="1"/>
  <c r="AI105" i="3" s="1"/>
  <c r="AI106" i="3" s="1"/>
  <c r="AI107" i="3" s="1"/>
  <c r="AJ96" i="3" s="1"/>
  <c r="AJ97" i="3" s="1"/>
  <c r="AJ98" i="3" s="1"/>
  <c r="AJ99" i="3" s="1"/>
  <c r="AJ100" i="3" s="1"/>
  <c r="AJ101" i="3" s="1"/>
  <c r="AJ102" i="3" s="1"/>
  <c r="AJ103" i="3" s="1"/>
  <c r="AJ104" i="3" s="1"/>
  <c r="AJ105" i="3" s="1"/>
  <c r="AJ106" i="3" s="1"/>
  <c r="AJ107" i="3" s="1"/>
  <c r="AK96" i="3" s="1"/>
  <c r="AK97" i="3" s="1"/>
  <c r="AK98" i="3" s="1"/>
  <c r="AK99" i="3" s="1"/>
  <c r="AK100" i="3" s="1"/>
  <c r="AK101" i="3" s="1"/>
  <c r="AK102" i="3" s="1"/>
  <c r="AK103" i="3" s="1"/>
  <c r="AK104" i="3" s="1"/>
  <c r="AK105" i="3" s="1"/>
  <c r="AK106" i="3" s="1"/>
  <c r="CP67" i="3"/>
  <c r="AD102" i="13"/>
  <c r="AD86" i="13"/>
  <c r="O166" i="14"/>
  <c r="O182" i="14"/>
  <c r="AH103" i="11"/>
  <c r="AA273" i="3"/>
  <c r="AA275" i="3"/>
  <c r="AA279" i="3" s="1"/>
  <c r="AE104" i="13"/>
  <c r="AP205" i="3"/>
  <c r="AP285" i="3" s="1"/>
  <c r="AP281" i="3"/>
  <c r="M128" i="2"/>
  <c r="N142" i="2"/>
  <c r="AU56" i="13"/>
  <c r="AX56" i="13" s="1"/>
  <c r="AV57" i="12"/>
  <c r="AN249" i="3"/>
  <c r="AQ233" i="3"/>
  <c r="AU50" i="12"/>
  <c r="AZ22" i="3"/>
  <c r="D182" i="14"/>
  <c r="G104" i="12"/>
  <c r="G88" i="12" s="1"/>
  <c r="AM113" i="12"/>
  <c r="AG107" i="12"/>
  <c r="G87" i="12"/>
  <c r="AB104" i="11"/>
  <c r="AN39" i="12"/>
  <c r="W102" i="11"/>
  <c r="C182" i="14"/>
  <c r="C166" i="14"/>
  <c r="AL103" i="12"/>
  <c r="C87" i="13"/>
  <c r="AT194" i="3"/>
  <c r="AV194" i="3" s="1"/>
  <c r="AW71" i="12"/>
  <c r="AZ71" i="12" s="1"/>
  <c r="K164" i="14"/>
  <c r="T182" i="14"/>
  <c r="T166" i="14" s="1"/>
  <c r="AK104" i="12"/>
  <c r="AR43" i="13"/>
  <c r="AJ4" i="3"/>
  <c r="AT72" i="13"/>
  <c r="AO329" i="3"/>
  <c r="F182" i="14"/>
  <c r="F166" i="14"/>
  <c r="AP41" i="13"/>
  <c r="AK104" i="11"/>
  <c r="AM119" i="12"/>
  <c r="R87" i="13"/>
  <c r="R103" i="13"/>
  <c r="D103" i="11"/>
  <c r="AV58" i="3"/>
  <c r="AO112" i="12"/>
  <c r="AW58" i="3"/>
  <c r="L85" i="13"/>
  <c r="AQ115" i="12"/>
  <c r="AR115" i="12" s="1"/>
  <c r="AU67" i="3"/>
  <c r="AN325" i="3"/>
  <c r="S103" i="11"/>
  <c r="AW73" i="12"/>
  <c r="AP233" i="3"/>
  <c r="AR233" i="3" s="1"/>
  <c r="W102" i="12"/>
  <c r="W86" i="12" s="1"/>
  <c r="AA182" i="14"/>
  <c r="F87" i="13"/>
  <c r="W85" i="12"/>
  <c r="W130" i="12" s="1"/>
  <c r="AN205" i="3"/>
  <c r="AN285" i="3" s="1"/>
  <c r="BA20" i="3"/>
  <c r="AS281" i="3"/>
  <c r="J105" i="12"/>
  <c r="J89" i="12" s="1"/>
  <c r="AQ241" i="3"/>
  <c r="AQ243" i="3"/>
  <c r="CQ66" i="3"/>
  <c r="AM102" i="12"/>
  <c r="N183" i="14"/>
  <c r="N167" i="14"/>
  <c r="AN246" i="3"/>
  <c r="AS72" i="12"/>
  <c r="AW72" i="12" s="1"/>
  <c r="AM40" i="12"/>
  <c r="AC103" i="11"/>
  <c r="AS4" i="3"/>
  <c r="AP33" i="13"/>
  <c r="I182" i="14"/>
  <c r="AP4" i="3"/>
  <c r="I104" i="12"/>
  <c r="I88" i="12"/>
  <c r="AO250" i="3"/>
  <c r="Y105" i="12"/>
  <c r="Y89" i="12"/>
  <c r="Y134" i="12" s="1"/>
  <c r="AO247" i="3"/>
  <c r="AR231" i="3"/>
  <c r="AY53" i="12"/>
  <c r="Z103" i="13"/>
  <c r="S102" i="12"/>
  <c r="AO330" i="3"/>
  <c r="S181" i="14"/>
  <c r="S165" i="14" s="1"/>
  <c r="BB40" i="3"/>
  <c r="AR49" i="3"/>
  <c r="Q103" i="11"/>
  <c r="Q87" i="11" s="1"/>
  <c r="AQ43" i="13"/>
  <c r="AP120" i="12"/>
  <c r="AM123" i="12"/>
  <c r="AX53" i="12"/>
  <c r="AZ53" i="12" s="1"/>
  <c r="CP76" i="3"/>
  <c r="CR76" i="3" s="1"/>
  <c r="AL140" i="12"/>
  <c r="AA85" i="7"/>
  <c r="R86" i="13"/>
  <c r="BA17" i="3"/>
  <c r="AS74" i="12"/>
  <c r="O23" i="9"/>
  <c r="P39" i="9"/>
  <c r="AV68" i="12"/>
  <c r="D86" i="11"/>
  <c r="AV73" i="12"/>
  <c r="AX73" i="12" s="1"/>
  <c r="AO326" i="3"/>
  <c r="AX75" i="13"/>
  <c r="AW67" i="3"/>
  <c r="U129" i="12"/>
  <c r="AZ59" i="12"/>
  <c r="AO245" i="3"/>
  <c r="AH105" i="13"/>
  <c r="AN117" i="12"/>
  <c r="AO40" i="13"/>
  <c r="AX4" i="3"/>
  <c r="AP37" i="12"/>
  <c r="AC103" i="12"/>
  <c r="AC87" i="12" s="1"/>
  <c r="AC132" i="12" s="1"/>
  <c r="AY64" i="3"/>
  <c r="AQ60" i="13"/>
  <c r="AK237" i="3"/>
  <c r="N166" i="14"/>
  <c r="AO246" i="3"/>
  <c r="O57" i="9"/>
  <c r="O16" i="9"/>
  <c r="U102" i="13"/>
  <c r="AT102" i="13"/>
  <c r="CO67" i="3"/>
  <c r="AB87" i="11"/>
  <c r="U85" i="13"/>
  <c r="F104" i="12"/>
  <c r="AR54" i="13"/>
  <c r="AS229" i="3"/>
  <c r="AU229" i="3" s="1"/>
  <c r="AM59" i="3"/>
  <c r="CQ77" i="3"/>
  <c r="AQ248" i="3"/>
  <c r="G86" i="13"/>
  <c r="G102" i="13"/>
  <c r="AN75" i="3"/>
  <c r="D88" i="12"/>
  <c r="D104" i="12"/>
  <c r="AJ266" i="3"/>
  <c r="AP66" i="3"/>
  <c r="AS66" i="3" s="1"/>
  <c r="AQ66" i="3"/>
  <c r="BB23" i="3"/>
  <c r="R50" i="9"/>
  <c r="U169" i="14"/>
  <c r="U185" i="14"/>
  <c r="AB212" i="14"/>
  <c r="AB309" i="14"/>
  <c r="AU67" i="12"/>
  <c r="AA105" i="11"/>
  <c r="D87" i="12"/>
  <c r="CS75" i="3"/>
  <c r="AV53" i="13"/>
  <c r="AU53" i="13"/>
  <c r="AW53" i="13" s="1"/>
  <c r="AQ102" i="12"/>
  <c r="AP329" i="3"/>
  <c r="AS204" i="3"/>
  <c r="AP230" i="3"/>
  <c r="AR230" i="3" s="1"/>
  <c r="AQ37" i="13"/>
  <c r="AR37" i="13"/>
  <c r="AS37" i="13" s="1"/>
  <c r="BA23" i="3"/>
  <c r="AV55" i="12"/>
  <c r="AC88" i="13"/>
  <c r="AC104" i="13"/>
  <c r="AP252" i="3"/>
  <c r="AR236" i="3"/>
  <c r="AU236" i="3" s="1"/>
  <c r="Y104" i="11"/>
  <c r="Y88" i="11" s="1"/>
  <c r="AA88" i="11"/>
  <c r="C88" i="12"/>
  <c r="C104" i="12"/>
  <c r="AT65" i="13"/>
  <c r="AW65" i="13" s="1"/>
  <c r="AP121" i="12"/>
  <c r="AR121" i="12" s="1"/>
  <c r="AY58" i="3"/>
  <c r="AS60" i="13"/>
  <c r="AV49" i="13"/>
  <c r="A9" i="6"/>
  <c r="S8" i="6"/>
  <c r="AA104" i="13"/>
  <c r="AA88" i="13"/>
  <c r="CS72" i="3"/>
  <c r="AK251" i="3"/>
  <c r="AM235" i="3"/>
  <c r="AN235" i="3"/>
  <c r="AR201" i="3"/>
  <c r="M86" i="12"/>
  <c r="M131" i="12" s="1"/>
  <c r="M102" i="12"/>
  <c r="Y86" i="7"/>
  <c r="AT68" i="3"/>
  <c r="AL86" i="3"/>
  <c r="BB33" i="3"/>
  <c r="BC33" i="3" s="1"/>
  <c r="AR74" i="12"/>
  <c r="P36" i="9"/>
  <c r="P20" i="9" s="1"/>
  <c r="AX68" i="12"/>
  <c r="AV104" i="13"/>
  <c r="AT198" i="3"/>
  <c r="AS73" i="13"/>
  <c r="AQ231" i="3"/>
  <c r="AT231" i="3" s="1"/>
  <c r="U102" i="12"/>
  <c r="AZ27" i="3"/>
  <c r="V102" i="12"/>
  <c r="V86" i="12"/>
  <c r="V131" i="12" s="1"/>
  <c r="AV67" i="13"/>
  <c r="AY67" i="13" s="1"/>
  <c r="Y132" i="12"/>
  <c r="L182" i="14"/>
  <c r="AQ4" i="3"/>
  <c r="AO284" i="3"/>
  <c r="E102" i="13"/>
  <c r="E86" i="13" s="1"/>
  <c r="J133" i="12"/>
  <c r="O106" i="11"/>
  <c r="O90" i="11" s="1"/>
  <c r="R85" i="12"/>
  <c r="AD85" i="13"/>
  <c r="AO102" i="12"/>
  <c r="AU75" i="12"/>
  <c r="AB88" i="12"/>
  <c r="AB133" i="12" s="1"/>
  <c r="AB104" i="12"/>
  <c r="AR60" i="12"/>
  <c r="AY28" i="3"/>
  <c r="AN169" i="3"/>
  <c r="AP59" i="3"/>
  <c r="CP74" i="3"/>
  <c r="CS74" i="3"/>
  <c r="D102" i="13"/>
  <c r="AU57" i="13"/>
  <c r="AW57" i="13" s="1"/>
  <c r="AY57" i="13" s="1"/>
  <c r="AV50" i="3"/>
  <c r="AU50" i="3"/>
  <c r="AC86" i="12"/>
  <c r="H86" i="11"/>
  <c r="AE86" i="11"/>
  <c r="D85" i="13"/>
  <c r="CS69" i="3"/>
  <c r="AK143" i="12"/>
  <c r="AE105" i="12"/>
  <c r="AE89" i="12" s="1"/>
  <c r="AE134" i="12" s="1"/>
  <c r="AO39" i="12"/>
  <c r="AM44" i="13"/>
  <c r="AN44" i="13" s="1"/>
  <c r="AT55" i="3"/>
  <c r="AW55" i="3" s="1"/>
  <c r="AN332" i="3"/>
  <c r="AO332" i="3" s="1"/>
  <c r="AR102" i="12"/>
  <c r="AS201" i="3"/>
  <c r="AR69" i="3"/>
  <c r="BA58" i="3"/>
  <c r="AP241" i="3"/>
  <c r="AO322" i="3"/>
  <c r="AP322" i="3" s="1"/>
  <c r="AU228" i="3"/>
  <c r="AO244" i="3"/>
  <c r="AQ252" i="3"/>
  <c r="AP60" i="12"/>
  <c r="AQ281" i="3"/>
  <c r="AQ35" i="12"/>
  <c r="B102" i="11"/>
  <c r="E103" i="11"/>
  <c r="AP44" i="12"/>
  <c r="L130" i="12"/>
  <c r="AU102" i="13"/>
  <c r="R51" i="9"/>
  <c r="AR60" i="13"/>
  <c r="AR42" i="13"/>
  <c r="E104" i="12"/>
  <c r="AQ37" i="12"/>
  <c r="AR37" i="12" s="1"/>
  <c r="CP73" i="3"/>
  <c r="AC87" i="13"/>
  <c r="CO70" i="3"/>
  <c r="CR70" i="3" s="1"/>
  <c r="AQ60" i="12"/>
  <c r="AW57" i="12"/>
  <c r="AS72" i="13"/>
  <c r="Z88" i="11"/>
  <c r="Z104" i="11"/>
  <c r="AY59" i="12"/>
  <c r="AR204" i="3"/>
  <c r="AK142" i="12"/>
  <c r="O103" i="13"/>
  <c r="W104" i="13"/>
  <c r="AF104" i="13"/>
  <c r="AA87" i="13"/>
  <c r="AS102" i="12"/>
  <c r="T85" i="12"/>
  <c r="AT74" i="3"/>
  <c r="N86" i="11"/>
  <c r="AV65" i="12"/>
  <c r="AX65" i="12" s="1"/>
  <c r="V104" i="13"/>
  <c r="E166" i="14"/>
  <c r="E182" i="14"/>
  <c r="AG269" i="3"/>
  <c r="AG209" i="3"/>
  <c r="Y183" i="14"/>
  <c r="Y167" i="14"/>
  <c r="AW56" i="12"/>
  <c r="AN106" i="13"/>
  <c r="M85" i="12"/>
  <c r="AU55" i="12"/>
  <c r="AZ66" i="12"/>
  <c r="AW70" i="12"/>
  <c r="AS198" i="3"/>
  <c r="AP203" i="3"/>
  <c r="AS203" i="3" s="1"/>
  <c r="AS232" i="3"/>
  <c r="AU232" i="3" s="1"/>
  <c r="AP247" i="3"/>
  <c r="U85" i="12"/>
  <c r="U130" i="12" s="1"/>
  <c r="AU52" i="13"/>
  <c r="V85" i="12"/>
  <c r="AL103" i="11"/>
  <c r="AP234" i="3"/>
  <c r="AL91" i="3" l="1"/>
  <c r="BD43" i="3"/>
  <c r="BE43" i="3" s="1"/>
  <c r="AM91" i="3"/>
  <c r="AT201" i="3"/>
  <c r="AT196" i="3"/>
  <c r="AZ195" i="3"/>
  <c r="AT204" i="3"/>
  <c r="CT71" i="3"/>
  <c r="BD35" i="3"/>
  <c r="BE35" i="3" s="1"/>
  <c r="BF35" i="3" s="1"/>
  <c r="BC19" i="3"/>
  <c r="CS73" i="3"/>
  <c r="BB19" i="3"/>
  <c r="AK6" i="3"/>
  <c r="AK10" i="3" s="1"/>
  <c r="AL3" i="3" s="1"/>
  <c r="AL6" i="3" s="1"/>
  <c r="AL10" i="3" s="1"/>
  <c r="AM3" i="3" s="1"/>
  <c r="AM6" i="3" s="1"/>
  <c r="AM10" i="3" s="1"/>
  <c r="AN3" i="3" s="1"/>
  <c r="AN6" i="3" s="1"/>
  <c r="AN10" i="3" s="1"/>
  <c r="AO3" i="3" s="1"/>
  <c r="AO6" i="3" s="1"/>
  <c r="AO10" i="3" s="1"/>
  <c r="AP3" i="3" s="1"/>
  <c r="AP6" i="3" s="1"/>
  <c r="BB25" i="3"/>
  <c r="AG395" i="3"/>
  <c r="AG28" i="13" s="1"/>
  <c r="AU200" i="3"/>
  <c r="AW200" i="3" s="1"/>
  <c r="AY195" i="3"/>
  <c r="BA195" i="3" s="1"/>
  <c r="BD23" i="3"/>
  <c r="AV232" i="3"/>
  <c r="AV248" i="3" s="1"/>
  <c r="CU75" i="3"/>
  <c r="AV199" i="3"/>
  <c r="AY199" i="3" s="1"/>
  <c r="CT76" i="3"/>
  <c r="CS66" i="3"/>
  <c r="BC23" i="3"/>
  <c r="CT66" i="3"/>
  <c r="AT232" i="3"/>
  <c r="BD37" i="3"/>
  <c r="BC21" i="3"/>
  <c r="AW232" i="3"/>
  <c r="AW248" i="3" s="1"/>
  <c r="AK253" i="3"/>
  <c r="CS76" i="3"/>
  <c r="CU76" i="3" s="1"/>
  <c r="AV227" i="3"/>
  <c r="AT193" i="3"/>
  <c r="AV193" i="3" s="1"/>
  <c r="BD41" i="3"/>
  <c r="BD25" i="3" s="1"/>
  <c r="BE39" i="3"/>
  <c r="BE23" i="3" s="1"/>
  <c r="CR67" i="3"/>
  <c r="BD34" i="3"/>
  <c r="CT77" i="3"/>
  <c r="CT72" i="3"/>
  <c r="CT75" i="3"/>
  <c r="AU204" i="3"/>
  <c r="AW204" i="3" s="1"/>
  <c r="AS284" i="3"/>
  <c r="AQ325" i="3"/>
  <c r="AU115" i="12"/>
  <c r="AW36" i="13"/>
  <c r="P131" i="12"/>
  <c r="AM170" i="3"/>
  <c r="AN331" i="3"/>
  <c r="AO171" i="3"/>
  <c r="J134" i="12"/>
  <c r="BE27" i="3"/>
  <c r="AV243" i="3"/>
  <c r="AR249" i="3"/>
  <c r="AU252" i="3"/>
  <c r="AV69" i="3"/>
  <c r="L132" i="12"/>
  <c r="AN166" i="3"/>
  <c r="AV244" i="3"/>
  <c r="AP44" i="13"/>
  <c r="AP161" i="3"/>
  <c r="AQ322" i="3"/>
  <c r="BF19" i="3"/>
  <c r="BC22" i="3"/>
  <c r="BD38" i="3"/>
  <c r="AW74" i="12"/>
  <c r="BC17" i="3"/>
  <c r="BD33" i="3"/>
  <c r="AT247" i="3"/>
  <c r="W131" i="12"/>
  <c r="S104" i="11"/>
  <c r="AU243" i="3"/>
  <c r="D103" i="13"/>
  <c r="D87" i="13" s="1"/>
  <c r="AY71" i="13"/>
  <c r="AU37" i="13"/>
  <c r="AW37" i="13" s="1"/>
  <c r="AY68" i="12"/>
  <c r="V105" i="13"/>
  <c r="AQ44" i="12"/>
  <c r="AP246" i="3"/>
  <c r="AT103" i="13"/>
  <c r="AX53" i="13"/>
  <c r="X184" i="14"/>
  <c r="X104" i="13"/>
  <c r="AR241" i="3"/>
  <c r="AQ167" i="3"/>
  <c r="K103" i="11"/>
  <c r="AQ56" i="3"/>
  <c r="BC27" i="3"/>
  <c r="AT74" i="12"/>
  <c r="V88" i="13"/>
  <c r="AB105" i="12"/>
  <c r="AM251" i="3"/>
  <c r="AM253" i="3" s="1"/>
  <c r="AO235" i="3"/>
  <c r="AQ235" i="3" s="1"/>
  <c r="C105" i="12"/>
  <c r="G103" i="13"/>
  <c r="AX56" i="12"/>
  <c r="AZ56" i="12" s="1"/>
  <c r="Q130" i="12"/>
  <c r="AU49" i="3"/>
  <c r="AU48" i="3"/>
  <c r="AX52" i="12"/>
  <c r="AV196" i="3"/>
  <c r="AX196" i="3" s="1"/>
  <c r="AG24" i="13"/>
  <c r="AG87" i="13" s="1"/>
  <c r="AG24" i="11"/>
  <c r="AG87" i="11" s="1"/>
  <c r="K182" i="14"/>
  <c r="K166" i="14" s="1"/>
  <c r="AP103" i="12"/>
  <c r="X87" i="13"/>
  <c r="R185" i="14"/>
  <c r="AC215" i="14"/>
  <c r="AC312" i="14"/>
  <c r="AS76" i="12"/>
  <c r="K86" i="11"/>
  <c r="X105" i="11"/>
  <c r="AU42" i="12"/>
  <c r="AL237" i="3"/>
  <c r="BB27" i="3"/>
  <c r="AW228" i="3"/>
  <c r="T130" i="12"/>
  <c r="AR35" i="12"/>
  <c r="AL104" i="11"/>
  <c r="BD16" i="3"/>
  <c r="AV72" i="13"/>
  <c r="AX72" i="13" s="1"/>
  <c r="AO36" i="12"/>
  <c r="P23" i="9"/>
  <c r="Q39" i="9"/>
  <c r="Q23" i="9" s="1"/>
  <c r="G183" i="14"/>
  <c r="AO59" i="3"/>
  <c r="AD89" i="12"/>
  <c r="AD134" i="12" s="1"/>
  <c r="AD105" i="12"/>
  <c r="AG25" i="13"/>
  <c r="AG88" i="13" s="1"/>
  <c r="AG25" i="11"/>
  <c r="L183" i="14"/>
  <c r="L167" i="14" s="1"/>
  <c r="AU198" i="3"/>
  <c r="AU282" i="3" s="1"/>
  <c r="U103" i="13"/>
  <c r="AC88" i="11"/>
  <c r="AC104" i="11"/>
  <c r="J106" i="12"/>
  <c r="J90" i="12" s="1"/>
  <c r="J135" i="12" s="1"/>
  <c r="AT70" i="13"/>
  <c r="AS70" i="13"/>
  <c r="AV200" i="3"/>
  <c r="Z105" i="12"/>
  <c r="Z89" i="12" s="1"/>
  <c r="Z134" i="12" s="1"/>
  <c r="AR245" i="3"/>
  <c r="AE104" i="11"/>
  <c r="AO114" i="12"/>
  <c r="AP114" i="12" s="1"/>
  <c r="BA26" i="3"/>
  <c r="BA28" i="3" s="1"/>
  <c r="BB42" i="3"/>
  <c r="AG22" i="13"/>
  <c r="AG85" i="13" s="1"/>
  <c r="AG22" i="11"/>
  <c r="AW103" i="12"/>
  <c r="BA55" i="3"/>
  <c r="AS68" i="3"/>
  <c r="CS77" i="3"/>
  <c r="CU77" i="3" s="1"/>
  <c r="BF43" i="3"/>
  <c r="AE105" i="13"/>
  <c r="AE89" i="13"/>
  <c r="AX73" i="13"/>
  <c r="Q36" i="9"/>
  <c r="Q20" i="9" s="1"/>
  <c r="AC131" i="12"/>
  <c r="AN251" i="3"/>
  <c r="AN253" i="3" s="1"/>
  <c r="AR76" i="12"/>
  <c r="V183" i="14"/>
  <c r="B183" i="14"/>
  <c r="B167" i="14"/>
  <c r="F105" i="13"/>
  <c r="F89" i="13"/>
  <c r="E104" i="11"/>
  <c r="AP249" i="3"/>
  <c r="AK105" i="12"/>
  <c r="AV201" i="3"/>
  <c r="AY70" i="12"/>
  <c r="CQ70" i="3"/>
  <c r="CS70" i="3" s="1"/>
  <c r="E87" i="11"/>
  <c r="L166" i="14"/>
  <c r="AV105" i="13"/>
  <c r="AP168" i="3"/>
  <c r="U86" i="13"/>
  <c r="BB24" i="3"/>
  <c r="AQ35" i="13"/>
  <c r="AS35" i="13" s="1"/>
  <c r="AC87" i="11"/>
  <c r="AL143" i="12"/>
  <c r="AQ38" i="12"/>
  <c r="R87" i="12"/>
  <c r="R132" i="12" s="1"/>
  <c r="R103" i="12"/>
  <c r="Z88" i="12"/>
  <c r="AE87" i="11"/>
  <c r="AG84" i="13"/>
  <c r="AT104" i="12"/>
  <c r="AT76" i="12"/>
  <c r="AF190" i="3"/>
  <c r="AN43" i="12"/>
  <c r="AX104" i="13"/>
  <c r="AS120" i="12"/>
  <c r="AT248" i="3"/>
  <c r="AS205" i="3"/>
  <c r="AS285" i="3" s="1"/>
  <c r="S87" i="11"/>
  <c r="AT281" i="3"/>
  <c r="N128" i="2"/>
  <c r="AO169" i="3"/>
  <c r="S105" i="13"/>
  <c r="S89" i="13" s="1"/>
  <c r="S87" i="12"/>
  <c r="S132" i="12" s="1"/>
  <c r="S103" i="12"/>
  <c r="AE88" i="13"/>
  <c r="AS49" i="3"/>
  <c r="AV49" i="3" s="1"/>
  <c r="AX49" i="12"/>
  <c r="AR71" i="3"/>
  <c r="AU71" i="3" s="1"/>
  <c r="CR68" i="3"/>
  <c r="CU68" i="3" s="1"/>
  <c r="H105" i="12"/>
  <c r="H89" i="12" s="1"/>
  <c r="C105" i="13"/>
  <c r="AR56" i="3"/>
  <c r="AT56" i="3" s="1"/>
  <c r="AW69" i="12"/>
  <c r="O131" i="12"/>
  <c r="AO92" i="3"/>
  <c r="AO9" i="3"/>
  <c r="AP7" i="3"/>
  <c r="S88" i="13"/>
  <c r="AZ50" i="12"/>
  <c r="AT225" i="3"/>
  <c r="AS243" i="3"/>
  <c r="BE41" i="3"/>
  <c r="BF41" i="3" s="1"/>
  <c r="B103" i="11"/>
  <c r="B87" i="11" s="1"/>
  <c r="AP163" i="3"/>
  <c r="Y89" i="11"/>
  <c r="Y105" i="11"/>
  <c r="AG23" i="13"/>
  <c r="AG86" i="13" s="1"/>
  <c r="AG23" i="11"/>
  <c r="AG86" i="11" s="1"/>
  <c r="R35" i="9"/>
  <c r="R19" i="9" s="1"/>
  <c r="AM141" i="12"/>
  <c r="B91" i="13"/>
  <c r="B107" i="13"/>
  <c r="B92" i="13" s="1"/>
  <c r="Z233" i="14"/>
  <c r="Z249" i="14" s="1"/>
  <c r="Z219" i="14"/>
  <c r="B541" i="5"/>
  <c r="AG27" i="3" s="1"/>
  <c r="AG28" i="3" s="1"/>
  <c r="C88" i="13"/>
  <c r="AS56" i="3"/>
  <c r="AW196" i="3"/>
  <c r="AR282" i="3"/>
  <c r="V105" i="11"/>
  <c r="V89" i="11"/>
  <c r="AP106" i="13"/>
  <c r="BD19" i="3"/>
  <c r="AX64" i="3"/>
  <c r="AW52" i="13"/>
  <c r="AO45" i="13"/>
  <c r="AP112" i="12"/>
  <c r="AN40" i="12"/>
  <c r="T167" i="14"/>
  <c r="T183" i="14"/>
  <c r="AU281" i="3"/>
  <c r="AB106" i="13"/>
  <c r="AB90" i="13" s="1"/>
  <c r="AG26" i="13"/>
  <c r="AG26" i="11"/>
  <c r="AB89" i="13"/>
  <c r="AR246" i="3"/>
  <c r="AN171" i="3"/>
  <c r="AR252" i="3"/>
  <c r="AT236" i="3"/>
  <c r="M105" i="11"/>
  <c r="AP332" i="3"/>
  <c r="AL166" i="3"/>
  <c r="AV72" i="3"/>
  <c r="N143" i="2"/>
  <c r="N144" i="2" s="1"/>
  <c r="I105" i="13"/>
  <c r="I89" i="13"/>
  <c r="CR73" i="3"/>
  <c r="CT73" i="3" s="1"/>
  <c r="V103" i="12"/>
  <c r="V87" i="12" s="1"/>
  <c r="Z184" i="14"/>
  <c r="V130" i="12"/>
  <c r="AF105" i="13"/>
  <c r="S86" i="12"/>
  <c r="AF88" i="13"/>
  <c r="E105" i="12"/>
  <c r="E89" i="12" s="1"/>
  <c r="AV42" i="12"/>
  <c r="AW42" i="12" s="1"/>
  <c r="AA106" i="11"/>
  <c r="AA90" i="11" s="1"/>
  <c r="AV65" i="3"/>
  <c r="Z88" i="13"/>
  <c r="Z104" i="13"/>
  <c r="AS71" i="3"/>
  <c r="F183" i="14"/>
  <c r="F167" i="14" s="1"/>
  <c r="AL104" i="12"/>
  <c r="AW193" i="3"/>
  <c r="AR281" i="3"/>
  <c r="AW65" i="3"/>
  <c r="AQ332" i="3"/>
  <c r="AR332" i="3" s="1"/>
  <c r="AW56" i="13"/>
  <c r="AY56" i="13" s="1"/>
  <c r="AV67" i="12"/>
  <c r="AY67" i="12" s="1"/>
  <c r="K87" i="13"/>
  <c r="K103" i="13"/>
  <c r="BB20" i="3"/>
  <c r="BC36" i="3"/>
  <c r="AN83" i="3"/>
  <c r="AN88" i="3"/>
  <c r="AN86" i="3"/>
  <c r="AN84" i="3"/>
  <c r="AN89" i="3"/>
  <c r="AN80" i="3"/>
  <c r="AN82" i="3"/>
  <c r="AN85" i="3"/>
  <c r="AN81" i="3"/>
  <c r="AN87" i="3"/>
  <c r="AN90" i="3"/>
  <c r="BA44" i="3"/>
  <c r="AO75" i="3"/>
  <c r="AV73" i="13"/>
  <c r="AZ106" i="12"/>
  <c r="AR73" i="3"/>
  <c r="CR74" i="3"/>
  <c r="CT74" i="3" s="1"/>
  <c r="BD27" i="3"/>
  <c r="AQ76" i="13"/>
  <c r="AV36" i="13"/>
  <c r="AX36" i="13" s="1"/>
  <c r="AY36" i="13" s="1"/>
  <c r="E88" i="12"/>
  <c r="CQ67" i="3"/>
  <c r="Y130" i="7"/>
  <c r="Y88" i="7"/>
  <c r="Y132" i="7" s="1"/>
  <c r="AC105" i="13"/>
  <c r="AC89" i="13" s="1"/>
  <c r="AA89" i="11"/>
  <c r="D89" i="12"/>
  <c r="D105" i="12"/>
  <c r="Y87" i="7"/>
  <c r="Y131" i="7" s="1"/>
  <c r="Z87" i="13"/>
  <c r="AT230" i="3"/>
  <c r="AX67" i="13"/>
  <c r="BC58" i="3"/>
  <c r="AO168" i="3"/>
  <c r="AH104" i="11"/>
  <c r="R38" i="9"/>
  <c r="R22" i="9" s="1"/>
  <c r="AR104" i="13"/>
  <c r="AR322" i="3"/>
  <c r="AV69" i="12"/>
  <c r="AY69" i="12" s="1"/>
  <c r="AR54" i="3"/>
  <c r="AQ54" i="3"/>
  <c r="AT54" i="3"/>
  <c r="AU105" i="12"/>
  <c r="K86" i="13"/>
  <c r="AA212" i="14"/>
  <c r="AA228" i="14" s="1"/>
  <c r="AA244" i="14" s="1"/>
  <c r="AA309" i="14"/>
  <c r="AQ284" i="3"/>
  <c r="N104" i="12"/>
  <c r="AT57" i="3"/>
  <c r="R104" i="11"/>
  <c r="R88" i="11" s="1"/>
  <c r="AM45" i="12"/>
  <c r="AP33" i="12"/>
  <c r="AQ33" i="12" s="1"/>
  <c r="AW73" i="13"/>
  <c r="AY73" i="13" s="1"/>
  <c r="AG105" i="13"/>
  <c r="AS33" i="13"/>
  <c r="AO103" i="12"/>
  <c r="S182" i="14"/>
  <c r="AK105" i="11"/>
  <c r="B104" i="12"/>
  <c r="AT66" i="13"/>
  <c r="AN141" i="12"/>
  <c r="AP35" i="13"/>
  <c r="AR243" i="3"/>
  <c r="AX227" i="3"/>
  <c r="AH105" i="12"/>
  <c r="AU73" i="13"/>
  <c r="AP117" i="12"/>
  <c r="BB22" i="3"/>
  <c r="AZ50" i="3"/>
  <c r="AT54" i="13"/>
  <c r="AT60" i="13" s="1"/>
  <c r="AR103" i="12"/>
  <c r="AW48" i="3"/>
  <c r="AV66" i="3"/>
  <c r="AR66" i="3"/>
  <c r="AU66" i="3"/>
  <c r="AP75" i="3"/>
  <c r="AM166" i="3"/>
  <c r="AU241" i="3"/>
  <c r="Y103" i="13"/>
  <c r="P103" i="12"/>
  <c r="P87" i="12" s="1"/>
  <c r="B90" i="13"/>
  <c r="C104" i="11"/>
  <c r="C88" i="11" s="1"/>
  <c r="CT68" i="3"/>
  <c r="AO327" i="3"/>
  <c r="R130" i="12"/>
  <c r="AK107" i="3"/>
  <c r="AL96" i="3" s="1"/>
  <c r="AL97" i="3" s="1"/>
  <c r="AL98" i="3" s="1"/>
  <c r="AL99" i="3" s="1"/>
  <c r="AL100" i="3" s="1"/>
  <c r="AL101" i="3" s="1"/>
  <c r="AL102" i="3" s="1"/>
  <c r="AL103" i="3" s="1"/>
  <c r="AL104" i="3" s="1"/>
  <c r="AL105" i="3" s="1"/>
  <c r="AL106" i="3" s="1"/>
  <c r="AL107" i="3" s="1"/>
  <c r="AM96" i="3" s="1"/>
  <c r="AM97" i="3" s="1"/>
  <c r="AM98" i="3" s="1"/>
  <c r="AM99" i="3" s="1"/>
  <c r="AM100" i="3" s="1"/>
  <c r="AM101" i="3" s="1"/>
  <c r="AM102" i="3" s="1"/>
  <c r="AM103" i="3" s="1"/>
  <c r="AM104" i="3" s="1"/>
  <c r="AM105" i="3" s="1"/>
  <c r="AM106" i="3" s="1"/>
  <c r="AM107" i="3" s="1"/>
  <c r="AW104" i="13"/>
  <c r="AU68" i="13"/>
  <c r="AF103" i="11"/>
  <c r="AF87" i="11" s="1"/>
  <c r="AW197" i="3"/>
  <c r="AB213" i="14"/>
  <c r="AB229" i="14" s="1"/>
  <c r="AB245" i="14" s="1"/>
  <c r="AB310" i="14"/>
  <c r="AR247" i="3"/>
  <c r="T104" i="11"/>
  <c r="T88" i="11" s="1"/>
  <c r="O25" i="9"/>
  <c r="O26" i="9" s="1"/>
  <c r="CU69" i="3"/>
  <c r="X134" i="12"/>
  <c r="AI104" i="12"/>
  <c r="W183" i="14"/>
  <c r="W167" i="14" s="1"/>
  <c r="AZ67" i="3"/>
  <c r="AF86" i="11"/>
  <c r="AS73" i="3"/>
  <c r="AV104" i="12"/>
  <c r="AL141" i="12"/>
  <c r="AM122" i="12"/>
  <c r="T103" i="12"/>
  <c r="AS283" i="3"/>
  <c r="H184" i="14"/>
  <c r="BC16" i="3"/>
  <c r="AM103" i="12"/>
  <c r="BB58" i="3"/>
  <c r="BD58" i="3" s="1"/>
  <c r="BF58" i="3" s="1"/>
  <c r="AU66" i="13"/>
  <c r="AW75" i="12"/>
  <c r="AY75" i="12" s="1"/>
  <c r="AO107" i="13"/>
  <c r="AW55" i="12"/>
  <c r="AZ55" i="12" s="1"/>
  <c r="AQ246" i="3"/>
  <c r="T87" i="11"/>
  <c r="AF90" i="12"/>
  <c r="AF135" i="12" s="1"/>
  <c r="AF106" i="12"/>
  <c r="AU69" i="3"/>
  <c r="X106" i="12"/>
  <c r="W166" i="14"/>
  <c r="AX228" i="3"/>
  <c r="AR244" i="3"/>
  <c r="AV52" i="13"/>
  <c r="AX52" i="13" s="1"/>
  <c r="F103" i="11"/>
  <c r="T105" i="13"/>
  <c r="T89" i="13"/>
  <c r="J185" i="14"/>
  <c r="T86" i="12"/>
  <c r="T131" i="12" s="1"/>
  <c r="H167" i="14"/>
  <c r="BE32" i="3"/>
  <c r="BF32" i="3" s="1"/>
  <c r="BC40" i="3"/>
  <c r="BD40" i="3" s="1"/>
  <c r="AW194" i="3"/>
  <c r="D88" i="11"/>
  <c r="D104" i="11"/>
  <c r="AT42" i="13"/>
  <c r="W103" i="11"/>
  <c r="W87" i="11" s="1"/>
  <c r="AQ41" i="13"/>
  <c r="AZ70" i="12"/>
  <c r="AH387" i="3"/>
  <c r="AI387" i="3" s="1"/>
  <c r="AH390" i="3"/>
  <c r="AI390" i="3" s="1"/>
  <c r="AH393" i="3"/>
  <c r="AI393" i="3" s="1"/>
  <c r="AH385" i="3"/>
  <c r="AH388" i="3"/>
  <c r="AH389" i="3"/>
  <c r="AH386" i="3"/>
  <c r="AI386" i="3" s="1"/>
  <c r="AH384" i="3"/>
  <c r="AI384" i="3" s="1"/>
  <c r="AH391" i="3"/>
  <c r="AI391" i="3" s="1"/>
  <c r="AH392" i="3"/>
  <c r="AI392" i="3" s="1"/>
  <c r="AH394" i="3"/>
  <c r="AI394" i="3" s="1"/>
  <c r="AY104" i="12"/>
  <c r="AJ106" i="13"/>
  <c r="AQ70" i="3"/>
  <c r="AW199" i="3"/>
  <c r="AY56" i="12"/>
  <c r="AD190" i="3"/>
  <c r="AN113" i="12"/>
  <c r="AL106" i="13"/>
  <c r="AN167" i="3"/>
  <c r="AS115" i="12"/>
  <c r="AV115" i="12" s="1"/>
  <c r="I167" i="14"/>
  <c r="I183" i="14"/>
  <c r="BD36" i="3"/>
  <c r="D87" i="11"/>
  <c r="W86" i="11"/>
  <c r="AS233" i="3"/>
  <c r="AU233" i="3" s="1"/>
  <c r="AG221" i="3"/>
  <c r="AH221" i="3" s="1"/>
  <c r="AT115" i="12"/>
  <c r="AT283" i="3"/>
  <c r="P183" i="14"/>
  <c r="P167" i="14" s="1"/>
  <c r="I103" i="11"/>
  <c r="AS69" i="3"/>
  <c r="AX69" i="3" s="1"/>
  <c r="AU242" i="3"/>
  <c r="AO118" i="12"/>
  <c r="AU68" i="3"/>
  <c r="AR283" i="3"/>
  <c r="AM164" i="3"/>
  <c r="AT52" i="3"/>
  <c r="O104" i="12"/>
  <c r="AR70" i="3"/>
  <c r="AW65" i="12"/>
  <c r="AZ65" i="12" s="1"/>
  <c r="Y275" i="3"/>
  <c r="Y279" i="3" s="1"/>
  <c r="Y273" i="3"/>
  <c r="AZ28" i="3"/>
  <c r="AO167" i="3"/>
  <c r="AN103" i="12"/>
  <c r="AV52" i="12"/>
  <c r="AV60" i="12" s="1"/>
  <c r="AS103" i="12"/>
  <c r="G105" i="12"/>
  <c r="G89" i="12" s="1"/>
  <c r="Q106" i="13"/>
  <c r="AX74" i="12"/>
  <c r="AU245" i="3"/>
  <c r="AW49" i="3"/>
  <c r="AU56" i="3"/>
  <c r="Q89" i="13"/>
  <c r="AN107" i="13"/>
  <c r="AT66" i="3"/>
  <c r="D183" i="14"/>
  <c r="D167" i="14"/>
  <c r="AS37" i="12"/>
  <c r="O107" i="11"/>
  <c r="O92" i="11" s="1"/>
  <c r="AV236" i="3"/>
  <c r="AU248" i="3"/>
  <c r="AX74" i="3"/>
  <c r="AW74" i="3"/>
  <c r="AV72" i="12"/>
  <c r="AX72" i="12" s="1"/>
  <c r="AO44" i="13"/>
  <c r="AW66" i="13"/>
  <c r="W105" i="13"/>
  <c r="AS245" i="3"/>
  <c r="AL162" i="3"/>
  <c r="AL333" i="3"/>
  <c r="AL172" i="3" s="1"/>
  <c r="AS230" i="3"/>
  <c r="AV230" i="3" s="1"/>
  <c r="CU66" i="3"/>
  <c r="W88" i="13"/>
  <c r="AU74" i="3"/>
  <c r="AT282" i="3"/>
  <c r="N184" i="14"/>
  <c r="AX105" i="12"/>
  <c r="AS282" i="3"/>
  <c r="O88" i="13"/>
  <c r="O104" i="13"/>
  <c r="U87" i="12"/>
  <c r="U132" i="12" s="1"/>
  <c r="U103" i="12"/>
  <c r="O87" i="13"/>
  <c r="AU103" i="13"/>
  <c r="AW236" i="3"/>
  <c r="U86" i="12"/>
  <c r="AP235" i="3"/>
  <c r="BE58" i="3"/>
  <c r="F105" i="12"/>
  <c r="F89" i="12" s="1"/>
  <c r="AS248" i="3"/>
  <c r="AY232" i="3"/>
  <c r="AX67" i="3"/>
  <c r="BA67" i="3" s="1"/>
  <c r="AX55" i="12"/>
  <c r="U186" i="14"/>
  <c r="U171" i="14" s="1"/>
  <c r="AS60" i="12"/>
  <c r="F88" i="12"/>
  <c r="AO165" i="3"/>
  <c r="AN123" i="12"/>
  <c r="AO123" i="12"/>
  <c r="Y106" i="12"/>
  <c r="Y90" i="12" s="1"/>
  <c r="I166" i="14"/>
  <c r="AW72" i="13"/>
  <c r="AQ249" i="3"/>
  <c r="O183" i="14"/>
  <c r="AL170" i="3"/>
  <c r="P104" i="13"/>
  <c r="P88" i="13" s="1"/>
  <c r="AG104" i="11"/>
  <c r="AY53" i="13"/>
  <c r="AP326" i="3"/>
  <c r="AV70" i="13"/>
  <c r="M104" i="13"/>
  <c r="P104" i="11"/>
  <c r="AD88" i="11"/>
  <c r="AD104" i="11"/>
  <c r="U105" i="11"/>
  <c r="U89" i="11"/>
  <c r="L104" i="12"/>
  <c r="L88" i="12" s="1"/>
  <c r="AI105" i="11"/>
  <c r="AS52" i="3"/>
  <c r="AZ4" i="3"/>
  <c r="Q14" i="9"/>
  <c r="AX194" i="3"/>
  <c r="AZ194" i="3" s="1"/>
  <c r="AP167" i="3"/>
  <c r="AQ329" i="3"/>
  <c r="AV57" i="3"/>
  <c r="AX57" i="3" s="1"/>
  <c r="AQ103" i="12"/>
  <c r="H103" i="13"/>
  <c r="H87" i="13"/>
  <c r="B86" i="11"/>
  <c r="AO40" i="12"/>
  <c r="AQ105" i="13"/>
  <c r="AP250" i="3"/>
  <c r="D86" i="13"/>
  <c r="AN164" i="3"/>
  <c r="AT243" i="3"/>
  <c r="AK107" i="13"/>
  <c r="AU53" i="3"/>
  <c r="AZ55" i="3"/>
  <c r="BB55" i="3" s="1"/>
  <c r="BB17" i="3"/>
  <c r="AS53" i="3"/>
  <c r="AW53" i="3" s="1"/>
  <c r="AV198" i="3"/>
  <c r="AA89" i="13"/>
  <c r="AA105" i="13"/>
  <c r="I105" i="12"/>
  <c r="D166" i="14"/>
  <c r="C183" i="14"/>
  <c r="C167" i="14"/>
  <c r="AP330" i="3"/>
  <c r="AQ330" i="3" s="1"/>
  <c r="Y184" i="14"/>
  <c r="Y168" i="14" s="1"/>
  <c r="AU54" i="13"/>
  <c r="AU60" i="13" s="1"/>
  <c r="AE106" i="12"/>
  <c r="E87" i="13"/>
  <c r="E103" i="13"/>
  <c r="AG275" i="3"/>
  <c r="AU244" i="3"/>
  <c r="AQ247" i="3"/>
  <c r="AS231" i="3"/>
  <c r="AU231" i="3" s="1"/>
  <c r="M103" i="12"/>
  <c r="AQ41" i="12"/>
  <c r="AC104" i="12"/>
  <c r="AC88" i="12"/>
  <c r="AC133" i="12" s="1"/>
  <c r="AX50" i="3"/>
  <c r="AA183" i="14"/>
  <c r="AA167" i="14"/>
  <c r="AZ68" i="12"/>
  <c r="AP39" i="12"/>
  <c r="L87" i="13"/>
  <c r="L103" i="13"/>
  <c r="AC273" i="3"/>
  <c r="AC275" i="3"/>
  <c r="AC279" i="3" s="1"/>
  <c r="AT229" i="3"/>
  <c r="AV229" i="3" s="1"/>
  <c r="AW51" i="3"/>
  <c r="AV51" i="3"/>
  <c r="AY50" i="3"/>
  <c r="K106" i="12"/>
  <c r="AU42" i="13"/>
  <c r="AV42" i="13" s="1"/>
  <c r="AW42" i="13" s="1"/>
  <c r="AR248" i="3"/>
  <c r="AX232" i="3"/>
  <c r="AG190" i="3"/>
  <c r="AJ264" i="3"/>
  <c r="AJ267" i="3" s="1"/>
  <c r="AJ173" i="3"/>
  <c r="AJ12" i="3" s="1"/>
  <c r="AC167" i="14"/>
  <c r="AC183" i="14"/>
  <c r="AZ49" i="12"/>
  <c r="R30" i="9"/>
  <c r="AM265" i="3"/>
  <c r="AT121" i="12"/>
  <c r="AP116" i="12"/>
  <c r="AR234" i="3"/>
  <c r="AM323" i="3"/>
  <c r="AW227" i="3"/>
  <c r="AA166" i="14"/>
  <c r="AV74" i="12"/>
  <c r="AB105" i="11"/>
  <c r="AT233" i="3"/>
  <c r="AW233" i="3" s="1"/>
  <c r="L86" i="13"/>
  <c r="AQ324" i="3"/>
  <c r="AK266" i="3"/>
  <c r="AK267" i="3" s="1"/>
  <c r="AT51" i="3"/>
  <c r="Q103" i="12"/>
  <c r="AA106" i="12"/>
  <c r="AA90" i="12" s="1"/>
  <c r="AA135" i="12" s="1"/>
  <c r="AZ57" i="12"/>
  <c r="AT53" i="3"/>
  <c r="K89" i="12"/>
  <c r="AQ38" i="13"/>
  <c r="AM106" i="13"/>
  <c r="AB273" i="3"/>
  <c r="AB275" i="3"/>
  <c r="AB279" i="3" s="1"/>
  <c r="AO325" i="3"/>
  <c r="AE273" i="3"/>
  <c r="AE275" i="3"/>
  <c r="AE279" i="3" s="1"/>
  <c r="AS39" i="13"/>
  <c r="AU39" i="13" s="1"/>
  <c r="AC166" i="14"/>
  <c r="AS104" i="13"/>
  <c r="AN119" i="12"/>
  <c r="AT48" i="3"/>
  <c r="AT60" i="12"/>
  <c r="AR35" i="13"/>
  <c r="P41" i="9"/>
  <c r="N88" i="11"/>
  <c r="N104" i="11"/>
  <c r="AU74" i="12"/>
  <c r="AU76" i="12" s="1"/>
  <c r="AR328" i="3"/>
  <c r="AS121" i="12"/>
  <c r="AH106" i="13"/>
  <c r="AY104" i="13"/>
  <c r="AT244" i="3"/>
  <c r="M130" i="12"/>
  <c r="S9" i="6"/>
  <c r="A10" i="6"/>
  <c r="AG85" i="7"/>
  <c r="AG86" i="7"/>
  <c r="AG130" i="7" s="1"/>
  <c r="J103" i="11"/>
  <c r="AF273" i="3"/>
  <c r="AF275" i="3"/>
  <c r="AF279" i="3" s="1"/>
  <c r="AB183" i="14"/>
  <c r="AJ103" i="12"/>
  <c r="AX49" i="13"/>
  <c r="AU201" i="3"/>
  <c r="BB67" i="3"/>
  <c r="AY51" i="3"/>
  <c r="AB166" i="14"/>
  <c r="AY49" i="13"/>
  <c r="AB228" i="14"/>
  <c r="AB244" i="14" s="1"/>
  <c r="AP41" i="12"/>
  <c r="AP284" i="3"/>
  <c r="AO161" i="3"/>
  <c r="AN140" i="12"/>
  <c r="AV65" i="13"/>
  <c r="AX65" i="13" s="1"/>
  <c r="AR203" i="3"/>
  <c r="E183" i="14"/>
  <c r="E167" i="14"/>
  <c r="Z105" i="11"/>
  <c r="Z89" i="11" s="1"/>
  <c r="AQ39" i="12"/>
  <c r="AT37" i="13"/>
  <c r="AV37" i="13" s="1"/>
  <c r="AS234" i="3"/>
  <c r="AR33" i="13"/>
  <c r="AB88" i="11"/>
  <c r="BC202" i="3"/>
  <c r="AD103" i="13"/>
  <c r="N104" i="13"/>
  <c r="N88" i="13" s="1"/>
  <c r="AJ104" i="11"/>
  <c r="CU72" i="3"/>
  <c r="AU51" i="3"/>
  <c r="AU52" i="12"/>
  <c r="AU60" i="12" s="1"/>
  <c r="AK264" i="3"/>
  <c r="Q86" i="12"/>
  <c r="Q131" i="12" s="1"/>
  <c r="AA89" i="12"/>
  <c r="AT43" i="13"/>
  <c r="AZ73" i="12"/>
  <c r="AV197" i="3"/>
  <c r="AX197" i="3" s="1"/>
  <c r="AO34" i="12"/>
  <c r="AT39" i="13"/>
  <c r="Q183" i="14"/>
  <c r="Q167" i="14" s="1"/>
  <c r="H104" i="11"/>
  <c r="H88" i="11" s="1"/>
  <c r="AQ71" i="3"/>
  <c r="AV204" i="3"/>
  <c r="L106" i="11"/>
  <c r="L90" i="11" s="1"/>
  <c r="G87" i="11"/>
  <c r="G103" i="11"/>
  <c r="N87" i="11"/>
  <c r="AY57" i="12"/>
  <c r="Q104" i="11"/>
  <c r="AY67" i="3"/>
  <c r="AW225" i="3"/>
  <c r="W103" i="12"/>
  <c r="W87" i="12" s="1"/>
  <c r="R104" i="13"/>
  <c r="AJ396" i="3"/>
  <c r="AY73" i="12"/>
  <c r="AO34" i="13"/>
  <c r="AN34" i="13"/>
  <c r="B166" i="14"/>
  <c r="P16" i="9"/>
  <c r="Q48" i="9"/>
  <c r="P57" i="9"/>
  <c r="G166" i="14"/>
  <c r="AP325" i="3"/>
  <c r="AR325" i="3" s="1"/>
  <c r="X167" i="14"/>
  <c r="AI106" i="13"/>
  <c r="AD273" i="3"/>
  <c r="AD275" i="3"/>
  <c r="AD279" i="3" s="1"/>
  <c r="CS67" i="3"/>
  <c r="AD88" i="12"/>
  <c r="AG27" i="13"/>
  <c r="AG27" i="11"/>
  <c r="BD202" i="3"/>
  <c r="M182" i="14"/>
  <c r="M166" i="14" s="1"/>
  <c r="AO117" i="12"/>
  <c r="AQ117" i="12" s="1"/>
  <c r="AL265" i="3"/>
  <c r="Q166" i="14"/>
  <c r="H87" i="11"/>
  <c r="J107" i="13"/>
  <c r="J92" i="13" s="1"/>
  <c r="AK173" i="3"/>
  <c r="AK12" i="3" s="1"/>
  <c r="AR242" i="3"/>
  <c r="AT226" i="3"/>
  <c r="AW226" i="3"/>
  <c r="L89" i="11"/>
  <c r="G86" i="11"/>
  <c r="AT37" i="12"/>
  <c r="AU37" i="12" s="1"/>
  <c r="AP40" i="12"/>
  <c r="AS244" i="3"/>
  <c r="AP40" i="13"/>
  <c r="BE19" i="3" l="1"/>
  <c r="AG88" i="11"/>
  <c r="AN91" i="3"/>
  <c r="AX200" i="3"/>
  <c r="AX199" i="3"/>
  <c r="AX283" i="3" s="1"/>
  <c r="BB195" i="3"/>
  <c r="BD195" i="3" s="1"/>
  <c r="AW198" i="3"/>
  <c r="AG28" i="11"/>
  <c r="AZ197" i="3"/>
  <c r="BA232" i="3"/>
  <c r="AY204" i="3"/>
  <c r="AY200" i="3"/>
  <c r="CU74" i="3"/>
  <c r="AV233" i="3"/>
  <c r="AY227" i="3"/>
  <c r="BA227" i="3" s="1"/>
  <c r="AX204" i="3"/>
  <c r="AZ204" i="3" s="1"/>
  <c r="BD18" i="3"/>
  <c r="BE34" i="3"/>
  <c r="CU67" i="3"/>
  <c r="AZ228" i="3"/>
  <c r="AZ244" i="3" s="1"/>
  <c r="BD21" i="3"/>
  <c r="AX229" i="3"/>
  <c r="AX245" i="3" s="1"/>
  <c r="AZ232" i="3"/>
  <c r="BB232" i="3" s="1"/>
  <c r="BE37" i="3"/>
  <c r="BE21" i="3" s="1"/>
  <c r="AV283" i="3"/>
  <c r="AZ227" i="3"/>
  <c r="BE38" i="3"/>
  <c r="BF38" i="3" s="1"/>
  <c r="BF22" i="3" s="1"/>
  <c r="BF39" i="3"/>
  <c r="BF23" i="3" s="1"/>
  <c r="AV246" i="3"/>
  <c r="BF25" i="3"/>
  <c r="AR117" i="12"/>
  <c r="AS117" i="12"/>
  <c r="BA248" i="3"/>
  <c r="AY68" i="13"/>
  <c r="AQ253" i="3"/>
  <c r="W132" i="12"/>
  <c r="BF16" i="3"/>
  <c r="L133" i="12"/>
  <c r="AZ200" i="3"/>
  <c r="AQ169" i="3"/>
  <c r="AR330" i="3"/>
  <c r="AT330" i="3" s="1"/>
  <c r="AU114" i="12"/>
  <c r="AQ114" i="12"/>
  <c r="AR114" i="12"/>
  <c r="AR164" i="3"/>
  <c r="AS325" i="3"/>
  <c r="AV325" i="3" s="1"/>
  <c r="Y135" i="12"/>
  <c r="AT116" i="12"/>
  <c r="AT140" i="12" s="1"/>
  <c r="AZ72" i="12"/>
  <c r="AQ251" i="3"/>
  <c r="AI26" i="13"/>
  <c r="AI89" i="13" s="1"/>
  <c r="AI26" i="11"/>
  <c r="AI89" i="11" s="1"/>
  <c r="P132" i="12"/>
  <c r="AZ56" i="3"/>
  <c r="AW76" i="13"/>
  <c r="AO45" i="12"/>
  <c r="AZ69" i="3"/>
  <c r="AR171" i="3"/>
  <c r="AS332" i="3"/>
  <c r="AT332" i="3" s="1"/>
  <c r="AU247" i="3"/>
  <c r="AI20" i="11"/>
  <c r="AI83" i="11" s="1"/>
  <c r="AI20" i="13"/>
  <c r="AI83" i="13" s="1"/>
  <c r="AU54" i="3"/>
  <c r="AX54" i="3" s="1"/>
  <c r="AT38" i="12"/>
  <c r="AW52" i="3"/>
  <c r="V132" i="12"/>
  <c r="R105" i="13"/>
  <c r="R89" i="13"/>
  <c r="W106" i="13"/>
  <c r="AH18" i="13"/>
  <c r="AH18" i="11"/>
  <c r="AV281" i="3"/>
  <c r="M105" i="13"/>
  <c r="AY105" i="13"/>
  <c r="AW252" i="3"/>
  <c r="BA199" i="3"/>
  <c r="AU104" i="13"/>
  <c r="AY196" i="3"/>
  <c r="AV52" i="3"/>
  <c r="AX244" i="3"/>
  <c r="AY72" i="3"/>
  <c r="AQ164" i="3"/>
  <c r="AI221" i="3"/>
  <c r="AJ221" i="3" s="1"/>
  <c r="AT70" i="3"/>
  <c r="AW70" i="3" s="1"/>
  <c r="AV70" i="3"/>
  <c r="Y104" i="13"/>
  <c r="B105" i="12"/>
  <c r="B89" i="12" s="1"/>
  <c r="AZ57" i="3"/>
  <c r="AH105" i="11"/>
  <c r="AT241" i="3"/>
  <c r="AV225" i="3"/>
  <c r="AX60" i="12"/>
  <c r="Z133" i="12"/>
  <c r="BB50" i="3"/>
  <c r="BA49" i="3"/>
  <c r="AW39" i="13"/>
  <c r="AZ49" i="3"/>
  <c r="AT120" i="12"/>
  <c r="AU120" i="12" s="1"/>
  <c r="G104" i="11"/>
  <c r="G88" i="11" s="1"/>
  <c r="AS250" i="3"/>
  <c r="AJ104" i="12"/>
  <c r="AH107" i="13"/>
  <c r="AQ163" i="3"/>
  <c r="AI106" i="11"/>
  <c r="AS104" i="12"/>
  <c r="AY42" i="13"/>
  <c r="Y87" i="13"/>
  <c r="B88" i="12"/>
  <c r="N105" i="12"/>
  <c r="N89" i="12" s="1"/>
  <c r="N134" i="12" s="1"/>
  <c r="AP107" i="13"/>
  <c r="AW69" i="3"/>
  <c r="E89" i="11"/>
  <c r="E105" i="11"/>
  <c r="AX201" i="3"/>
  <c r="AL105" i="11"/>
  <c r="X106" i="11"/>
  <c r="AW54" i="13"/>
  <c r="AZ74" i="12"/>
  <c r="AQ168" i="3"/>
  <c r="AQ265" i="3" s="1"/>
  <c r="AR329" i="3"/>
  <c r="AW249" i="3"/>
  <c r="AH21" i="13"/>
  <c r="AH84" i="13" s="1"/>
  <c r="AH21" i="11"/>
  <c r="AH84" i="11" s="1"/>
  <c r="U104" i="13"/>
  <c r="T105" i="11"/>
  <c r="AX56" i="3"/>
  <c r="AL107" i="13"/>
  <c r="Z106" i="11"/>
  <c r="Q104" i="12"/>
  <c r="O105" i="12"/>
  <c r="BD42" i="3"/>
  <c r="BD44" i="3" s="1"/>
  <c r="AV245" i="3"/>
  <c r="O88" i="12"/>
  <c r="AZ67" i="12"/>
  <c r="AE106" i="13"/>
  <c r="AE90" i="13"/>
  <c r="BB69" i="3"/>
  <c r="J93" i="13"/>
  <c r="AZ60" i="12"/>
  <c r="AX67" i="12"/>
  <c r="BC67" i="3"/>
  <c r="BE67" i="3" s="1"/>
  <c r="AF88" i="11"/>
  <c r="AF104" i="11"/>
  <c r="AO43" i="12"/>
  <c r="AV106" i="13"/>
  <c r="AT325" i="3"/>
  <c r="AO164" i="3"/>
  <c r="AC184" i="14"/>
  <c r="AC168" i="14" s="1"/>
  <c r="L104" i="13"/>
  <c r="L88" i="13" s="1"/>
  <c r="AV231" i="3"/>
  <c r="AV252" i="3"/>
  <c r="AS54" i="3"/>
  <c r="AG217" i="3"/>
  <c r="AG215" i="3"/>
  <c r="AG220" i="3"/>
  <c r="AG214" i="3"/>
  <c r="AG216" i="3"/>
  <c r="AG218" i="3"/>
  <c r="AG219" i="3"/>
  <c r="AJ107" i="13"/>
  <c r="D105" i="11"/>
  <c r="D89" i="11" s="1"/>
  <c r="BE202" i="3"/>
  <c r="AX68" i="13"/>
  <c r="N88" i="12"/>
  <c r="AQ327" i="3"/>
  <c r="B93" i="13"/>
  <c r="AY193" i="3"/>
  <c r="R88" i="12"/>
  <c r="R104" i="12"/>
  <c r="E88" i="11"/>
  <c r="AZ74" i="3"/>
  <c r="BA200" i="3"/>
  <c r="X89" i="11"/>
  <c r="AR38" i="12"/>
  <c r="R39" i="9"/>
  <c r="R23" i="9" s="1"/>
  <c r="AW68" i="13"/>
  <c r="AO265" i="3"/>
  <c r="BD17" i="3"/>
  <c r="BF55" i="3"/>
  <c r="AW60" i="13"/>
  <c r="AX69" i="12"/>
  <c r="AY66" i="13"/>
  <c r="AD88" i="13"/>
  <c r="AD104" i="13"/>
  <c r="AP327" i="3"/>
  <c r="BC42" i="3"/>
  <c r="BD22" i="3"/>
  <c r="AP165" i="3"/>
  <c r="AM264" i="3"/>
  <c r="AR205" i="3"/>
  <c r="AR285" i="3" s="1"/>
  <c r="AP36" i="12"/>
  <c r="AY197" i="3"/>
  <c r="BB197" i="3" s="1"/>
  <c r="AZ75" i="12"/>
  <c r="BF27" i="3"/>
  <c r="AT114" i="12"/>
  <c r="AD90" i="12"/>
  <c r="AD135" i="12" s="1"/>
  <c r="AD106" i="12"/>
  <c r="CU73" i="3"/>
  <c r="AX42" i="13"/>
  <c r="P105" i="11"/>
  <c r="K107" i="12"/>
  <c r="K92" i="12" s="1"/>
  <c r="K137" i="12" s="1"/>
  <c r="K91" i="12"/>
  <c r="K136" i="12" s="1"/>
  <c r="P88" i="11"/>
  <c r="AO251" i="3"/>
  <c r="AO253" i="3" s="1"/>
  <c r="AY72" i="13"/>
  <c r="AT242" i="3"/>
  <c r="AV226" i="3"/>
  <c r="AY226" i="3" s="1"/>
  <c r="AZ243" i="3"/>
  <c r="N185" i="14"/>
  <c r="AH20" i="11"/>
  <c r="AH83" i="11" s="1"/>
  <c r="AH20" i="13"/>
  <c r="AH83" i="13" s="1"/>
  <c r="AY74" i="12"/>
  <c r="BA64" i="3"/>
  <c r="BC64" i="3"/>
  <c r="AX226" i="3"/>
  <c r="M104" i="12"/>
  <c r="N168" i="14"/>
  <c r="AR33" i="12"/>
  <c r="AS33" i="12" s="1"/>
  <c r="AB90" i="12"/>
  <c r="AB135" i="12" s="1"/>
  <c r="AB106" i="12"/>
  <c r="D88" i="13"/>
  <c r="D104" i="13"/>
  <c r="AN170" i="3"/>
  <c r="J91" i="13"/>
  <c r="BD55" i="3"/>
  <c r="I106" i="12"/>
  <c r="I90" i="12" s="1"/>
  <c r="P105" i="13"/>
  <c r="P89" i="13"/>
  <c r="Q16" i="9"/>
  <c r="Q57" i="9"/>
  <c r="R48" i="9"/>
  <c r="AB106" i="11"/>
  <c r="AB90" i="11" s="1"/>
  <c r="AP171" i="3"/>
  <c r="AY52" i="13"/>
  <c r="AY49" i="3"/>
  <c r="F106" i="13"/>
  <c r="AY198" i="3"/>
  <c r="S105" i="11"/>
  <c r="S89" i="11" s="1"/>
  <c r="S10" i="6"/>
  <c r="A11" i="6"/>
  <c r="AH217" i="3"/>
  <c r="AH210" i="3"/>
  <c r="AH215" i="3"/>
  <c r="AH220" i="3"/>
  <c r="AH213" i="3"/>
  <c r="AH214" i="3"/>
  <c r="AH211" i="3"/>
  <c r="AH212" i="3"/>
  <c r="AH209" i="3"/>
  <c r="AH219" i="3"/>
  <c r="AH216" i="3"/>
  <c r="AH218" i="3"/>
  <c r="AR104" i="12"/>
  <c r="AI27" i="13"/>
  <c r="AI90" i="13" s="1"/>
  <c r="AI27" i="11"/>
  <c r="AI90" i="11" s="1"/>
  <c r="AC105" i="12"/>
  <c r="AX106" i="12"/>
  <c r="AH26" i="13"/>
  <c r="AH89" i="13" s="1"/>
  <c r="AH26" i="11"/>
  <c r="AH89" i="11" s="1"/>
  <c r="AG29" i="11"/>
  <c r="AG5" i="11" s="1"/>
  <c r="AG7" i="11" s="1"/>
  <c r="AG10" i="11" s="1"/>
  <c r="AG8" i="11" s="1"/>
  <c r="AG85" i="11"/>
  <c r="AW241" i="3"/>
  <c r="AS235" i="3"/>
  <c r="AP251" i="3"/>
  <c r="AP253" i="3" s="1"/>
  <c r="AO113" i="12"/>
  <c r="AM143" i="12"/>
  <c r="AQ171" i="3"/>
  <c r="AX198" i="3"/>
  <c r="AX282" i="3" s="1"/>
  <c r="AB89" i="12"/>
  <c r="AB134" i="12" s="1"/>
  <c r="AP123" i="12"/>
  <c r="AQ123" i="12"/>
  <c r="AG105" i="11"/>
  <c r="AG89" i="11" s="1"/>
  <c r="AV48" i="3"/>
  <c r="AP119" i="12"/>
  <c r="AQ119" i="12" s="1"/>
  <c r="O93" i="11"/>
  <c r="AS249" i="3"/>
  <c r="AY233" i="3"/>
  <c r="BD24" i="3"/>
  <c r="AR39" i="12"/>
  <c r="AT39" i="12" s="1"/>
  <c r="O91" i="11"/>
  <c r="AB89" i="11"/>
  <c r="AS39" i="12"/>
  <c r="AA106" i="13"/>
  <c r="AA90" i="13" s="1"/>
  <c r="U106" i="11"/>
  <c r="U90" i="11"/>
  <c r="U170" i="14"/>
  <c r="U172" i="14" s="1"/>
  <c r="AN323" i="3"/>
  <c r="AN122" i="12"/>
  <c r="AW105" i="13"/>
  <c r="AK106" i="11"/>
  <c r="AQ40" i="13"/>
  <c r="BC20" i="3"/>
  <c r="BE36" i="3"/>
  <c r="BF36" i="3" s="1"/>
  <c r="AL105" i="12"/>
  <c r="S131" i="12"/>
  <c r="M106" i="11"/>
  <c r="V106" i="11"/>
  <c r="V90" i="11"/>
  <c r="AS38" i="12"/>
  <c r="AS114" i="12"/>
  <c r="AS76" i="13"/>
  <c r="AC216" i="14"/>
  <c r="AC232" i="14" s="1"/>
  <c r="AC248" i="14" s="1"/>
  <c r="AC313" i="14"/>
  <c r="AW56" i="3"/>
  <c r="AV56" i="3"/>
  <c r="AR44" i="12"/>
  <c r="S88" i="11"/>
  <c r="I104" i="11"/>
  <c r="I88" i="11"/>
  <c r="AC106" i="13"/>
  <c r="C106" i="12"/>
  <c r="C90" i="12" s="1"/>
  <c r="J186" i="14"/>
  <c r="J171" i="14" s="1"/>
  <c r="AA107" i="12"/>
  <c r="AA92" i="12" s="1"/>
  <c r="AA137" i="12" s="1"/>
  <c r="AU249" i="3"/>
  <c r="U87" i="13"/>
  <c r="AW244" i="3"/>
  <c r="K90" i="12"/>
  <c r="K135" i="12" s="1"/>
  <c r="AW242" i="3"/>
  <c r="AK106" i="12"/>
  <c r="Q105" i="11"/>
  <c r="Q89" i="11" s="1"/>
  <c r="AH395" i="3"/>
  <c r="E184" i="14"/>
  <c r="E168" i="14"/>
  <c r="Q107" i="13"/>
  <c r="Q92" i="13" s="1"/>
  <c r="P88" i="12"/>
  <c r="P133" i="12" s="1"/>
  <c r="P104" i="12"/>
  <c r="R105" i="11"/>
  <c r="R89" i="11" s="1"/>
  <c r="AY243" i="3"/>
  <c r="BA50" i="3"/>
  <c r="AZ64" i="3"/>
  <c r="AT249" i="3"/>
  <c r="L105" i="12"/>
  <c r="AY72" i="12"/>
  <c r="AS246" i="3"/>
  <c r="W184" i="14"/>
  <c r="S183" i="14"/>
  <c r="AA213" i="14"/>
  <c r="AA310" i="14"/>
  <c r="AT246" i="3"/>
  <c r="AZ107" i="12"/>
  <c r="AF106" i="13"/>
  <c r="M89" i="11"/>
  <c r="AP92" i="3"/>
  <c r="AQ7" i="3"/>
  <c r="AP9" i="3"/>
  <c r="AP10" i="3" s="1"/>
  <c r="AQ3" i="3" s="1"/>
  <c r="AQ6" i="3" s="1"/>
  <c r="AL264" i="3"/>
  <c r="AE105" i="11"/>
  <c r="G184" i="14"/>
  <c r="G168" i="14" s="1"/>
  <c r="AC231" i="14"/>
  <c r="AC247" i="14" s="1"/>
  <c r="AX72" i="3"/>
  <c r="V90" i="13"/>
  <c r="V106" i="13"/>
  <c r="AQ161" i="3"/>
  <c r="AY55" i="12"/>
  <c r="Q184" i="14"/>
  <c r="V88" i="12"/>
  <c r="V133" i="12" s="1"/>
  <c r="V104" i="12"/>
  <c r="R88" i="13"/>
  <c r="AR250" i="3"/>
  <c r="AG106" i="13"/>
  <c r="AG90" i="13" s="1"/>
  <c r="AI388" i="3"/>
  <c r="AT234" i="3"/>
  <c r="AW234" i="3" s="1"/>
  <c r="AT59" i="3"/>
  <c r="Y185" i="14"/>
  <c r="Y169" i="14" s="1"/>
  <c r="T104" i="12"/>
  <c r="AG89" i="13"/>
  <c r="X105" i="13"/>
  <c r="AT33" i="13"/>
  <c r="X88" i="13"/>
  <c r="M88" i="13"/>
  <c r="AH23" i="13"/>
  <c r="AH86" i="13" s="1"/>
  <c r="AH23" i="11"/>
  <c r="AH86" i="11" s="1"/>
  <c r="AM142" i="12"/>
  <c r="BA196" i="3"/>
  <c r="AV282" i="3"/>
  <c r="AP34" i="12"/>
  <c r="AS105" i="13"/>
  <c r="AP169" i="3"/>
  <c r="AP265" i="3" s="1"/>
  <c r="AT44" i="13"/>
  <c r="F88" i="11"/>
  <c r="F104" i="11"/>
  <c r="X185" i="14"/>
  <c r="X169" i="14" s="1"/>
  <c r="F87" i="11"/>
  <c r="AY54" i="13"/>
  <c r="AY60" i="13" s="1"/>
  <c r="AR105" i="13"/>
  <c r="AM237" i="3"/>
  <c r="Q88" i="11"/>
  <c r="M87" i="12"/>
  <c r="AN264" i="3"/>
  <c r="AR123" i="12"/>
  <c r="G106" i="12"/>
  <c r="G90" i="12" s="1"/>
  <c r="AV60" i="13"/>
  <c r="AV234" i="3"/>
  <c r="I89" i="12"/>
  <c r="AT117" i="12"/>
  <c r="AU117" i="12" s="1"/>
  <c r="AO140" i="12"/>
  <c r="AW57" i="3"/>
  <c r="AY65" i="3"/>
  <c r="AO331" i="3"/>
  <c r="AU121" i="12"/>
  <c r="AV121" i="12" s="1"/>
  <c r="AZ52" i="12"/>
  <c r="BD20" i="3"/>
  <c r="X107" i="12"/>
  <c r="X92" i="12" s="1"/>
  <c r="AP34" i="13"/>
  <c r="AN45" i="13"/>
  <c r="E88" i="13"/>
  <c r="E104" i="13"/>
  <c r="AL266" i="3"/>
  <c r="U104" i="12"/>
  <c r="U88" i="12" s="1"/>
  <c r="D184" i="14"/>
  <c r="AN104" i="12"/>
  <c r="I184" i="14"/>
  <c r="I168" i="14" s="1"/>
  <c r="AH27" i="13"/>
  <c r="AH90" i="13" s="1"/>
  <c r="AH27" i="11"/>
  <c r="BC24" i="3"/>
  <c r="X90" i="12"/>
  <c r="X135" i="12" s="1"/>
  <c r="AI105" i="12"/>
  <c r="S166" i="14"/>
  <c r="AF89" i="13"/>
  <c r="S104" i="12"/>
  <c r="S88" i="12" s="1"/>
  <c r="BE40" i="3"/>
  <c r="CT70" i="3"/>
  <c r="B184" i="14"/>
  <c r="AX42" i="12"/>
  <c r="AY42" i="12" s="1"/>
  <c r="AZ42" i="12" s="1"/>
  <c r="AE88" i="11"/>
  <c r="AW70" i="13"/>
  <c r="G167" i="14"/>
  <c r="R186" i="14"/>
  <c r="R171" i="14" s="1"/>
  <c r="V89" i="13"/>
  <c r="AS322" i="3"/>
  <c r="AU73" i="3"/>
  <c r="AZ196" i="3"/>
  <c r="AD133" i="12"/>
  <c r="AH22" i="13"/>
  <c r="AH85" i="13" s="1"/>
  <c r="AH22" i="11"/>
  <c r="AH85" i="11" s="1"/>
  <c r="K167" i="14"/>
  <c r="K183" i="14"/>
  <c r="AT35" i="13"/>
  <c r="C89" i="12"/>
  <c r="W104" i="12"/>
  <c r="P184" i="14"/>
  <c r="P168" i="14" s="1"/>
  <c r="J169" i="14"/>
  <c r="AO166" i="3"/>
  <c r="AQ40" i="12"/>
  <c r="AU116" i="12"/>
  <c r="AP140" i="12"/>
  <c r="AQ116" i="12"/>
  <c r="AR116" i="12"/>
  <c r="AS116" i="12"/>
  <c r="AS140" i="12" s="1"/>
  <c r="AR235" i="3"/>
  <c r="AT235" i="3" s="1"/>
  <c r="AX193" i="3"/>
  <c r="AI107" i="13"/>
  <c r="BE25" i="3"/>
  <c r="AR284" i="3"/>
  <c r="AS247" i="3"/>
  <c r="AV76" i="12"/>
  <c r="R14" i="9"/>
  <c r="AV105" i="12"/>
  <c r="AI385" i="3"/>
  <c r="AJ385" i="3" s="1"/>
  <c r="R36" i="9"/>
  <c r="R20" i="9" s="1"/>
  <c r="AY105" i="12"/>
  <c r="BF67" i="3"/>
  <c r="AW281" i="3"/>
  <c r="L107" i="11"/>
  <c r="L92" i="11" s="1"/>
  <c r="AY37" i="13"/>
  <c r="AM107" i="13"/>
  <c r="AT73" i="3"/>
  <c r="AU203" i="3"/>
  <c r="AU205" i="3" s="1"/>
  <c r="AU285" i="3" s="1"/>
  <c r="J104" i="11"/>
  <c r="J88" i="11"/>
  <c r="AL173" i="3"/>
  <c r="AL12" i="3" s="1"/>
  <c r="AL263" i="3"/>
  <c r="AO141" i="12"/>
  <c r="AP118" i="12"/>
  <c r="AH25" i="13"/>
  <c r="AH88" i="13" s="1"/>
  <c r="AH25" i="11"/>
  <c r="AH88" i="11" s="1"/>
  <c r="BA69" i="3"/>
  <c r="H185" i="14"/>
  <c r="H169" i="14" s="1"/>
  <c r="AN96" i="3"/>
  <c r="AN97" i="3" s="1"/>
  <c r="AN98" i="3" s="1"/>
  <c r="AN99" i="3" s="1"/>
  <c r="AN100" i="3" s="1"/>
  <c r="AN101" i="3" s="1"/>
  <c r="AN102" i="3" s="1"/>
  <c r="AN103" i="3" s="1"/>
  <c r="AN104" i="3" s="1"/>
  <c r="AN105" i="3" s="1"/>
  <c r="AN106" i="3" s="1"/>
  <c r="AN107" i="3" s="1"/>
  <c r="AH106" i="12"/>
  <c r="AQ75" i="3"/>
  <c r="F184" i="14"/>
  <c r="AU230" i="3"/>
  <c r="BB196" i="3"/>
  <c r="AW282" i="3"/>
  <c r="AO83" i="3"/>
  <c r="AO88" i="3"/>
  <c r="AO86" i="3"/>
  <c r="AO89" i="3"/>
  <c r="AO80" i="3"/>
  <c r="AO81" i="3"/>
  <c r="AO90" i="3"/>
  <c r="AO82" i="3"/>
  <c r="AO85" i="3"/>
  <c r="AO84" i="3"/>
  <c r="AO87" i="3"/>
  <c r="AZ199" i="3"/>
  <c r="BB199" i="3" s="1"/>
  <c r="AU70" i="13"/>
  <c r="AX70" i="13" s="1"/>
  <c r="AP113" i="12"/>
  <c r="AO143" i="12" s="1"/>
  <c r="V184" i="14"/>
  <c r="V168" i="14" s="1"/>
  <c r="AV68" i="3"/>
  <c r="AX68" i="3" s="1"/>
  <c r="AS35" i="12"/>
  <c r="R169" i="14"/>
  <c r="AX49" i="3"/>
  <c r="K104" i="11"/>
  <c r="K88" i="11" s="1"/>
  <c r="BE55" i="3"/>
  <c r="AS59" i="3"/>
  <c r="W89" i="13"/>
  <c r="T106" i="13"/>
  <c r="AG29" i="13"/>
  <c r="AG5" i="13" s="1"/>
  <c r="AG7" i="13" s="1"/>
  <c r="AG10" i="13" s="1"/>
  <c r="AG8" i="13" s="1"/>
  <c r="AQ44" i="13"/>
  <c r="AR59" i="3"/>
  <c r="AI17" i="13"/>
  <c r="AI17" i="11"/>
  <c r="AW60" i="12"/>
  <c r="U131" i="12"/>
  <c r="AU76" i="13"/>
  <c r="CT67" i="3"/>
  <c r="X168" i="14"/>
  <c r="AI389" i="3"/>
  <c r="AJ389" i="3" s="1"/>
  <c r="C184" i="14"/>
  <c r="AM104" i="12"/>
  <c r="W88" i="11"/>
  <c r="W104" i="11"/>
  <c r="AU325" i="3"/>
  <c r="AP164" i="3"/>
  <c r="AT76" i="13"/>
  <c r="AW231" i="3"/>
  <c r="AY231" i="3" s="1"/>
  <c r="AQ106" i="13"/>
  <c r="AB107" i="13"/>
  <c r="AB92" i="13" s="1"/>
  <c r="AB184" i="14"/>
  <c r="AO119" i="12"/>
  <c r="AX51" i="3"/>
  <c r="AZ51" i="3" s="1"/>
  <c r="AB167" i="14"/>
  <c r="M183" i="14"/>
  <c r="AA134" i="12"/>
  <c r="AR167" i="3"/>
  <c r="AS70" i="3"/>
  <c r="AU70" i="3" s="1"/>
  <c r="AX65" i="3"/>
  <c r="AZ65" i="3" s="1"/>
  <c r="AW229" i="3"/>
  <c r="AW71" i="3"/>
  <c r="AV71" i="3"/>
  <c r="AT71" i="3"/>
  <c r="AX71" i="3" s="1"/>
  <c r="J87" i="11"/>
  <c r="N105" i="11"/>
  <c r="N89" i="11"/>
  <c r="AR38" i="13"/>
  <c r="AS38" i="13" s="1"/>
  <c r="AW243" i="3"/>
  <c r="AG118" i="3"/>
  <c r="AG123" i="3"/>
  <c r="AG119" i="3"/>
  <c r="AG122" i="3"/>
  <c r="AG120" i="3"/>
  <c r="AG124" i="3"/>
  <c r="AG121" i="3"/>
  <c r="AA184" i="14"/>
  <c r="AA168" i="14"/>
  <c r="AV53" i="3"/>
  <c r="AY53" i="3" s="1"/>
  <c r="BE33" i="3"/>
  <c r="H104" i="13"/>
  <c r="AD89" i="11"/>
  <c r="AD105" i="11"/>
  <c r="BD67" i="3"/>
  <c r="O105" i="13"/>
  <c r="O89" i="13" s="1"/>
  <c r="AH24" i="13"/>
  <c r="AH87" i="13" s="1"/>
  <c r="AH24" i="11"/>
  <c r="AH87" i="11" s="1"/>
  <c r="BE16" i="3"/>
  <c r="AF107" i="12"/>
  <c r="AF92" i="12" s="1"/>
  <c r="H168" i="14"/>
  <c r="AX66" i="3"/>
  <c r="AR75" i="3"/>
  <c r="AX243" i="3"/>
  <c r="AW66" i="3"/>
  <c r="D90" i="12"/>
  <c r="D106" i="12"/>
  <c r="AR324" i="3"/>
  <c r="AT252" i="3"/>
  <c r="AY236" i="3"/>
  <c r="T168" i="14"/>
  <c r="T184" i="14"/>
  <c r="AY56" i="3"/>
  <c r="Y90" i="11"/>
  <c r="Y106" i="11"/>
  <c r="AV37" i="12"/>
  <c r="AU283" i="3"/>
  <c r="AR41" i="12"/>
  <c r="CU70" i="3"/>
  <c r="V167" i="14"/>
  <c r="AW68" i="3"/>
  <c r="K87" i="11"/>
  <c r="AQ326" i="3"/>
  <c r="AW37" i="12"/>
  <c r="BB74" i="3"/>
  <c r="AM162" i="3"/>
  <c r="AM333" i="3"/>
  <c r="AM172" i="3" s="1"/>
  <c r="AM266" i="3" s="1"/>
  <c r="AI25" i="13"/>
  <c r="AI88" i="13" s="1"/>
  <c r="AI25" i="11"/>
  <c r="AI88" i="11" s="1"/>
  <c r="I87" i="11"/>
  <c r="BA4" i="3"/>
  <c r="B542" i="5"/>
  <c r="AH16" i="3" s="1"/>
  <c r="C106" i="13"/>
  <c r="C90" i="13" s="1"/>
  <c r="AI23" i="13"/>
  <c r="AI86" i="13" s="1"/>
  <c r="AI23" i="11"/>
  <c r="AI86" i="11" s="1"/>
  <c r="AU44" i="13"/>
  <c r="N105" i="13"/>
  <c r="N89" i="13" s="1"/>
  <c r="C105" i="11"/>
  <c r="AS44" i="13"/>
  <c r="Q87" i="12"/>
  <c r="AR161" i="3"/>
  <c r="H106" i="12"/>
  <c r="H90" i="12"/>
  <c r="BB26" i="3"/>
  <c r="BB28" i="3" s="1"/>
  <c r="BB44" i="3"/>
  <c r="AZ198" i="3"/>
  <c r="AX233" i="3"/>
  <c r="AZ233" i="3" s="1"/>
  <c r="AQ112" i="12"/>
  <c r="AR44" i="13"/>
  <c r="AI19" i="13"/>
  <c r="AI19" i="11"/>
  <c r="I90" i="13"/>
  <c r="I106" i="13"/>
  <c r="Q90" i="13"/>
  <c r="AX105" i="13"/>
  <c r="AV249" i="3"/>
  <c r="AI24" i="13"/>
  <c r="AI87" i="13" s="1"/>
  <c r="AI24" i="11"/>
  <c r="AI87" i="11" s="1"/>
  <c r="AW115" i="12"/>
  <c r="AY65" i="13"/>
  <c r="AT245" i="3"/>
  <c r="AZ229" i="3"/>
  <c r="AU52" i="3"/>
  <c r="AX52" i="3"/>
  <c r="AT104" i="13"/>
  <c r="AY228" i="3"/>
  <c r="AW201" i="3"/>
  <c r="AW283" i="3" s="1"/>
  <c r="K134" i="12"/>
  <c r="AU234" i="3"/>
  <c r="AV39" i="13"/>
  <c r="BD50" i="3"/>
  <c r="AE107" i="12"/>
  <c r="AE92" i="12" s="1"/>
  <c r="AQ104" i="12"/>
  <c r="O184" i="14"/>
  <c r="O168" i="14" s="1"/>
  <c r="AS330" i="3"/>
  <c r="AN265" i="3"/>
  <c r="AH17" i="13"/>
  <c r="AH17" i="11"/>
  <c r="AO104" i="12"/>
  <c r="AY74" i="3"/>
  <c r="Z185" i="14"/>
  <c r="Z169" i="14"/>
  <c r="AY57" i="3"/>
  <c r="AT105" i="12"/>
  <c r="J107" i="12"/>
  <c r="J92" i="12" s="1"/>
  <c r="AP104" i="12"/>
  <c r="G104" i="13"/>
  <c r="AU43" i="13"/>
  <c r="AV43" i="13" s="1"/>
  <c r="AW43" i="13" s="1"/>
  <c r="AR41" i="13"/>
  <c r="AV54" i="13"/>
  <c r="AX54" i="13" s="1"/>
  <c r="AX60" i="13" s="1"/>
  <c r="AJ105" i="11"/>
  <c r="F106" i="12"/>
  <c r="F90" i="12" s="1"/>
  <c r="BC49" i="3"/>
  <c r="AW54" i="3"/>
  <c r="AV54" i="3"/>
  <c r="S106" i="13"/>
  <c r="T87" i="12"/>
  <c r="T132" i="12" s="1"/>
  <c r="AA107" i="11"/>
  <c r="AA92" i="11" s="1"/>
  <c r="C89" i="13"/>
  <c r="Q41" i="9"/>
  <c r="Y107" i="12"/>
  <c r="Y92" i="12" s="1"/>
  <c r="Y137" i="12" s="1"/>
  <c r="AW76" i="12"/>
  <c r="AY65" i="12"/>
  <c r="B104" i="11"/>
  <c r="AV66" i="13"/>
  <c r="AX66" i="13" s="1"/>
  <c r="AX76" i="13" s="1"/>
  <c r="L184" i="14"/>
  <c r="AD87" i="13"/>
  <c r="AB214" i="14"/>
  <c r="AB230" i="14" s="1"/>
  <c r="AB246" i="14" s="1"/>
  <c r="AB311" i="14"/>
  <c r="E106" i="12"/>
  <c r="E90" i="12" s="1"/>
  <c r="AJ387" i="3"/>
  <c r="AJ390" i="3"/>
  <c r="AJ393" i="3"/>
  <c r="AJ391" i="3"/>
  <c r="AJ386" i="3"/>
  <c r="AJ384" i="3"/>
  <c r="AJ394" i="3"/>
  <c r="AJ392" i="3"/>
  <c r="AK396" i="3"/>
  <c r="H105" i="11"/>
  <c r="BA51" i="3"/>
  <c r="AT203" i="3"/>
  <c r="AV203" i="3" s="1"/>
  <c r="AV205" i="3" s="1"/>
  <c r="AV285" i="3" s="1"/>
  <c r="P25" i="9"/>
  <c r="P26" i="9" s="1"/>
  <c r="AX248" i="3"/>
  <c r="AE90" i="12"/>
  <c r="AE135" i="12" s="1"/>
  <c r="O167" i="14"/>
  <c r="AY248" i="3"/>
  <c r="BC195" i="3"/>
  <c r="AY69" i="3"/>
  <c r="AS328" i="3"/>
  <c r="AH19" i="11"/>
  <c r="AH19" i="13"/>
  <c r="AY194" i="3"/>
  <c r="AQ59" i="3"/>
  <c r="AU35" i="13"/>
  <c r="AU106" i="12"/>
  <c r="AN45" i="12"/>
  <c r="K104" i="13"/>
  <c r="Z89" i="13"/>
  <c r="Z105" i="13"/>
  <c r="Z168" i="14"/>
  <c r="AX236" i="3"/>
  <c r="BA236" i="3" s="1"/>
  <c r="BA252" i="3" s="1"/>
  <c r="AW104" i="12"/>
  <c r="Z106" i="12"/>
  <c r="Z90" i="12" s="1"/>
  <c r="Z135" i="12" s="1"/>
  <c r="AC105" i="11"/>
  <c r="AC89" i="11" s="1"/>
  <c r="G87" i="13"/>
  <c r="BF202" i="3"/>
  <c r="AW52" i="12"/>
  <c r="AY52" i="12" s="1"/>
  <c r="AY60" i="12" s="1"/>
  <c r="AX37" i="13"/>
  <c r="BC55" i="3"/>
  <c r="BA193" i="3" l="1"/>
  <c r="BA204" i="3"/>
  <c r="AO91" i="3"/>
  <c r="BF37" i="3"/>
  <c r="BF21" i="3" s="1"/>
  <c r="BE22" i="3"/>
  <c r="AZ248" i="3"/>
  <c r="BB248" i="3"/>
  <c r="BD232" i="3"/>
  <c r="BD248" i="3" s="1"/>
  <c r="BC204" i="3"/>
  <c r="BB204" i="3"/>
  <c r="BD204" i="3" s="1"/>
  <c r="BF204" i="3" s="1"/>
  <c r="BA243" i="3"/>
  <c r="BD227" i="3"/>
  <c r="BD243" i="3" s="1"/>
  <c r="BC227" i="3"/>
  <c r="BC243" i="3" s="1"/>
  <c r="AZ201" i="3"/>
  <c r="AZ283" i="3" s="1"/>
  <c r="AU235" i="3"/>
  <c r="AU251" i="3" s="1"/>
  <c r="AY234" i="3"/>
  <c r="BC199" i="3"/>
  <c r="BE199" i="3" s="1"/>
  <c r="BB228" i="3"/>
  <c r="BB244" i="3" s="1"/>
  <c r="BC196" i="3"/>
  <c r="BA228" i="3"/>
  <c r="BA244" i="3" s="1"/>
  <c r="BC232" i="3"/>
  <c r="BC248" i="3" s="1"/>
  <c r="BB227" i="3"/>
  <c r="BB243" i="3" s="1"/>
  <c r="AW203" i="3"/>
  <c r="AW205" i="3" s="1"/>
  <c r="AW285" i="3" s="1"/>
  <c r="BF34" i="3"/>
  <c r="BF18" i="3" s="1"/>
  <c r="BE18" i="3"/>
  <c r="AJ210" i="3"/>
  <c r="AJ220" i="3"/>
  <c r="AJ213" i="3"/>
  <c r="AJ218" i="3"/>
  <c r="AJ212" i="3"/>
  <c r="AJ209" i="3"/>
  <c r="AJ217" i="3"/>
  <c r="AJ219" i="3"/>
  <c r="AJ215" i="3"/>
  <c r="AJ211" i="3"/>
  <c r="AJ216" i="3"/>
  <c r="AJ214" i="3"/>
  <c r="BB65" i="3"/>
  <c r="AZ249" i="3"/>
  <c r="S133" i="12"/>
  <c r="AS327" i="3"/>
  <c r="U133" i="12"/>
  <c r="AQ10" i="3"/>
  <c r="AR3" i="3" s="1"/>
  <c r="AR6" i="3" s="1"/>
  <c r="AT171" i="3"/>
  <c r="AT169" i="3"/>
  <c r="AT38" i="13"/>
  <c r="BA70" i="3"/>
  <c r="AU75" i="3"/>
  <c r="BB51" i="3"/>
  <c r="BF51" i="3" s="1"/>
  <c r="BC51" i="3"/>
  <c r="Q26" i="9"/>
  <c r="AV164" i="3"/>
  <c r="AH81" i="13"/>
  <c r="AH82" i="13"/>
  <c r="AN142" i="12"/>
  <c r="AV247" i="3"/>
  <c r="R170" i="14"/>
  <c r="V107" i="11"/>
  <c r="V92" i="11" s="1"/>
  <c r="V91" i="11"/>
  <c r="AA185" i="14"/>
  <c r="AA169" i="14"/>
  <c r="X137" i="12"/>
  <c r="AE106" i="11"/>
  <c r="S11" i="6"/>
  <c r="A12" i="6"/>
  <c r="AJ106" i="11"/>
  <c r="BD56" i="3"/>
  <c r="AG138" i="3"/>
  <c r="AG154" i="3" s="1"/>
  <c r="BB194" i="3"/>
  <c r="AU33" i="13"/>
  <c r="P106" i="11"/>
  <c r="AT164" i="3"/>
  <c r="BE232" i="3"/>
  <c r="BE248" i="3" s="1"/>
  <c r="AJ26" i="13"/>
  <c r="AJ89" i="13" s="1"/>
  <c r="AJ26" i="11"/>
  <c r="AJ89" i="11" s="1"/>
  <c r="AY71" i="3"/>
  <c r="AG135" i="3"/>
  <c r="BA194" i="3"/>
  <c r="BD49" i="3"/>
  <c r="BF49" i="3" s="1"/>
  <c r="AZ66" i="3"/>
  <c r="D169" i="14"/>
  <c r="D185" i="14"/>
  <c r="X90" i="13"/>
  <c r="X106" i="13"/>
  <c r="AQ92" i="3"/>
  <c r="AR7" i="3"/>
  <c r="AQ9" i="3"/>
  <c r="I105" i="11"/>
  <c r="AC106" i="12"/>
  <c r="P89" i="11"/>
  <c r="AW35" i="13"/>
  <c r="AX35" i="13" s="1"/>
  <c r="AY35" i="13" s="1"/>
  <c r="T106" i="11"/>
  <c r="AS105" i="12"/>
  <c r="AQ264" i="3"/>
  <c r="AY106" i="13"/>
  <c r="AJ23" i="13"/>
  <c r="AJ86" i="13" s="1"/>
  <c r="AJ23" i="11"/>
  <c r="AJ86" i="11" s="1"/>
  <c r="Y91" i="12"/>
  <c r="K93" i="12"/>
  <c r="AX106" i="13"/>
  <c r="AG139" i="3"/>
  <c r="AG155" i="3" s="1"/>
  <c r="W105" i="11"/>
  <c r="AV44" i="13"/>
  <c r="AL267" i="3"/>
  <c r="AY106" i="12"/>
  <c r="AI92" i="13"/>
  <c r="K184" i="14"/>
  <c r="K168" i="14" s="1"/>
  <c r="D168" i="14"/>
  <c r="F105" i="11"/>
  <c r="X89" i="13"/>
  <c r="V89" i="12"/>
  <c r="V134" i="12" s="1"/>
  <c r="V105" i="12"/>
  <c r="AP88" i="3"/>
  <c r="AP86" i="3"/>
  <c r="AP84" i="3"/>
  <c r="AP81" i="3"/>
  <c r="AP83" i="3"/>
  <c r="AP89" i="3"/>
  <c r="AP80" i="3"/>
  <c r="AP82" i="3"/>
  <c r="AP85" i="3"/>
  <c r="AP87" i="3"/>
  <c r="AP90" i="3"/>
  <c r="BE20" i="3"/>
  <c r="AC89" i="12"/>
  <c r="T89" i="11"/>
  <c r="BC200" i="3"/>
  <c r="AV117" i="12"/>
  <c r="AW117" i="12" s="1"/>
  <c r="AW140" i="12" s="1"/>
  <c r="AB185" i="14"/>
  <c r="AB169" i="14" s="1"/>
  <c r="J91" i="12"/>
  <c r="J136" i="12" s="1"/>
  <c r="BC72" i="3"/>
  <c r="W107" i="13"/>
  <c r="W92" i="13" s="1"/>
  <c r="AR168" i="3"/>
  <c r="Y89" i="13"/>
  <c r="Y105" i="13"/>
  <c r="AE91" i="13"/>
  <c r="AE107" i="13"/>
  <c r="AE92" i="13" s="1"/>
  <c r="L91" i="11"/>
  <c r="L93" i="11" s="1"/>
  <c r="AV250" i="3"/>
  <c r="O133" i="12"/>
  <c r="AJ24" i="13"/>
  <c r="AJ87" i="13" s="1"/>
  <c r="AJ24" i="11"/>
  <c r="AJ87" i="11" s="1"/>
  <c r="AG140" i="3"/>
  <c r="AK107" i="12"/>
  <c r="AX75" i="3"/>
  <c r="BA54" i="3"/>
  <c r="BD54" i="3" s="1"/>
  <c r="B185" i="14"/>
  <c r="B169" i="14"/>
  <c r="S106" i="11"/>
  <c r="D90" i="11"/>
  <c r="D106" i="11"/>
  <c r="AZ54" i="3"/>
  <c r="AU250" i="3"/>
  <c r="B168" i="14"/>
  <c r="AS40" i="12"/>
  <c r="AJ20" i="11"/>
  <c r="AJ83" i="11" s="1"/>
  <c r="AJ20" i="13"/>
  <c r="AJ83" i="13" s="1"/>
  <c r="Q25" i="9"/>
  <c r="AS41" i="13"/>
  <c r="Y107" i="11"/>
  <c r="Y92" i="11" s="1"/>
  <c r="AG134" i="3"/>
  <c r="AG150" i="3" s="1"/>
  <c r="AG125" i="3"/>
  <c r="AU35" i="12"/>
  <c r="AT35" i="12"/>
  <c r="BE24" i="3"/>
  <c r="BF40" i="3"/>
  <c r="AO323" i="3"/>
  <c r="AZ193" i="3"/>
  <c r="BC193" i="3" s="1"/>
  <c r="BE64" i="3"/>
  <c r="BF232" i="3"/>
  <c r="BF248" i="3" s="1"/>
  <c r="AS44" i="12"/>
  <c r="BF20" i="3"/>
  <c r="AS123" i="12"/>
  <c r="AV107" i="13"/>
  <c r="BD26" i="3"/>
  <c r="BD28" i="3" s="1"/>
  <c r="X107" i="11"/>
  <c r="X92" i="11" s="1"/>
  <c r="BA74" i="3"/>
  <c r="BD74" i="3" s="1"/>
  <c r="AV241" i="3"/>
  <c r="AX225" i="3"/>
  <c r="BA225" i="3"/>
  <c r="BA241" i="3" s="1"/>
  <c r="AS329" i="3"/>
  <c r="AX325" i="3"/>
  <c r="AS164" i="3"/>
  <c r="S91" i="13"/>
  <c r="S107" i="13"/>
  <c r="S92" i="13" s="1"/>
  <c r="H89" i="13"/>
  <c r="H105" i="13"/>
  <c r="S90" i="13"/>
  <c r="AS169" i="3"/>
  <c r="AX249" i="3"/>
  <c r="Q91" i="13"/>
  <c r="AN237" i="3"/>
  <c r="AO237" i="3" s="1"/>
  <c r="AQ107" i="13"/>
  <c r="AR106" i="13"/>
  <c r="Q44" i="6"/>
  <c r="Q45" i="6" s="1"/>
  <c r="Q46" i="6" s="1"/>
  <c r="Q47" i="6" s="1"/>
  <c r="Q48" i="6" s="1"/>
  <c r="Q49" i="6" s="1"/>
  <c r="Q50" i="6" s="1"/>
  <c r="BD65" i="3"/>
  <c r="U107" i="11"/>
  <c r="U92" i="11" s="1"/>
  <c r="U91" i="11"/>
  <c r="O106" i="12"/>
  <c r="O90" i="12" s="1"/>
  <c r="O135" i="12" s="1"/>
  <c r="X90" i="11"/>
  <c r="AY225" i="3"/>
  <c r="BC50" i="3"/>
  <c r="BF50" i="3" s="1"/>
  <c r="S184" i="14"/>
  <c r="Q105" i="12"/>
  <c r="AJ25" i="13"/>
  <c r="AJ88" i="13" s="1"/>
  <c r="AJ25" i="11"/>
  <c r="AJ88" i="11" s="1"/>
  <c r="AB93" i="13"/>
  <c r="AC106" i="11"/>
  <c r="AC90" i="11" s="1"/>
  <c r="BB4" i="3"/>
  <c r="AO122" i="12"/>
  <c r="R106" i="13"/>
  <c r="R90" i="13" s="1"/>
  <c r="L90" i="12"/>
  <c r="L135" i="12" s="1"/>
  <c r="L106" i="12"/>
  <c r="AO264" i="3"/>
  <c r="N170" i="14"/>
  <c r="N186" i="14"/>
  <c r="N171" i="14" s="1"/>
  <c r="Q132" i="12"/>
  <c r="M184" i="14"/>
  <c r="M168" i="14" s="1"/>
  <c r="AU246" i="3"/>
  <c r="AX230" i="3"/>
  <c r="AW230" i="3"/>
  <c r="AR251" i="3"/>
  <c r="AR253" i="3" s="1"/>
  <c r="T105" i="12"/>
  <c r="AF107" i="13"/>
  <c r="AF92" i="13" s="1"/>
  <c r="BB56" i="3"/>
  <c r="BB200" i="3"/>
  <c r="BD200" i="3" s="1"/>
  <c r="BF200" i="3" s="1"/>
  <c r="N169" i="14"/>
  <c r="AU38" i="12"/>
  <c r="O89" i="12"/>
  <c r="O134" i="12" s="1"/>
  <c r="U105" i="13"/>
  <c r="AI107" i="11"/>
  <c r="AI92" i="11" s="1"/>
  <c r="BA72" i="3"/>
  <c r="AW325" i="3"/>
  <c r="AI21" i="13"/>
  <c r="AI84" i="13" s="1"/>
  <c r="AI21" i="11"/>
  <c r="AI84" i="11" s="1"/>
  <c r="N106" i="12"/>
  <c r="N90" i="12" s="1"/>
  <c r="N135" i="12" s="1"/>
  <c r="W169" i="14"/>
  <c r="W185" i="14"/>
  <c r="E185" i="14"/>
  <c r="E169" i="14"/>
  <c r="AV59" i="3"/>
  <c r="AQ166" i="3"/>
  <c r="AV330" i="3"/>
  <c r="AP45" i="12"/>
  <c r="M107" i="11"/>
  <c r="M92" i="11" s="1"/>
  <c r="AX242" i="3"/>
  <c r="AT75" i="3"/>
  <c r="AE91" i="12"/>
  <c r="AE136" i="12" s="1"/>
  <c r="I107" i="12"/>
  <c r="I92" i="12" s="1"/>
  <c r="AT251" i="3"/>
  <c r="H107" i="12"/>
  <c r="H92" i="12" s="1"/>
  <c r="AA107" i="13"/>
  <c r="AA92" i="13" s="1"/>
  <c r="AZ68" i="3"/>
  <c r="U105" i="12"/>
  <c r="Z106" i="13"/>
  <c r="Z90" i="13" s="1"/>
  <c r="AB215" i="14"/>
  <c r="AB312" i="14"/>
  <c r="BB198" i="3"/>
  <c r="BB282" i="3" s="1"/>
  <c r="I107" i="13"/>
  <c r="I92" i="13" s="1"/>
  <c r="I91" i="13"/>
  <c r="T185" i="14"/>
  <c r="AU38" i="13"/>
  <c r="M167" i="14"/>
  <c r="AM105" i="12"/>
  <c r="T107" i="13"/>
  <c r="T92" i="13" s="1"/>
  <c r="AY68" i="3"/>
  <c r="BB68" i="3" s="1"/>
  <c r="F185" i="14"/>
  <c r="AZ53" i="3"/>
  <c r="AW121" i="12"/>
  <c r="AU330" i="3"/>
  <c r="T88" i="12"/>
  <c r="T133" i="12" s="1"/>
  <c r="Q185" i="14"/>
  <c r="AF90" i="13"/>
  <c r="AR105" i="12"/>
  <c r="F107" i="13"/>
  <c r="F92" i="13" s="1"/>
  <c r="BF227" i="3"/>
  <c r="BF243" i="3" s="1"/>
  <c r="AQ43" i="12"/>
  <c r="U88" i="13"/>
  <c r="AL106" i="11"/>
  <c r="BB72" i="3"/>
  <c r="BD72" i="3" s="1"/>
  <c r="M106" i="13"/>
  <c r="M90" i="13" s="1"/>
  <c r="AP43" i="12"/>
  <c r="AS171" i="3"/>
  <c r="AB168" i="14"/>
  <c r="O169" i="14"/>
  <c r="O185" i="14"/>
  <c r="BE17" i="3"/>
  <c r="B105" i="11"/>
  <c r="AQ165" i="3"/>
  <c r="AS326" i="3"/>
  <c r="AG107" i="13"/>
  <c r="AG92" i="13" s="1"/>
  <c r="B88" i="11"/>
  <c r="AW284" i="3"/>
  <c r="AH28" i="13"/>
  <c r="AH91" i="13" s="1"/>
  <c r="AH28" i="11"/>
  <c r="AH29" i="11" s="1"/>
  <c r="AH5" i="11" s="1"/>
  <c r="AH7" i="11" s="1"/>
  <c r="AH10" i="11" s="1"/>
  <c r="AH8" i="11" s="1"/>
  <c r="AV120" i="12"/>
  <c r="AW120" i="12" s="1"/>
  <c r="AJ17" i="13"/>
  <c r="AJ17" i="11"/>
  <c r="C107" i="12"/>
  <c r="C92" i="12" s="1"/>
  <c r="C91" i="12"/>
  <c r="BD4" i="3"/>
  <c r="AE137" i="12"/>
  <c r="AE93" i="12"/>
  <c r="AW105" i="12"/>
  <c r="W105" i="12"/>
  <c r="W89" i="12"/>
  <c r="W134" i="12" s="1"/>
  <c r="AE89" i="11"/>
  <c r="K89" i="11"/>
  <c r="K105" i="11"/>
  <c r="Z186" i="14"/>
  <c r="Z171" i="14" s="1"/>
  <c r="T90" i="13"/>
  <c r="F168" i="14"/>
  <c r="AX53" i="3"/>
  <c r="AI18" i="13"/>
  <c r="AI18" i="11"/>
  <c r="AI395" i="3"/>
  <c r="AO170" i="3"/>
  <c r="AP331" i="3"/>
  <c r="AS106" i="13"/>
  <c r="Q168" i="14"/>
  <c r="BE227" i="3"/>
  <c r="BE243" i="3" s="1"/>
  <c r="BC228" i="3"/>
  <c r="BC244" i="3" s="1"/>
  <c r="AC217" i="14"/>
  <c r="AC218" i="14"/>
  <c r="AC234" i="14" s="1"/>
  <c r="AC250" i="14" s="1"/>
  <c r="AR40" i="13"/>
  <c r="F90" i="13"/>
  <c r="AD91" i="12"/>
  <c r="AD136" i="12" s="1"/>
  <c r="AD107" i="12"/>
  <c r="AD92" i="12" s="1"/>
  <c r="BC26" i="3"/>
  <c r="BC28" i="3" s="1"/>
  <c r="BC44" i="3"/>
  <c r="BE42" i="3"/>
  <c r="AR112" i="12"/>
  <c r="M89" i="13"/>
  <c r="AX231" i="3"/>
  <c r="BA231" i="3" s="1"/>
  <c r="BA247" i="3" s="1"/>
  <c r="AW235" i="3"/>
  <c r="AQ36" i="12"/>
  <c r="AR36" i="12" s="1"/>
  <c r="AX48" i="3"/>
  <c r="AZ48" i="3" s="1"/>
  <c r="AW73" i="3"/>
  <c r="M132" i="12"/>
  <c r="AY281" i="3"/>
  <c r="Q88" i="12"/>
  <c r="Q133" i="12" s="1"/>
  <c r="Z107" i="11"/>
  <c r="Z92" i="11" s="1"/>
  <c r="AJ27" i="13"/>
  <c r="AJ90" i="13" s="1"/>
  <c r="AJ27" i="11"/>
  <c r="AJ90" i="11" s="1"/>
  <c r="AP45" i="13"/>
  <c r="AQ34" i="13"/>
  <c r="AT106" i="12"/>
  <c r="I169" i="14"/>
  <c r="I185" i="14"/>
  <c r="AC107" i="13"/>
  <c r="AC92" i="13" s="1"/>
  <c r="BB233" i="3"/>
  <c r="BB249" i="3" s="1"/>
  <c r="Y186" i="14"/>
  <c r="Y171" i="14" s="1"/>
  <c r="AK107" i="11"/>
  <c r="AU39" i="12"/>
  <c r="AQ113" i="12"/>
  <c r="BE49" i="3"/>
  <c r="D105" i="13"/>
  <c r="D89" i="13" s="1"/>
  <c r="AV242" i="3"/>
  <c r="BA226" i="3"/>
  <c r="BA242" i="3" s="1"/>
  <c r="AP166" i="3"/>
  <c r="AF89" i="11"/>
  <c r="AF105" i="11"/>
  <c r="BA197" i="3"/>
  <c r="BC197" i="3" s="1"/>
  <c r="E106" i="11"/>
  <c r="E90" i="11" s="1"/>
  <c r="AZ72" i="3"/>
  <c r="AY247" i="3"/>
  <c r="AY66" i="3"/>
  <c r="S167" i="14"/>
  <c r="AY250" i="3"/>
  <c r="W90" i="13"/>
  <c r="AB91" i="13"/>
  <c r="AW245" i="3"/>
  <c r="L105" i="13"/>
  <c r="AY76" i="12"/>
  <c r="AG106" i="11"/>
  <c r="AG90" i="11" s="1"/>
  <c r="AF91" i="12"/>
  <c r="AF136" i="12" s="1"/>
  <c r="AC90" i="13"/>
  <c r="AX234" i="3"/>
  <c r="BA234" i="3" s="1"/>
  <c r="BA250" i="3" s="1"/>
  <c r="AX39" i="13"/>
  <c r="AY39" i="13" s="1"/>
  <c r="AH107" i="12"/>
  <c r="R90" i="11"/>
  <c r="R106" i="11"/>
  <c r="AY242" i="3"/>
  <c r="AU140" i="12"/>
  <c r="AH92" i="13"/>
  <c r="AW75" i="3"/>
  <c r="BE195" i="3"/>
  <c r="J137" i="12"/>
  <c r="H88" i="13"/>
  <c r="AV75" i="3"/>
  <c r="AA91" i="12"/>
  <c r="AA136" i="12" s="1"/>
  <c r="AW330" i="3"/>
  <c r="AR169" i="3"/>
  <c r="AR265" i="3" s="1"/>
  <c r="AV76" i="13"/>
  <c r="W168" i="14"/>
  <c r="M89" i="12"/>
  <c r="M134" i="12" s="1"/>
  <c r="M105" i="12"/>
  <c r="AQ105" i="12"/>
  <c r="J170" i="14"/>
  <c r="J172" i="14" s="1"/>
  <c r="Z91" i="12"/>
  <c r="Z136" i="12" s="1"/>
  <c r="Z107" i="12"/>
  <c r="Z92" i="12" s="1"/>
  <c r="F107" i="12"/>
  <c r="F92" i="12" s="1"/>
  <c r="AP141" i="12"/>
  <c r="AC185" i="14"/>
  <c r="AC169" i="14" s="1"/>
  <c r="AR327" i="3"/>
  <c r="AQ118" i="12"/>
  <c r="AW250" i="3"/>
  <c r="P90" i="13"/>
  <c r="P106" i="13"/>
  <c r="AX107" i="12"/>
  <c r="AR326" i="3"/>
  <c r="AJ18" i="11"/>
  <c r="AJ18" i="13"/>
  <c r="AS41" i="12"/>
  <c r="L89" i="12"/>
  <c r="L134" i="12" s="1"/>
  <c r="E107" i="12"/>
  <c r="E92" i="12" s="1"/>
  <c r="S105" i="12"/>
  <c r="AX115" i="12"/>
  <c r="AY115" i="12" s="1"/>
  <c r="AY203" i="3"/>
  <c r="AT284" i="3"/>
  <c r="AX203" i="3"/>
  <c r="AZ203" i="3" s="1"/>
  <c r="AT205" i="3"/>
  <c r="AT285" i="3" s="1"/>
  <c r="AY252" i="3"/>
  <c r="C185" i="14"/>
  <c r="C169" i="14"/>
  <c r="BF195" i="3"/>
  <c r="AV106" i="12"/>
  <c r="H90" i="11"/>
  <c r="H106" i="11"/>
  <c r="AV33" i="13"/>
  <c r="AI22" i="13"/>
  <c r="AI85" i="13" s="1"/>
  <c r="AI22" i="11"/>
  <c r="AI85" i="11" s="1"/>
  <c r="J105" i="11"/>
  <c r="J89" i="11" s="1"/>
  <c r="R41" i="9"/>
  <c r="R25" i="9" s="1"/>
  <c r="AW116" i="12"/>
  <c r="AX116" i="12" s="1"/>
  <c r="AY116" i="12" s="1"/>
  <c r="AR140" i="12"/>
  <c r="AZ282" i="3"/>
  <c r="BE196" i="3"/>
  <c r="AI106" i="12"/>
  <c r="BA198" i="3"/>
  <c r="BC198" i="3" s="1"/>
  <c r="BD199" i="3"/>
  <c r="AY70" i="13"/>
  <c r="AY76" i="13" s="1"/>
  <c r="AT33" i="12"/>
  <c r="AN143" i="12"/>
  <c r="AZ226" i="3"/>
  <c r="BB226" i="3" s="1"/>
  <c r="BB242" i="3" s="1"/>
  <c r="BC69" i="3"/>
  <c r="BF69" i="3" s="1"/>
  <c r="BC65" i="3"/>
  <c r="AY282" i="3"/>
  <c r="BD196" i="3"/>
  <c r="AY201" i="3"/>
  <c r="AY205" i="3" s="1"/>
  <c r="AY285" i="3" s="1"/>
  <c r="AZ245" i="3"/>
  <c r="H170" i="14"/>
  <c r="H186" i="14"/>
  <c r="H171" i="14" s="1"/>
  <c r="AS251" i="3"/>
  <c r="AS253" i="3" s="1"/>
  <c r="AZ69" i="12"/>
  <c r="B106" i="12"/>
  <c r="B90" i="12" s="1"/>
  <c r="AU119" i="12"/>
  <c r="C107" i="13"/>
  <c r="C92" i="13" s="1"/>
  <c r="AN162" i="3"/>
  <c r="AN333" i="3"/>
  <c r="AN172" i="3" s="1"/>
  <c r="AN266" i="3" s="1"/>
  <c r="R16" i="9"/>
  <c r="R26" i="9" s="1"/>
  <c r="R57" i="9"/>
  <c r="Z90" i="11"/>
  <c r="AS167" i="3"/>
  <c r="AU328" i="3"/>
  <c r="AT328" i="3"/>
  <c r="N133" i="12"/>
  <c r="AV284" i="3"/>
  <c r="AJ19" i="13"/>
  <c r="AJ19" i="11"/>
  <c r="AG137" i="3"/>
  <c r="AG153" i="3" s="1"/>
  <c r="AW247" i="3"/>
  <c r="X91" i="12"/>
  <c r="X136" i="12" s="1"/>
  <c r="AP264" i="3"/>
  <c r="W88" i="12"/>
  <c r="W133" i="12" s="1"/>
  <c r="BA57" i="3"/>
  <c r="BD57" i="3" s="1"/>
  <c r="AR40" i="12"/>
  <c r="AY70" i="3"/>
  <c r="AS75" i="3"/>
  <c r="X186" i="14"/>
  <c r="X171" i="14" s="1"/>
  <c r="AX252" i="3"/>
  <c r="AO105" i="12"/>
  <c r="AX281" i="3"/>
  <c r="AA93" i="11"/>
  <c r="AY244" i="3"/>
  <c r="BE228" i="3"/>
  <c r="BE244" i="3" s="1"/>
  <c r="AW59" i="3"/>
  <c r="K89" i="13"/>
  <c r="K105" i="13"/>
  <c r="AA91" i="11"/>
  <c r="G105" i="13"/>
  <c r="G89" i="13" s="1"/>
  <c r="AT105" i="13"/>
  <c r="C106" i="11"/>
  <c r="K88" i="13"/>
  <c r="N106" i="11"/>
  <c r="N90" i="11" s="1"/>
  <c r="AQ34" i="12"/>
  <c r="L185" i="14"/>
  <c r="L169" i="14" s="1"/>
  <c r="AP105" i="12"/>
  <c r="AZ236" i="3"/>
  <c r="BF33" i="3"/>
  <c r="AU107" i="12"/>
  <c r="H89" i="11"/>
  <c r="L168" i="14"/>
  <c r="AX70" i="3"/>
  <c r="AR163" i="3"/>
  <c r="AS324" i="3"/>
  <c r="AD106" i="11"/>
  <c r="BD51" i="3"/>
  <c r="AU284" i="3"/>
  <c r="AV116" i="12"/>
  <c r="AQ140" i="12"/>
  <c r="E105" i="13"/>
  <c r="E89" i="13" s="1"/>
  <c r="BC57" i="3"/>
  <c r="AA214" i="14"/>
  <c r="AA230" i="14" s="1"/>
  <c r="AA246" i="14" s="1"/>
  <c r="AA311" i="14"/>
  <c r="P105" i="12"/>
  <c r="P89" i="12" s="1"/>
  <c r="P134" i="12" s="1"/>
  <c r="BA233" i="3"/>
  <c r="BA249" i="3" s="1"/>
  <c r="AD89" i="13"/>
  <c r="AD105" i="13"/>
  <c r="R105" i="12"/>
  <c r="AZ52" i="3"/>
  <c r="AJ105" i="12"/>
  <c r="AU105" i="13"/>
  <c r="BB49" i="3"/>
  <c r="AV73" i="3"/>
  <c r="BD69" i="3"/>
  <c r="BB71" i="3"/>
  <c r="Q93" i="13"/>
  <c r="AJ22" i="13"/>
  <c r="AJ85" i="13" s="1"/>
  <c r="AJ22" i="11"/>
  <c r="AJ85" i="11" s="1"/>
  <c r="AB107" i="11"/>
  <c r="AB92" i="11" s="1"/>
  <c r="R172" i="14"/>
  <c r="AX37" i="12"/>
  <c r="AY37" i="12" s="1"/>
  <c r="G105" i="11"/>
  <c r="AS119" i="12"/>
  <c r="G169" i="14"/>
  <c r="G185" i="14"/>
  <c r="M88" i="12"/>
  <c r="M133" i="12" s="1"/>
  <c r="AX73" i="3"/>
  <c r="Y88" i="13"/>
  <c r="P185" i="14"/>
  <c r="P169" i="14" s="1"/>
  <c r="Q106" i="11"/>
  <c r="Q90" i="11" s="1"/>
  <c r="M90" i="11"/>
  <c r="AF137" i="12"/>
  <c r="AF93" i="12"/>
  <c r="AY229" i="3"/>
  <c r="AJ388" i="3"/>
  <c r="AK388" i="3" s="1"/>
  <c r="AG136" i="3"/>
  <c r="AG152" i="3" s="1"/>
  <c r="AN105" i="12"/>
  <c r="G91" i="12"/>
  <c r="G107" i="12"/>
  <c r="G92" i="12" s="1"/>
  <c r="AI215" i="3"/>
  <c r="AI220" i="3"/>
  <c r="AI213" i="3"/>
  <c r="AI214" i="3"/>
  <c r="AI211" i="3"/>
  <c r="AI212" i="3"/>
  <c r="AI210" i="3"/>
  <c r="AI209" i="3"/>
  <c r="AI217" i="3"/>
  <c r="AI218" i="3"/>
  <c r="AI216" i="3"/>
  <c r="AI219" i="3"/>
  <c r="AU164" i="3"/>
  <c r="AL106" i="12"/>
  <c r="AX43" i="13"/>
  <c r="AY43" i="13" s="1"/>
  <c r="AU59" i="3"/>
  <c r="AK221" i="3"/>
  <c r="AL221" i="3" s="1"/>
  <c r="BA56" i="3"/>
  <c r="BC56" i="3" s="1"/>
  <c r="O106" i="13"/>
  <c r="O90" i="13" s="1"/>
  <c r="V169" i="14"/>
  <c r="V185" i="14"/>
  <c r="G88" i="13"/>
  <c r="C89" i="11"/>
  <c r="BB57" i="3"/>
  <c r="BF57" i="3" s="1"/>
  <c r="C168" i="14"/>
  <c r="AY48" i="3"/>
  <c r="AK390" i="3"/>
  <c r="AK394" i="3"/>
  <c r="AK385" i="3"/>
  <c r="AK384" i="3"/>
  <c r="AK391" i="3"/>
  <c r="AK392" i="3"/>
  <c r="AK393" i="3"/>
  <c r="AK389" i="3"/>
  <c r="AK386" i="3"/>
  <c r="AK387" i="3"/>
  <c r="AV35" i="13"/>
  <c r="BA65" i="3"/>
  <c r="BF65" i="3" s="1"/>
  <c r="AY52" i="3"/>
  <c r="N106" i="13"/>
  <c r="N90" i="13"/>
  <c r="AM263" i="3"/>
  <c r="AM267" i="3" s="1"/>
  <c r="AM173" i="3"/>
  <c r="AM12" i="3" s="1"/>
  <c r="D107" i="12"/>
  <c r="D92" i="12" s="1"/>
  <c r="AZ71" i="3"/>
  <c r="AT119" i="12"/>
  <c r="AR119" i="12"/>
  <c r="AV119" i="12" s="1"/>
  <c r="AO96" i="3"/>
  <c r="AO97" i="3" s="1"/>
  <c r="AO98" i="3" s="1"/>
  <c r="AO99" i="3" s="1"/>
  <c r="AO100" i="3" s="1"/>
  <c r="AO101" i="3" s="1"/>
  <c r="AO102" i="3" s="1"/>
  <c r="AO103" i="3" s="1"/>
  <c r="AO104" i="3" s="1"/>
  <c r="AO105" i="3" s="1"/>
  <c r="AO106" i="3" s="1"/>
  <c r="AO107" i="3" s="1"/>
  <c r="AS161" i="3"/>
  <c r="AT250" i="3"/>
  <c r="AT253" i="3" s="1"/>
  <c r="V107" i="13"/>
  <c r="V92" i="13" s="1"/>
  <c r="AA229" i="14"/>
  <c r="AA245" i="14" s="1"/>
  <c r="BA53" i="3"/>
  <c r="AW106" i="13"/>
  <c r="AY249" i="3"/>
  <c r="AV235" i="3"/>
  <c r="AU332" i="3"/>
  <c r="AB107" i="12"/>
  <c r="AB92" i="12" s="1"/>
  <c r="R133" i="12"/>
  <c r="AY54" i="3"/>
  <c r="BB54" i="3" s="1"/>
  <c r="AX76" i="12"/>
  <c r="AH106" i="11"/>
  <c r="AH81" i="11"/>
  <c r="AH82" i="11"/>
  <c r="BB64" i="3"/>
  <c r="BD64" i="3" s="1"/>
  <c r="AT322" i="3"/>
  <c r="AV114" i="12"/>
  <c r="AL396" i="3"/>
  <c r="AP91" i="3" l="1"/>
  <c r="BF199" i="3"/>
  <c r="AH29" i="13"/>
  <c r="AH5" i="13" s="1"/>
  <c r="AH7" i="13" s="1"/>
  <c r="AH10" i="13" s="1"/>
  <c r="AH8" i="13" s="1"/>
  <c r="AU253" i="3"/>
  <c r="BD197" i="3"/>
  <c r="BB193" i="3"/>
  <c r="BD193" i="3" s="1"/>
  <c r="BF193" i="3" s="1"/>
  <c r="BE204" i="3"/>
  <c r="AZ231" i="3"/>
  <c r="BB231" i="3" s="1"/>
  <c r="AM221" i="3"/>
  <c r="BD228" i="3"/>
  <c r="BD244" i="3" s="1"/>
  <c r="AG316" i="3"/>
  <c r="L90" i="1"/>
  <c r="L74" i="1" s="1"/>
  <c r="BF56" i="3"/>
  <c r="BE56" i="3"/>
  <c r="AZ284" i="3"/>
  <c r="BB203" i="3"/>
  <c r="AZ59" i="3"/>
  <c r="BF64" i="3"/>
  <c r="AK21" i="13"/>
  <c r="AK84" i="13" s="1"/>
  <c r="AK21" i="11"/>
  <c r="AK84" i="11" s="1"/>
  <c r="AG311" i="3"/>
  <c r="L85" i="1"/>
  <c r="AS36" i="12"/>
  <c r="BD66" i="3"/>
  <c r="AG314" i="3"/>
  <c r="L88" i="1"/>
  <c r="L72" i="1" s="1"/>
  <c r="AQ122" i="12"/>
  <c r="AU40" i="12"/>
  <c r="BC282" i="3"/>
  <c r="AY120" i="12"/>
  <c r="AX120" i="12"/>
  <c r="BE198" i="3"/>
  <c r="AK395" i="3"/>
  <c r="AG315" i="3"/>
  <c r="L89" i="1"/>
  <c r="L73" i="1" s="1"/>
  <c r="AS166" i="3"/>
  <c r="AS264" i="3" s="1"/>
  <c r="AQ141" i="12"/>
  <c r="M93" i="11"/>
  <c r="AK23" i="13"/>
  <c r="AK86" i="13" s="1"/>
  <c r="AK23" i="11"/>
  <c r="AK86" i="11" s="1"/>
  <c r="W91" i="13"/>
  <c r="AA91" i="13"/>
  <c r="AH107" i="11"/>
  <c r="AH92" i="11" s="1"/>
  <c r="V91" i="13"/>
  <c r="BE65" i="3"/>
  <c r="AW114" i="12"/>
  <c r="AX114" i="12" s="1"/>
  <c r="E91" i="12"/>
  <c r="E93" i="12" s="1"/>
  <c r="Z137" i="12"/>
  <c r="Z93" i="12"/>
  <c r="BF72" i="3"/>
  <c r="BE26" i="3"/>
  <c r="BE28" i="3" s="1"/>
  <c r="BF42" i="3"/>
  <c r="BF44" i="3" s="1"/>
  <c r="B106" i="11"/>
  <c r="E186" i="14"/>
  <c r="E171" i="14" s="1"/>
  <c r="X91" i="11"/>
  <c r="AO162" i="3"/>
  <c r="AO333" i="3"/>
  <c r="AO172" i="3" s="1"/>
  <c r="AC107" i="12"/>
  <c r="AC92" i="12" s="1"/>
  <c r="AC137" i="12" s="1"/>
  <c r="BE44" i="3"/>
  <c r="D93" i="12"/>
  <c r="AB93" i="11"/>
  <c r="AT41" i="13"/>
  <c r="AW106" i="12"/>
  <c r="U90" i="12"/>
  <c r="U135" i="12" s="1"/>
  <c r="U106" i="12"/>
  <c r="A13" i="6"/>
  <c r="S12" i="6"/>
  <c r="AH90" i="11"/>
  <c r="AZ234" i="3"/>
  <c r="BB234" i="3" s="1"/>
  <c r="BB250" i="3" s="1"/>
  <c r="V186" i="14"/>
  <c r="V171" i="14" s="1"/>
  <c r="BA52" i="3"/>
  <c r="AZ76" i="12"/>
  <c r="H107" i="11"/>
  <c r="H92" i="11" s="1"/>
  <c r="H91" i="11"/>
  <c r="BB52" i="3"/>
  <c r="Y170" i="14"/>
  <c r="Y172" i="14" s="1"/>
  <c r="BC4" i="3"/>
  <c r="B89" i="11"/>
  <c r="F91" i="13"/>
  <c r="F93" i="13" s="1"/>
  <c r="H91" i="12"/>
  <c r="H93" i="12" s="1"/>
  <c r="W186" i="14"/>
  <c r="W171" i="14" s="1"/>
  <c r="U93" i="11"/>
  <c r="BF24" i="3"/>
  <c r="AP143" i="12"/>
  <c r="AC90" i="12"/>
  <c r="AC135" i="12" s="1"/>
  <c r="AH93" i="13"/>
  <c r="AK27" i="13"/>
  <c r="AK90" i="13" s="1"/>
  <c r="AK27" i="11"/>
  <c r="AK90" i="11" s="1"/>
  <c r="W93" i="13"/>
  <c r="U90" i="13"/>
  <c r="U106" i="13"/>
  <c r="AT44" i="12"/>
  <c r="AZ37" i="12"/>
  <c r="AD107" i="11"/>
  <c r="AD92" i="11" s="1"/>
  <c r="AG26" i="12"/>
  <c r="AG90" i="12" s="1"/>
  <c r="AG135" i="12" s="1"/>
  <c r="AG299" i="3"/>
  <c r="L57" i="1"/>
  <c r="AP122" i="12"/>
  <c r="AW44" i="13"/>
  <c r="BA281" i="3"/>
  <c r="AZ242" i="3"/>
  <c r="AM106" i="12"/>
  <c r="AG27" i="12"/>
  <c r="AG91" i="12" s="1"/>
  <c r="AG136" i="12" s="1"/>
  <c r="AG300" i="3"/>
  <c r="L58" i="1"/>
  <c r="C91" i="11"/>
  <c r="C107" i="11"/>
  <c r="C92" i="11" s="1"/>
  <c r="BB201" i="3"/>
  <c r="BB205" i="3" s="1"/>
  <c r="BB285" i="3" s="1"/>
  <c r="AX107" i="13"/>
  <c r="AE107" i="11"/>
  <c r="AE92" i="11" s="1"/>
  <c r="C90" i="11"/>
  <c r="X170" i="14"/>
  <c r="X172" i="14" s="1"/>
  <c r="BC74" i="3"/>
  <c r="BE74" i="3" s="1"/>
  <c r="AV107" i="12"/>
  <c r="AI28" i="13"/>
  <c r="AI28" i="11"/>
  <c r="AI91" i="11" s="1"/>
  <c r="C93" i="12"/>
  <c r="N172" i="14"/>
  <c r="B543" i="5"/>
  <c r="AH17" i="3" s="1"/>
  <c r="BE69" i="3"/>
  <c r="I90" i="11"/>
  <c r="I106" i="11"/>
  <c r="AE90" i="11"/>
  <c r="AV38" i="13"/>
  <c r="AW38" i="13" s="1"/>
  <c r="AV251" i="3"/>
  <c r="AV253" i="3" s="1"/>
  <c r="AY283" i="3"/>
  <c r="BA201" i="3"/>
  <c r="AC233" i="14"/>
  <c r="AC249" i="14" s="1"/>
  <c r="AC219" i="14"/>
  <c r="AD90" i="11"/>
  <c r="AY284" i="3"/>
  <c r="AG28" i="12"/>
  <c r="AG92" i="12" s="1"/>
  <c r="AG137" i="12" s="1"/>
  <c r="AG301" i="3"/>
  <c r="L59" i="1"/>
  <c r="AX205" i="3"/>
  <c r="AX285" i="3" s="1"/>
  <c r="BE68" i="3"/>
  <c r="AY241" i="3"/>
  <c r="AZ115" i="12"/>
  <c r="S90" i="12"/>
  <c r="S135" i="12" s="1"/>
  <c r="S106" i="12"/>
  <c r="AS165" i="3"/>
  <c r="BC233" i="3"/>
  <c r="AL215" i="3"/>
  <c r="AL220" i="3"/>
  <c r="AL213" i="3"/>
  <c r="AL218" i="3"/>
  <c r="AL211" i="3"/>
  <c r="AL212" i="3"/>
  <c r="AL209" i="3"/>
  <c r="AL210" i="3"/>
  <c r="AL219" i="3"/>
  <c r="AL216" i="3"/>
  <c r="AL214" i="3"/>
  <c r="AL217" i="3"/>
  <c r="AP170" i="3"/>
  <c r="AQ331" i="3"/>
  <c r="BA203" i="3"/>
  <c r="E91" i="11"/>
  <c r="E107" i="11"/>
  <c r="E92" i="11" s="1"/>
  <c r="T186" i="14"/>
  <c r="T171" i="14" s="1"/>
  <c r="AX117" i="12"/>
  <c r="AY117" i="12" s="1"/>
  <c r="BE50" i="3"/>
  <c r="I89" i="11"/>
  <c r="X93" i="12"/>
  <c r="K185" i="14"/>
  <c r="Y91" i="11"/>
  <c r="Y93" i="11" s="1"/>
  <c r="BA48" i="3"/>
  <c r="BA59" i="3" s="1"/>
  <c r="AN173" i="3"/>
  <c r="AN12" i="3" s="1"/>
  <c r="AN263" i="3"/>
  <c r="AN267" i="3" s="1"/>
  <c r="AS168" i="3"/>
  <c r="J106" i="11"/>
  <c r="AS118" i="12"/>
  <c r="AU118" i="12" s="1"/>
  <c r="U89" i="12"/>
  <c r="U134" i="12" s="1"/>
  <c r="AX241" i="3"/>
  <c r="AV38" i="12"/>
  <c r="BE51" i="3"/>
  <c r="W106" i="11"/>
  <c r="W90" i="11" s="1"/>
  <c r="AB170" i="14"/>
  <c r="AB186" i="14"/>
  <c r="AB171" i="14" s="1"/>
  <c r="AR106" i="12"/>
  <c r="AV140" i="12"/>
  <c r="L106" i="13"/>
  <c r="AI81" i="11"/>
  <c r="AI82" i="11"/>
  <c r="AK22" i="13"/>
  <c r="AK85" i="13" s="1"/>
  <c r="AK22" i="11"/>
  <c r="AK85" i="11" s="1"/>
  <c r="AT40" i="12"/>
  <c r="G186" i="14"/>
  <c r="G171" i="14" s="1"/>
  <c r="AJ106" i="12"/>
  <c r="AY235" i="3"/>
  <c r="AJ81" i="11"/>
  <c r="AJ82" i="11"/>
  <c r="L89" i="13"/>
  <c r="AF106" i="11"/>
  <c r="AD137" i="12"/>
  <c r="AD93" i="12"/>
  <c r="AI81" i="13"/>
  <c r="AI82" i="13"/>
  <c r="T169" i="14"/>
  <c r="I91" i="12"/>
  <c r="AP323" i="3"/>
  <c r="BE57" i="3"/>
  <c r="AV35" i="12"/>
  <c r="AW35" i="12"/>
  <c r="D107" i="11"/>
  <c r="D92" i="11" s="1"/>
  <c r="BE200" i="3"/>
  <c r="AY73" i="3"/>
  <c r="AY75" i="3" s="1"/>
  <c r="AT118" i="12"/>
  <c r="AV118" i="12" s="1"/>
  <c r="AV141" i="12" s="1"/>
  <c r="BA71" i="3"/>
  <c r="M91" i="13"/>
  <c r="M107" i="13"/>
  <c r="M92" i="13" s="1"/>
  <c r="AX164" i="3"/>
  <c r="AW246" i="3"/>
  <c r="AY230" i="3"/>
  <c r="BA230" i="3" s="1"/>
  <c r="BA246" i="3" s="1"/>
  <c r="AS106" i="12"/>
  <c r="AG298" i="3"/>
  <c r="L56" i="1"/>
  <c r="AG25" i="12"/>
  <c r="AG89" i="12" s="1"/>
  <c r="AG134" i="12" s="1"/>
  <c r="S89" i="12"/>
  <c r="S134" i="12" s="1"/>
  <c r="AQ143" i="12"/>
  <c r="AZ281" i="3"/>
  <c r="AZ205" i="3"/>
  <c r="AZ285" i="3" s="1"/>
  <c r="AS112" i="12"/>
  <c r="BF197" i="3"/>
  <c r="BE197" i="3"/>
  <c r="AK26" i="13"/>
  <c r="AK89" i="13" s="1"/>
  <c r="AK26" i="11"/>
  <c r="AK89" i="11" s="1"/>
  <c r="G93" i="12"/>
  <c r="AT167" i="3"/>
  <c r="AV328" i="3"/>
  <c r="AR165" i="3"/>
  <c r="M106" i="12"/>
  <c r="AC91" i="13"/>
  <c r="BC53" i="3"/>
  <c r="O186" i="14"/>
  <c r="O171" i="14" s="1"/>
  <c r="BF228" i="3"/>
  <c r="BF244" i="3" s="1"/>
  <c r="AU33" i="12"/>
  <c r="BF196" i="3"/>
  <c r="AU326" i="3"/>
  <c r="AE93" i="13"/>
  <c r="AJ92" i="13"/>
  <c r="V106" i="12"/>
  <c r="Y136" i="12"/>
  <c r="Y93" i="12"/>
  <c r="AR92" i="3"/>
  <c r="AS7" i="3"/>
  <c r="AR9" i="3"/>
  <c r="BB66" i="3"/>
  <c r="AV39" i="12"/>
  <c r="BC226" i="3"/>
  <c r="BC242" i="3" s="1"/>
  <c r="AJ21" i="13"/>
  <c r="AJ84" i="13" s="1"/>
  <c r="AJ21" i="11"/>
  <c r="AJ84" i="11" s="1"/>
  <c r="AJ395" i="3"/>
  <c r="AW169" i="3"/>
  <c r="S185" i="14"/>
  <c r="D91" i="12"/>
  <c r="AY245" i="3"/>
  <c r="AL390" i="3"/>
  <c r="AL393" i="3"/>
  <c r="AL385" i="3"/>
  <c r="AL388" i="3"/>
  <c r="AL391" i="3"/>
  <c r="AL394" i="3"/>
  <c r="AL386" i="3"/>
  <c r="AL387" i="3"/>
  <c r="AL384" i="3"/>
  <c r="AL392" i="3"/>
  <c r="AL389" i="3"/>
  <c r="AM396" i="3"/>
  <c r="AN396" i="3" s="1"/>
  <c r="AC186" i="14"/>
  <c r="AC171" i="14" s="1"/>
  <c r="P106" i="12"/>
  <c r="AL107" i="11"/>
  <c r="BE72" i="3"/>
  <c r="AG23" i="12"/>
  <c r="AG87" i="12" s="1"/>
  <c r="AG132" i="12" s="1"/>
  <c r="AG296" i="3"/>
  <c r="L54" i="1"/>
  <c r="N107" i="13"/>
  <c r="N92" i="13" s="1"/>
  <c r="AG151" i="3"/>
  <c r="O107" i="12"/>
  <c r="O92" i="12" s="1"/>
  <c r="P186" i="14"/>
  <c r="P171" i="14" s="1"/>
  <c r="AC107" i="11"/>
  <c r="AC92" i="11" s="1"/>
  <c r="AK20" i="13"/>
  <c r="AK83" i="13" s="1"/>
  <c r="AK20" i="11"/>
  <c r="AK83" i="11" s="1"/>
  <c r="AZ230" i="3"/>
  <c r="BF17" i="3"/>
  <c r="AX121" i="12"/>
  <c r="BA229" i="3"/>
  <c r="AC93" i="13"/>
  <c r="Q186" i="14"/>
  <c r="Q171" i="14" s="1"/>
  <c r="AT329" i="3"/>
  <c r="AU329" i="3" s="1"/>
  <c r="BA282" i="3"/>
  <c r="AT123" i="12"/>
  <c r="S107" i="11"/>
  <c r="S92" i="11" s="1"/>
  <c r="AQ86" i="3"/>
  <c r="AQ84" i="3"/>
  <c r="AQ89" i="3"/>
  <c r="AQ80" i="3"/>
  <c r="AQ82" i="3"/>
  <c r="AQ85" i="3"/>
  <c r="AQ83" i="3"/>
  <c r="AQ81" i="3"/>
  <c r="AQ90" i="3"/>
  <c r="AQ88" i="3"/>
  <c r="AQ87" i="3"/>
  <c r="AY325" i="3"/>
  <c r="AR10" i="3"/>
  <c r="AS3" i="3" s="1"/>
  <c r="AS6" i="3" s="1"/>
  <c r="AQ45" i="13"/>
  <c r="AR34" i="13"/>
  <c r="BD48" i="3"/>
  <c r="AX59" i="3"/>
  <c r="BC48" i="3"/>
  <c r="AZ247" i="3"/>
  <c r="S168" i="14"/>
  <c r="AW251" i="3"/>
  <c r="D106" i="13"/>
  <c r="W106" i="12"/>
  <c r="W90" i="12" s="1"/>
  <c r="W135" i="12" s="1"/>
  <c r="AX250" i="3"/>
  <c r="F186" i="14"/>
  <c r="F171" i="14" s="1"/>
  <c r="T107" i="11"/>
  <c r="T92" i="11" s="1"/>
  <c r="T90" i="11"/>
  <c r="T91" i="13"/>
  <c r="T93" i="13" s="1"/>
  <c r="AO106" i="12"/>
  <c r="X93" i="11"/>
  <c r="AR118" i="12"/>
  <c r="AQ106" i="12"/>
  <c r="N91" i="12"/>
  <c r="N136" i="12" s="1"/>
  <c r="N107" i="12"/>
  <c r="N92" i="12" s="1"/>
  <c r="AB137" i="12"/>
  <c r="R106" i="12"/>
  <c r="AY114" i="12"/>
  <c r="AZ114" i="12" s="1"/>
  <c r="I186" i="14"/>
  <c r="I171" i="14" s="1"/>
  <c r="AZ116" i="12"/>
  <c r="Q169" i="14"/>
  <c r="I93" i="13"/>
  <c r="AW164" i="3"/>
  <c r="AF91" i="13"/>
  <c r="AF93" i="13" s="1"/>
  <c r="AR107" i="13"/>
  <c r="H90" i="13"/>
  <c r="H106" i="13"/>
  <c r="AA93" i="12"/>
  <c r="S90" i="11"/>
  <c r="Y106" i="13"/>
  <c r="Y90" i="13" s="1"/>
  <c r="AW33" i="13"/>
  <c r="X107" i="13"/>
  <c r="X92" i="13" s="1"/>
  <c r="AA186" i="14"/>
  <c r="AA171" i="14" s="1"/>
  <c r="AA170" i="14"/>
  <c r="BB229" i="3"/>
  <c r="BB245" i="3" s="1"/>
  <c r="AZ120" i="12"/>
  <c r="AV169" i="3"/>
  <c r="AT161" i="3"/>
  <c r="AU322" i="3"/>
  <c r="AV322" i="3" s="1"/>
  <c r="F169" i="14"/>
  <c r="AS163" i="3"/>
  <c r="AT324" i="3"/>
  <c r="AX140" i="12"/>
  <c r="AR113" i="12"/>
  <c r="BB281" i="3"/>
  <c r="AS107" i="13"/>
  <c r="BB48" i="3"/>
  <c r="W89" i="11"/>
  <c r="O107" i="13"/>
  <c r="O92" i="13" s="1"/>
  <c r="AU167" i="3"/>
  <c r="AP96" i="3"/>
  <c r="AP97" i="3" s="1"/>
  <c r="AP98" i="3" s="1"/>
  <c r="AP99" i="3" s="1"/>
  <c r="AP100" i="3" s="1"/>
  <c r="AP101" i="3" s="1"/>
  <c r="AP102" i="3" s="1"/>
  <c r="AP103" i="3" s="1"/>
  <c r="AP104" i="3" s="1"/>
  <c r="AP105" i="3" s="1"/>
  <c r="AP106" i="3" s="1"/>
  <c r="AP107" i="3" s="1"/>
  <c r="AQ96" i="3" s="1"/>
  <c r="AK24" i="13"/>
  <c r="AK87" i="13" s="1"/>
  <c r="AK24" i="11"/>
  <c r="AK87" i="11" s="1"/>
  <c r="AN106" i="12"/>
  <c r="BA66" i="3"/>
  <c r="BF66" i="3" s="1"/>
  <c r="AZ252" i="3"/>
  <c r="BC236" i="3"/>
  <c r="BC252" i="3" s="1"/>
  <c r="BB236" i="3"/>
  <c r="AS265" i="3"/>
  <c r="C186" i="14"/>
  <c r="C171" i="14" s="1"/>
  <c r="C170" i="14"/>
  <c r="AB91" i="12"/>
  <c r="AB136" i="12" s="1"/>
  <c r="AW119" i="12"/>
  <c r="AX119" i="12" s="1"/>
  <c r="BB53" i="3"/>
  <c r="R89" i="12"/>
  <c r="K106" i="13"/>
  <c r="H172" i="14"/>
  <c r="AI107" i="12"/>
  <c r="P91" i="13"/>
  <c r="P107" i="13"/>
  <c r="P92" i="13" s="1"/>
  <c r="BC229" i="3"/>
  <c r="BC245" i="3" s="1"/>
  <c r="AV332" i="3"/>
  <c r="Z170" i="14"/>
  <c r="Z172" i="14" s="1"/>
  <c r="AZ70" i="3"/>
  <c r="AZ75" i="3" s="1"/>
  <c r="BC194" i="3"/>
  <c r="T106" i="12"/>
  <c r="T90" i="12" s="1"/>
  <c r="T135" i="12" s="1"/>
  <c r="Q90" i="12"/>
  <c r="Q135" i="12" s="1"/>
  <c r="Q106" i="12"/>
  <c r="F106" i="11"/>
  <c r="P107" i="11"/>
  <c r="P92" i="11" s="1"/>
  <c r="BA68" i="3"/>
  <c r="Z107" i="13"/>
  <c r="Z92" i="13" s="1"/>
  <c r="BD226" i="3"/>
  <c r="BD242" i="3" s="1"/>
  <c r="AX235" i="3"/>
  <c r="L186" i="14"/>
  <c r="L171" i="14" s="1"/>
  <c r="R107" i="13"/>
  <c r="R92" i="13" s="1"/>
  <c r="AW107" i="13"/>
  <c r="AX247" i="3"/>
  <c r="U89" i="13"/>
  <c r="AP237" i="3"/>
  <c r="AO142" i="12"/>
  <c r="AQ45" i="12"/>
  <c r="AR34" i="12"/>
  <c r="AS34" i="12"/>
  <c r="BC68" i="3"/>
  <c r="F93" i="12"/>
  <c r="AG107" i="11"/>
  <c r="AG92" i="11" s="1"/>
  <c r="Z91" i="11"/>
  <c r="Z93" i="11" s="1"/>
  <c r="AA93" i="13"/>
  <c r="AJ107" i="11"/>
  <c r="AJ92" i="11" s="1"/>
  <c r="V93" i="13"/>
  <c r="BD233" i="3"/>
  <c r="BD249" i="3" s="1"/>
  <c r="AX330" i="3"/>
  <c r="AY330" i="3" s="1"/>
  <c r="AU106" i="13"/>
  <c r="AK19" i="11"/>
  <c r="AK19" i="13"/>
  <c r="AJ81" i="13"/>
  <c r="AJ82" i="13"/>
  <c r="Q51" i="6"/>
  <c r="Q52" i="6" s="1"/>
  <c r="Q53" i="6" s="1"/>
  <c r="Q55" i="6" s="1"/>
  <c r="B544" i="5"/>
  <c r="AH18" i="3" s="1"/>
  <c r="AK210" i="3"/>
  <c r="AM210" i="3" s="1"/>
  <c r="AK215" i="3"/>
  <c r="AM215" i="3" s="1"/>
  <c r="AK213" i="3"/>
  <c r="AM213" i="3" s="1"/>
  <c r="AK218" i="3"/>
  <c r="AM218" i="3" s="1"/>
  <c r="AK211" i="3"/>
  <c r="AM211" i="3" s="1"/>
  <c r="AK209" i="3"/>
  <c r="AM209" i="3" s="1"/>
  <c r="AK220" i="3"/>
  <c r="AM220" i="3" s="1"/>
  <c r="AK214" i="3"/>
  <c r="AM214" i="3" s="1"/>
  <c r="AK219" i="3"/>
  <c r="AM219" i="3" s="1"/>
  <c r="AK212" i="3"/>
  <c r="AM212" i="3" s="1"/>
  <c r="AK217" i="3"/>
  <c r="AK216" i="3"/>
  <c r="AM216" i="3" s="1"/>
  <c r="AK17" i="13"/>
  <c r="AK17" i="11"/>
  <c r="AK92" i="11" s="1"/>
  <c r="AL107" i="12"/>
  <c r="AG24" i="12"/>
  <c r="AG88" i="12" s="1"/>
  <c r="AG133" i="12" s="1"/>
  <c r="AG297" i="3"/>
  <c r="L55" i="1"/>
  <c r="G106" i="11"/>
  <c r="AD106" i="13"/>
  <c r="AD90" i="13" s="1"/>
  <c r="BE226" i="3"/>
  <c r="BE242" i="3" s="1"/>
  <c r="AT107" i="12"/>
  <c r="AZ73" i="3"/>
  <c r="AU169" i="3"/>
  <c r="AB216" i="14"/>
  <c r="AB232" i="14" s="1"/>
  <c r="AB248" i="14" s="1"/>
  <c r="AB313" i="14"/>
  <c r="T89" i="12"/>
  <c r="T134" i="12" s="1"/>
  <c r="Q89" i="12"/>
  <c r="Q134" i="12" s="1"/>
  <c r="S93" i="13"/>
  <c r="B186" i="14"/>
  <c r="B171" i="14" s="1"/>
  <c r="B170" i="14"/>
  <c r="BC54" i="3"/>
  <c r="BF54" i="3" s="1"/>
  <c r="BD198" i="3"/>
  <c r="BD282" i="3" s="1"/>
  <c r="F89" i="11"/>
  <c r="AY107" i="13"/>
  <c r="P90" i="11"/>
  <c r="V93" i="11"/>
  <c r="AT41" i="12"/>
  <c r="BC203" i="3"/>
  <c r="AX284" i="3"/>
  <c r="AR166" i="3"/>
  <c r="AT327" i="3"/>
  <c r="M91" i="11"/>
  <c r="AB91" i="11"/>
  <c r="AY59" i="3"/>
  <c r="AX246" i="3"/>
  <c r="AY107" i="12"/>
  <c r="C91" i="13"/>
  <c r="C93" i="13" s="1"/>
  <c r="BC66" i="3"/>
  <c r="AG156" i="3"/>
  <c r="AG260" i="3" s="1"/>
  <c r="BD194" i="3"/>
  <c r="AA215" i="14"/>
  <c r="AA312" i="14"/>
  <c r="AG91" i="13"/>
  <c r="AG93" i="13" s="1"/>
  <c r="Q107" i="11"/>
  <c r="Q92" i="11" s="1"/>
  <c r="Q91" i="11"/>
  <c r="J93" i="12"/>
  <c r="M185" i="14"/>
  <c r="E106" i="13"/>
  <c r="E90" i="13" s="1"/>
  <c r="N107" i="11"/>
  <c r="N92" i="11" s="1"/>
  <c r="B107" i="12"/>
  <c r="B92" i="12" s="1"/>
  <c r="F91" i="12"/>
  <c r="AU41" i="13"/>
  <c r="AT106" i="13"/>
  <c r="I93" i="12"/>
  <c r="AK25" i="13"/>
  <c r="AK88" i="13" s="1"/>
  <c r="AK25" i="11"/>
  <c r="AK88" i="11" s="1"/>
  <c r="G106" i="13"/>
  <c r="AU171" i="3"/>
  <c r="AN221" i="3"/>
  <c r="AO221" i="3" s="1"/>
  <c r="AK18" i="13"/>
  <c r="AK18" i="11"/>
  <c r="AG313" i="3"/>
  <c r="L87" i="1"/>
  <c r="L71" i="1" s="1"/>
  <c r="G89" i="11"/>
  <c r="AP106" i="12"/>
  <c r="BC234" i="3"/>
  <c r="BC250" i="3" s="1"/>
  <c r="R107" i="11"/>
  <c r="R92" i="11" s="1"/>
  <c r="R91" i="11"/>
  <c r="AS40" i="13"/>
  <c r="K106" i="11"/>
  <c r="K90" i="11" s="1"/>
  <c r="AR43" i="12"/>
  <c r="AV41" i="13"/>
  <c r="AB231" i="14"/>
  <c r="AB247" i="14" s="1"/>
  <c r="AZ225" i="3"/>
  <c r="BB225" i="3" s="1"/>
  <c r="BB241" i="3" s="1"/>
  <c r="L107" i="12"/>
  <c r="L92" i="12" s="1"/>
  <c r="AG22" i="12"/>
  <c r="AG295" i="3"/>
  <c r="L53" i="1"/>
  <c r="AG258" i="3"/>
  <c r="AG141" i="3"/>
  <c r="AC134" i="12"/>
  <c r="D186" i="14"/>
  <c r="D171" i="14" s="1"/>
  <c r="D170" i="14"/>
  <c r="AT326" i="3"/>
  <c r="AG348" i="3" l="1"/>
  <c r="AG187" i="3" s="1"/>
  <c r="AQ91" i="3"/>
  <c r="BE193" i="3"/>
  <c r="BD203" i="3"/>
  <c r="B545" i="5"/>
  <c r="AO396" i="3"/>
  <c r="AP396" i="3" s="1"/>
  <c r="BB247" i="3"/>
  <c r="BD231" i="3"/>
  <c r="BD247" i="3" s="1"/>
  <c r="BD281" i="3"/>
  <c r="AM217" i="3"/>
  <c r="AO217" i="3" s="1"/>
  <c r="BB230" i="3"/>
  <c r="BB246" i="3" s="1"/>
  <c r="BF194" i="3"/>
  <c r="AI29" i="11"/>
  <c r="AI5" i="11" s="1"/>
  <c r="AI7" i="11" s="1"/>
  <c r="AI10" i="11" s="1"/>
  <c r="AI8" i="11" s="1"/>
  <c r="BC231" i="3"/>
  <c r="BC247" i="3" s="1"/>
  <c r="AW253" i="3"/>
  <c r="BD201" i="3"/>
  <c r="BD283" i="3" s="1"/>
  <c r="BD225" i="3"/>
  <c r="BD241" i="3" s="1"/>
  <c r="AY169" i="3"/>
  <c r="BA330" i="3"/>
  <c r="AZ330" i="3"/>
  <c r="AV161" i="3"/>
  <c r="AW322" i="3"/>
  <c r="AZ117" i="12"/>
  <c r="AY140" i="12"/>
  <c r="AU168" i="3"/>
  <c r="AV329" i="3"/>
  <c r="BD284" i="3"/>
  <c r="AY44" i="13"/>
  <c r="AX38" i="13"/>
  <c r="AY38" i="13" s="1"/>
  <c r="AU141" i="12"/>
  <c r="S170" i="14"/>
  <c r="S186" i="14"/>
  <c r="S171" i="14" s="1"/>
  <c r="AG86" i="12"/>
  <c r="AG29" i="12"/>
  <c r="AG5" i="12" s="1"/>
  <c r="AG7" i="12" s="1"/>
  <c r="AG10" i="12" s="1"/>
  <c r="AG8" i="12" s="1"/>
  <c r="AR45" i="13"/>
  <c r="AC91" i="12"/>
  <c r="AC136" i="12" s="1"/>
  <c r="G170" i="14"/>
  <c r="G172" i="14" s="1"/>
  <c r="I170" i="14"/>
  <c r="I172" i="14" s="1"/>
  <c r="AX44" i="13"/>
  <c r="B172" i="14"/>
  <c r="AG312" i="3"/>
  <c r="AG344" i="3" s="1"/>
  <c r="AG183" i="3" s="1"/>
  <c r="L86" i="1"/>
  <c r="L70" i="1" s="1"/>
  <c r="L22" i="1" s="1"/>
  <c r="AP107" i="12"/>
  <c r="AO107" i="12"/>
  <c r="AM393" i="3"/>
  <c r="AM26" i="13" s="1"/>
  <c r="AM89" i="13" s="1"/>
  <c r="AM385" i="3"/>
  <c r="AM18" i="13" s="1"/>
  <c r="AM388" i="3"/>
  <c r="AM21" i="13" s="1"/>
  <c r="AM84" i="13" s="1"/>
  <c r="AM391" i="3"/>
  <c r="AM24" i="13" s="1"/>
  <c r="AM87" i="13" s="1"/>
  <c r="AM386" i="3"/>
  <c r="AM19" i="13" s="1"/>
  <c r="AM387" i="3"/>
  <c r="AM20" i="13" s="1"/>
  <c r="AM83" i="13" s="1"/>
  <c r="AM384" i="3"/>
  <c r="AM17" i="13" s="1"/>
  <c r="AM394" i="3"/>
  <c r="AM27" i="13" s="1"/>
  <c r="AM90" i="13" s="1"/>
  <c r="AM389" i="3"/>
  <c r="AM22" i="13" s="1"/>
  <c r="AM85" i="13" s="1"/>
  <c r="AM390" i="3"/>
  <c r="AM23" i="13" s="1"/>
  <c r="AM86" i="13" s="1"/>
  <c r="AM392" i="3"/>
  <c r="AM25" i="13" s="1"/>
  <c r="AM88" i="13" s="1"/>
  <c r="AL22" i="13"/>
  <c r="AL85" i="13" s="1"/>
  <c r="AL22" i="11"/>
  <c r="AL85" i="11" s="1"/>
  <c r="O137" i="12"/>
  <c r="L91" i="12"/>
  <c r="L136" i="12" s="1"/>
  <c r="AL395" i="3"/>
  <c r="L24" i="1"/>
  <c r="L40" i="1"/>
  <c r="L170" i="14"/>
  <c r="L172" i="14" s="1"/>
  <c r="X91" i="13"/>
  <c r="X93" i="13" s="1"/>
  <c r="BF198" i="3"/>
  <c r="BF282" i="3" s="1"/>
  <c r="F170" i="14"/>
  <c r="F172" i="14" s="1"/>
  <c r="BA245" i="3"/>
  <c r="N91" i="13"/>
  <c r="N93" i="13" s="1"/>
  <c r="AL27" i="13"/>
  <c r="AL90" i="13" s="1"/>
  <c r="AL27" i="11"/>
  <c r="AL90" i="11" s="1"/>
  <c r="AP162" i="3"/>
  <c r="AP333" i="3"/>
  <c r="AP172" i="3" s="1"/>
  <c r="AP266" i="3" s="1"/>
  <c r="AQ323" i="3"/>
  <c r="BE54" i="3"/>
  <c r="BB283" i="3"/>
  <c r="AG347" i="3"/>
  <c r="AG186" i="3" s="1"/>
  <c r="V170" i="14"/>
  <c r="V172" i="14" s="1"/>
  <c r="AK28" i="13"/>
  <c r="AK91" i="13" s="1"/>
  <c r="AK28" i="11"/>
  <c r="AK91" i="11" s="1"/>
  <c r="BF48" i="3"/>
  <c r="AX251" i="3"/>
  <c r="AX253" i="3" s="1"/>
  <c r="P93" i="13"/>
  <c r="AL24" i="13"/>
  <c r="AL87" i="13" s="1"/>
  <c r="AL24" i="11"/>
  <c r="AL87" i="11" s="1"/>
  <c r="BB70" i="3"/>
  <c r="BD70" i="3" s="1"/>
  <c r="BD53" i="3"/>
  <c r="BF53" i="3" s="1"/>
  <c r="BD73" i="3"/>
  <c r="AY246" i="3"/>
  <c r="I107" i="11"/>
  <c r="I92" i="11" s="1"/>
  <c r="I91" i="11"/>
  <c r="C93" i="11"/>
  <c r="AZ250" i="3"/>
  <c r="BE234" i="3"/>
  <c r="BE250" i="3" s="1"/>
  <c r="G91" i="11"/>
  <c r="G107" i="11"/>
  <c r="G92" i="11" s="1"/>
  <c r="T91" i="11"/>
  <c r="T93" i="11" s="1"/>
  <c r="AG346" i="3"/>
  <c r="AG185" i="3" s="1"/>
  <c r="BA73" i="3"/>
  <c r="AV171" i="3"/>
  <c r="AW332" i="3"/>
  <c r="AN218" i="3"/>
  <c r="AN211" i="3"/>
  <c r="AN216" i="3"/>
  <c r="AN212" i="3"/>
  <c r="AN209" i="3"/>
  <c r="AN210" i="3"/>
  <c r="AN219" i="3"/>
  <c r="AN220" i="3"/>
  <c r="AN215" i="3"/>
  <c r="AN213" i="3"/>
  <c r="AN214" i="3"/>
  <c r="AN217" i="3"/>
  <c r="BC73" i="3"/>
  <c r="AS113" i="12"/>
  <c r="BB284" i="3"/>
  <c r="Q93" i="11"/>
  <c r="J107" i="11"/>
  <c r="J92" i="11" s="1"/>
  <c r="L69" i="1"/>
  <c r="L21" i="1" s="1"/>
  <c r="Z91" i="13"/>
  <c r="Z93" i="13" s="1"/>
  <c r="BF74" i="3"/>
  <c r="L107" i="13"/>
  <c r="L92" i="13" s="1"/>
  <c r="J90" i="11"/>
  <c r="AD91" i="11"/>
  <c r="S13" i="6"/>
  <c r="A14" i="6"/>
  <c r="AT141" i="12"/>
  <c r="AQ142" i="12"/>
  <c r="AU123" i="12"/>
  <c r="AY251" i="3"/>
  <c r="AL25" i="13"/>
  <c r="AL88" i="13" s="1"/>
  <c r="AL25" i="11"/>
  <c r="AL88" i="11" s="1"/>
  <c r="AX35" i="12"/>
  <c r="AA172" i="14"/>
  <c r="BC225" i="3"/>
  <c r="AL19" i="13"/>
  <c r="AL19" i="11"/>
  <c r="L25" i="1"/>
  <c r="L41" i="1"/>
  <c r="AO263" i="3"/>
  <c r="AO173" i="3"/>
  <c r="AO12" i="3" s="1"/>
  <c r="AG345" i="3"/>
  <c r="AG184" i="3" s="1"/>
  <c r="AN107" i="12"/>
  <c r="AI93" i="11"/>
  <c r="AR45" i="12"/>
  <c r="BF4" i="3"/>
  <c r="AU107" i="13"/>
  <c r="D107" i="13"/>
  <c r="D92" i="13" s="1"/>
  <c r="AL23" i="13"/>
  <c r="AL86" i="13" s="1"/>
  <c r="AL23" i="11"/>
  <c r="AL86" i="11" s="1"/>
  <c r="AS92" i="3"/>
  <c r="AT7" i="3"/>
  <c r="AS9" i="3"/>
  <c r="AS10" i="3" s="1"/>
  <c r="AT3" i="3" s="1"/>
  <c r="AT6" i="3" s="1"/>
  <c r="M107" i="12"/>
  <c r="M92" i="12" s="1"/>
  <c r="AZ235" i="3"/>
  <c r="BB235" i="3" s="1"/>
  <c r="BB251" i="3" s="1"/>
  <c r="L90" i="13"/>
  <c r="BC249" i="3"/>
  <c r="BE233" i="3"/>
  <c r="BE249" i="3" s="1"/>
  <c r="BE203" i="3"/>
  <c r="S91" i="11"/>
  <c r="S93" i="11" s="1"/>
  <c r="O93" i="13"/>
  <c r="AU165" i="3"/>
  <c r="BE48" i="3"/>
  <c r="AE91" i="11"/>
  <c r="AE93" i="11" s="1"/>
  <c r="G90" i="11"/>
  <c r="BB73" i="3"/>
  <c r="BB75" i="3" s="1"/>
  <c r="M186" i="14"/>
  <c r="M171" i="14" s="1"/>
  <c r="AW38" i="12"/>
  <c r="AX38" i="12" s="1"/>
  <c r="O170" i="14"/>
  <c r="O172" i="14" s="1"/>
  <c r="R107" i="12"/>
  <c r="R92" i="12" s="1"/>
  <c r="R137" i="12" s="1"/>
  <c r="AS141" i="12"/>
  <c r="AT165" i="3"/>
  <c r="K107" i="11"/>
  <c r="K92" i="11" s="1"/>
  <c r="W170" i="14"/>
  <c r="W172" i="14" s="1"/>
  <c r="BD68" i="3"/>
  <c r="BF68" i="3" s="1"/>
  <c r="AT163" i="3"/>
  <c r="AU324" i="3"/>
  <c r="N137" i="12"/>
  <c r="N93" i="12"/>
  <c r="D90" i="13"/>
  <c r="AR86" i="3"/>
  <c r="AR84" i="3"/>
  <c r="AR89" i="3"/>
  <c r="AR80" i="3"/>
  <c r="AR81" i="3"/>
  <c r="AR82" i="3"/>
  <c r="AR87" i="3"/>
  <c r="AR83" i="3"/>
  <c r="AR88" i="3"/>
  <c r="AR85" i="3"/>
  <c r="AR90" i="3"/>
  <c r="M90" i="12"/>
  <c r="M135" i="12" s="1"/>
  <c r="AR143" i="12"/>
  <c r="AT112" i="12"/>
  <c r="T170" i="14"/>
  <c r="T172" i="14" s="1"/>
  <c r="AH28" i="3"/>
  <c r="AM107" i="12"/>
  <c r="AU44" i="12"/>
  <c r="B91" i="11"/>
  <c r="B107" i="11"/>
  <c r="B92" i="11" s="1"/>
  <c r="AV326" i="3"/>
  <c r="T107" i="12"/>
  <c r="T92" i="12" s="1"/>
  <c r="T91" i="12"/>
  <c r="T136" i="12" s="1"/>
  <c r="AC91" i="11"/>
  <c r="AC93" i="11" s="1"/>
  <c r="AZ119" i="12"/>
  <c r="AJ28" i="11"/>
  <c r="AJ28" i="13"/>
  <c r="AJ91" i="13" s="1"/>
  <c r="AJ93" i="13" s="1"/>
  <c r="L137" i="12"/>
  <c r="L93" i="12"/>
  <c r="AT168" i="3"/>
  <c r="AW329" i="3"/>
  <c r="D91" i="11"/>
  <c r="AZ241" i="3"/>
  <c r="BF225" i="3"/>
  <c r="BF241" i="3" s="1"/>
  <c r="AK81" i="13"/>
  <c r="AK82" i="13"/>
  <c r="AL17" i="13"/>
  <c r="AL17" i="11"/>
  <c r="AL92" i="11" s="1"/>
  <c r="AY164" i="3"/>
  <c r="AZ325" i="3"/>
  <c r="E170" i="14"/>
  <c r="E172" i="14" s="1"/>
  <c r="AT107" i="13"/>
  <c r="AQ97" i="3"/>
  <c r="AQ98" i="3" s="1"/>
  <c r="AQ99" i="3" s="1"/>
  <c r="AQ100" i="3" s="1"/>
  <c r="AQ101" i="3" s="1"/>
  <c r="AQ102" i="3" s="1"/>
  <c r="AQ103" i="3" s="1"/>
  <c r="AQ104" i="3" s="1"/>
  <c r="AQ105" i="3" s="1"/>
  <c r="AQ106" i="3" s="1"/>
  <c r="AQ107" i="3" s="1"/>
  <c r="H107" i="13"/>
  <c r="H92" i="13" s="1"/>
  <c r="BF233" i="3"/>
  <c r="BF249" i="3" s="1"/>
  <c r="AR107" i="12"/>
  <c r="BC281" i="3"/>
  <c r="E93" i="11"/>
  <c r="U107" i="13"/>
  <c r="U92" i="13" s="1"/>
  <c r="U107" i="12"/>
  <c r="U92" i="12" s="1"/>
  <c r="B90" i="11"/>
  <c r="AX332" i="3"/>
  <c r="AN391" i="3"/>
  <c r="AN24" i="13" s="1"/>
  <c r="AN87" i="13" s="1"/>
  <c r="AN387" i="3"/>
  <c r="AN20" i="13" s="1"/>
  <c r="AN83" i="13" s="1"/>
  <c r="AN386" i="3"/>
  <c r="AN19" i="13" s="1"/>
  <c r="AN392" i="3"/>
  <c r="AN25" i="13" s="1"/>
  <c r="AN88" i="13" s="1"/>
  <c r="AN390" i="3"/>
  <c r="AN23" i="13" s="1"/>
  <c r="AN86" i="13" s="1"/>
  <c r="AO213" i="3"/>
  <c r="AO211" i="3"/>
  <c r="AO216" i="3"/>
  <c r="AO210" i="3"/>
  <c r="AO219" i="3"/>
  <c r="AO220" i="3"/>
  <c r="AO218" i="3"/>
  <c r="AO214" i="3"/>
  <c r="AO209" i="3"/>
  <c r="AO215" i="3"/>
  <c r="AO212" i="3"/>
  <c r="AJ107" i="12"/>
  <c r="E107" i="13"/>
  <c r="E92" i="13" s="1"/>
  <c r="C172" i="14"/>
  <c r="D93" i="11"/>
  <c r="O91" i="12"/>
  <c r="O136" i="12" s="1"/>
  <c r="K186" i="14"/>
  <c r="K171" i="14" s="1"/>
  <c r="R91" i="13"/>
  <c r="R93" i="13" s="1"/>
  <c r="AS107" i="12"/>
  <c r="L23" i="1"/>
  <c r="L39" i="1"/>
  <c r="G107" i="13"/>
  <c r="G92" i="13" s="1"/>
  <c r="Y107" i="13"/>
  <c r="Y92" i="13" s="1"/>
  <c r="AL21" i="13"/>
  <c r="AL84" i="13" s="1"/>
  <c r="AL21" i="11"/>
  <c r="AL84" i="11" s="1"/>
  <c r="BC230" i="3"/>
  <c r="BC246" i="3" s="1"/>
  <c r="AB218" i="14"/>
  <c r="AB217" i="14"/>
  <c r="AB233" i="14" s="1"/>
  <c r="AB249" i="14" s="1"/>
  <c r="AS45" i="12"/>
  <c r="AL18" i="13"/>
  <c r="AL18" i="11"/>
  <c r="BE66" i="3"/>
  <c r="AT40" i="13"/>
  <c r="AY119" i="12"/>
  <c r="BC284" i="3"/>
  <c r="P91" i="11"/>
  <c r="K107" i="13"/>
  <c r="K92" i="13" s="1"/>
  <c r="AU265" i="3"/>
  <c r="AQ107" i="12"/>
  <c r="AZ246" i="3"/>
  <c r="P107" i="12"/>
  <c r="P92" i="12" s="1"/>
  <c r="BD229" i="3"/>
  <c r="BD245" i="3" s="1"/>
  <c r="AR264" i="3"/>
  <c r="M93" i="13"/>
  <c r="BA75" i="3"/>
  <c r="BD52" i="3"/>
  <c r="BF52" i="3" s="1"/>
  <c r="BA283" i="3"/>
  <c r="L37" i="1"/>
  <c r="BE4" i="3"/>
  <c r="O91" i="13"/>
  <c r="AK81" i="11"/>
  <c r="AK82" i="11"/>
  <c r="BB59" i="3"/>
  <c r="AV40" i="12"/>
  <c r="BE53" i="3"/>
  <c r="Q170" i="14"/>
  <c r="Q172" i="14" s="1"/>
  <c r="AL20" i="13"/>
  <c r="AL83" i="13" s="1"/>
  <c r="AL20" i="11"/>
  <c r="AL83" i="11" s="1"/>
  <c r="AY332" i="3"/>
  <c r="AG157" i="3"/>
  <c r="AG11" i="3" s="1"/>
  <c r="BC52" i="3"/>
  <c r="BC59" i="3" s="1"/>
  <c r="AR122" i="12"/>
  <c r="AS122" i="12" s="1"/>
  <c r="AK29" i="11"/>
  <c r="AK5" i="11" s="1"/>
  <c r="AK7" i="11" s="1"/>
  <c r="AK10" i="11" s="1"/>
  <c r="AK8" i="11" s="1"/>
  <c r="AB93" i="12"/>
  <c r="K90" i="13"/>
  <c r="P90" i="12"/>
  <c r="P135" i="12" s="1"/>
  <c r="V107" i="12"/>
  <c r="V92" i="12" s="1"/>
  <c r="AF91" i="11"/>
  <c r="AF107" i="11"/>
  <c r="AF92" i="11" s="1"/>
  <c r="AT36" i="12"/>
  <c r="BF203" i="3"/>
  <c r="BF284" i="3" s="1"/>
  <c r="BA284" i="3"/>
  <c r="BC201" i="3"/>
  <c r="AW107" i="12"/>
  <c r="AO266" i="3"/>
  <c r="AS43" i="12"/>
  <c r="AP221" i="3"/>
  <c r="B91" i="12"/>
  <c r="B93" i="12" s="1"/>
  <c r="S169" i="14"/>
  <c r="N93" i="11"/>
  <c r="W107" i="11"/>
  <c r="W92" i="11" s="1"/>
  <c r="BA205" i="3"/>
  <c r="BA285" i="3" s="1"/>
  <c r="AG343" i="3"/>
  <c r="AG302" i="3"/>
  <c r="BC70" i="3"/>
  <c r="P170" i="14"/>
  <c r="P172" i="14" s="1"/>
  <c r="AV33" i="12"/>
  <c r="AP142" i="12"/>
  <c r="AD91" i="13"/>
  <c r="AD107" i="13"/>
  <c r="AD92" i="13" s="1"/>
  <c r="BE194" i="3"/>
  <c r="BE281" i="3" s="1"/>
  <c r="M169" i="14"/>
  <c r="BD234" i="3"/>
  <c r="BD250" i="3" s="1"/>
  <c r="W91" i="12"/>
  <c r="W136" i="12" s="1"/>
  <c r="W107" i="12"/>
  <c r="W92" i="12" s="1"/>
  <c r="L26" i="1"/>
  <c r="L42" i="1"/>
  <c r="AD93" i="11"/>
  <c r="AH91" i="11"/>
  <c r="AH93" i="11" s="1"/>
  <c r="AY121" i="12"/>
  <c r="AK92" i="13"/>
  <c r="P93" i="11"/>
  <c r="AW39" i="12"/>
  <c r="BA235" i="3"/>
  <c r="BA251" i="3" s="1"/>
  <c r="F107" i="11"/>
  <c r="F92" i="11" s="1"/>
  <c r="R93" i="11"/>
  <c r="AQ237" i="3"/>
  <c r="F90" i="11"/>
  <c r="AW40" i="12"/>
  <c r="BE229" i="3"/>
  <c r="BE245" i="3" s="1"/>
  <c r="V90" i="12"/>
  <c r="V135" i="12" s="1"/>
  <c r="AF90" i="11"/>
  <c r="AQ170" i="3"/>
  <c r="AR331" i="3"/>
  <c r="BF226" i="3"/>
  <c r="BF242" i="3" s="1"/>
  <c r="BF26" i="3"/>
  <c r="BF28" i="3" s="1"/>
  <c r="AX33" i="13"/>
  <c r="AY33" i="13" s="1"/>
  <c r="AV167" i="3"/>
  <c r="AW328" i="3"/>
  <c r="BE73" i="3"/>
  <c r="H93" i="11"/>
  <c r="N91" i="11"/>
  <c r="AG91" i="11"/>
  <c r="AG93" i="11" s="1"/>
  <c r="BB252" i="3"/>
  <c r="BD236" i="3"/>
  <c r="BD252" i="3" s="1"/>
  <c r="K169" i="14"/>
  <c r="AT166" i="3"/>
  <c r="AG259" i="3"/>
  <c r="AG261" i="3" s="1"/>
  <c r="G90" i="13"/>
  <c r="BE236" i="3"/>
  <c r="BE252" i="3" s="1"/>
  <c r="R90" i="12"/>
  <c r="R135" i="12" s="1"/>
  <c r="AL26" i="13"/>
  <c r="AL89" i="13" s="1"/>
  <c r="AL26" i="11"/>
  <c r="AL89" i="11" s="1"/>
  <c r="AA216" i="14"/>
  <c r="AA232" i="14" s="1"/>
  <c r="AA248" i="14" s="1"/>
  <c r="AA313" i="14"/>
  <c r="AA231" i="14"/>
  <c r="AA247" i="14" s="1"/>
  <c r="D172" i="14"/>
  <c r="AU327" i="3"/>
  <c r="AT34" i="12"/>
  <c r="BF73" i="3"/>
  <c r="AX169" i="3"/>
  <c r="BF281" i="3"/>
  <c r="AG317" i="3"/>
  <c r="L91" i="1"/>
  <c r="L75" i="1" s="1"/>
  <c r="L27" i="1" s="1"/>
  <c r="AU41" i="12"/>
  <c r="AV41" i="12" s="1"/>
  <c r="Q91" i="12"/>
  <c r="Q136" i="12" s="1"/>
  <c r="Q107" i="12"/>
  <c r="Q92" i="12" s="1"/>
  <c r="R134" i="12"/>
  <c r="AU161" i="3"/>
  <c r="AR141" i="12"/>
  <c r="AW118" i="12"/>
  <c r="AW141" i="12" s="1"/>
  <c r="BF231" i="3"/>
  <c r="BF247" i="3" s="1"/>
  <c r="AC170" i="14"/>
  <c r="AC172" i="14" s="1"/>
  <c r="BD71" i="3"/>
  <c r="BC71" i="3"/>
  <c r="BC75" i="3" s="1"/>
  <c r="AB172" i="14"/>
  <c r="S107" i="12"/>
  <c r="S92" i="12" s="1"/>
  <c r="AI91" i="13"/>
  <c r="AI93" i="13" s="1"/>
  <c r="AI29" i="13"/>
  <c r="AI5" i="13" s="1"/>
  <c r="AI7" i="13" s="1"/>
  <c r="AI10" i="13" s="1"/>
  <c r="AI8" i="13" s="1"/>
  <c r="BE282" i="3"/>
  <c r="AW41" i="13"/>
  <c r="AX41" i="13" s="1"/>
  <c r="AS34" i="13"/>
  <c r="AG318" i="3" l="1"/>
  <c r="BD205" i="3"/>
  <c r="BD285" i="3" s="1"/>
  <c r="AR96" i="3"/>
  <c r="AR97" i="3" s="1"/>
  <c r="AR98" i="3" s="1"/>
  <c r="AR99" i="3" s="1"/>
  <c r="AR100" i="3" s="1"/>
  <c r="AR101" i="3" s="1"/>
  <c r="AR102" i="3" s="1"/>
  <c r="AR103" i="3" s="1"/>
  <c r="AR104" i="3" s="1"/>
  <c r="AR105" i="3" s="1"/>
  <c r="AR106" i="3" s="1"/>
  <c r="AR107" i="3" s="1"/>
  <c r="AR91" i="3"/>
  <c r="AN385" i="3"/>
  <c r="AN18" i="13" s="1"/>
  <c r="AN388" i="3"/>
  <c r="AN21" i="13" s="1"/>
  <c r="AN84" i="13" s="1"/>
  <c r="AN393" i="3"/>
  <c r="AN26" i="13" s="1"/>
  <c r="AN89" i="13" s="1"/>
  <c r="BD230" i="3"/>
  <c r="BD246" i="3" s="1"/>
  <c r="BB253" i="3"/>
  <c r="L38" i="1"/>
  <c r="BC235" i="3"/>
  <c r="BC251" i="3" s="1"/>
  <c r="AY253" i="3"/>
  <c r="AN389" i="3"/>
  <c r="AN22" i="13" s="1"/>
  <c r="AN85" i="13" s="1"/>
  <c r="AQ221" i="3"/>
  <c r="AQ211" i="3" s="1"/>
  <c r="AO392" i="3"/>
  <c r="AO25" i="13" s="1"/>
  <c r="AO88" i="13" s="1"/>
  <c r="BE231" i="3"/>
  <c r="BE247" i="3" s="1"/>
  <c r="AS142" i="12"/>
  <c r="BF75" i="3"/>
  <c r="AW43" i="12"/>
  <c r="AY38" i="12"/>
  <c r="AZ38" i="12"/>
  <c r="BF70" i="3"/>
  <c r="AY39" i="12"/>
  <c r="AZ39" i="12" s="1"/>
  <c r="AZ35" i="12"/>
  <c r="K93" i="13"/>
  <c r="AY171" i="3"/>
  <c r="AL28" i="13"/>
  <c r="AL91" i="13" s="1"/>
  <c r="AL28" i="11"/>
  <c r="AL91" i="11" s="1"/>
  <c r="BA325" i="3"/>
  <c r="AY41" i="13"/>
  <c r="Q137" i="12"/>
  <c r="Q93" i="12"/>
  <c r="AA217" i="14"/>
  <c r="AA233" i="14" s="1"/>
  <c r="AA249" i="14" s="1"/>
  <c r="AA218" i="14"/>
  <c r="AJ29" i="13"/>
  <c r="AJ5" i="13" s="1"/>
  <c r="AJ7" i="13" s="1"/>
  <c r="AJ10" i="13" s="1"/>
  <c r="AJ8" i="13" s="1"/>
  <c r="AF93" i="11"/>
  <c r="AV40" i="13"/>
  <c r="AW40" i="13" s="1"/>
  <c r="AX40" i="13" s="1"/>
  <c r="AO387" i="3"/>
  <c r="AO20" i="13" s="1"/>
  <c r="AO83" i="13" s="1"/>
  <c r="AZ251" i="3"/>
  <c r="AZ253" i="3" s="1"/>
  <c r="AV123" i="12"/>
  <c r="L43" i="1"/>
  <c r="AQ162" i="3"/>
  <c r="AQ333" i="3"/>
  <c r="AQ172" i="3" s="1"/>
  <c r="AC93" i="12"/>
  <c r="Y91" i="13"/>
  <c r="W137" i="12"/>
  <c r="W93" i="12"/>
  <c r="AG182" i="3"/>
  <c r="U137" i="12"/>
  <c r="AV165" i="3"/>
  <c r="AO390" i="3"/>
  <c r="AO23" i="13" s="1"/>
  <c r="AO86" i="13" s="1"/>
  <c r="M137" i="12"/>
  <c r="M93" i="12"/>
  <c r="AO267" i="3"/>
  <c r="AS323" i="3"/>
  <c r="BB330" i="3"/>
  <c r="AK29" i="13"/>
  <c r="AK5" i="13" s="1"/>
  <c r="AK7" i="13" s="1"/>
  <c r="AK10" i="13" s="1"/>
  <c r="AK8" i="13" s="1"/>
  <c r="AT265" i="3"/>
  <c r="AX171" i="3"/>
  <c r="BE70" i="3"/>
  <c r="AX40" i="12"/>
  <c r="U91" i="12"/>
  <c r="U136" i="12" s="1"/>
  <c r="AL29" i="11"/>
  <c r="AL5" i="11" s="1"/>
  <c r="AL7" i="11" s="1"/>
  <c r="AL10" i="11" s="1"/>
  <c r="AL8" i="11" s="1"/>
  <c r="B93" i="11"/>
  <c r="R91" i="12"/>
  <c r="M91" i="12"/>
  <c r="M136" i="12" s="1"/>
  <c r="AW171" i="3"/>
  <c r="AR323" i="3"/>
  <c r="O93" i="12"/>
  <c r="S172" i="14"/>
  <c r="AZ169" i="3"/>
  <c r="I93" i="11"/>
  <c r="AT45" i="12"/>
  <c r="AU34" i="12"/>
  <c r="BE52" i="3"/>
  <c r="BE59" i="3" s="1"/>
  <c r="AN81" i="13"/>
  <c r="AN82" i="13"/>
  <c r="AY322" i="3"/>
  <c r="AZ322" i="3" s="1"/>
  <c r="AQ218" i="3"/>
  <c r="AQ220" i="3"/>
  <c r="J93" i="11"/>
  <c r="W93" i="11"/>
  <c r="AL29" i="13"/>
  <c r="AL5" i="13" s="1"/>
  <c r="AL7" i="13" s="1"/>
  <c r="AL10" i="13" s="1"/>
  <c r="AL8" i="13" s="1"/>
  <c r="AL92" i="13"/>
  <c r="AT92" i="3"/>
  <c r="AT9" i="3"/>
  <c r="AT10" i="3" s="1"/>
  <c r="AU3" i="3" s="1"/>
  <c r="AU6" i="3" s="1"/>
  <c r="AU7" i="3"/>
  <c r="AT113" i="12"/>
  <c r="AU113" i="12" s="1"/>
  <c r="AP263" i="3"/>
  <c r="AP267" i="3" s="1"/>
  <c r="AP173" i="3"/>
  <c r="AP12" i="3" s="1"/>
  <c r="AS86" i="3"/>
  <c r="AS84" i="3"/>
  <c r="AS89" i="3"/>
  <c r="AS80" i="3"/>
  <c r="AS81" i="3"/>
  <c r="AS87" i="3"/>
  <c r="AS82" i="3"/>
  <c r="AS85" i="3"/>
  <c r="AS88" i="3"/>
  <c r="AS83" i="3"/>
  <c r="AS90" i="3"/>
  <c r="AG349" i="3"/>
  <c r="AG188" i="3" s="1"/>
  <c r="AG272" i="3" s="1"/>
  <c r="AG278" i="3" s="1"/>
  <c r="BF236" i="3"/>
  <c r="BF252" i="3" s="1"/>
  <c r="H91" i="13"/>
  <c r="AN394" i="3"/>
  <c r="AN27" i="13" s="1"/>
  <c r="AN90" i="13" s="1"/>
  <c r="AZ164" i="3"/>
  <c r="BB325" i="3"/>
  <c r="BB164" i="3" s="1"/>
  <c r="J91" i="11"/>
  <c r="W91" i="11"/>
  <c r="AV44" i="12"/>
  <c r="AW44" i="12"/>
  <c r="AX44" i="12" s="1"/>
  <c r="AY44" i="12" s="1"/>
  <c r="S137" i="12"/>
  <c r="S93" i="12"/>
  <c r="AG271" i="3"/>
  <c r="AG277" i="3" s="1"/>
  <c r="AQ396" i="3"/>
  <c r="S91" i="12"/>
  <c r="S136" i="12" s="1"/>
  <c r="V91" i="12"/>
  <c r="V136" i="12" s="1"/>
  <c r="AK93" i="11"/>
  <c r="P137" i="12"/>
  <c r="AL81" i="13"/>
  <c r="AL82" i="13"/>
  <c r="K170" i="14"/>
  <c r="K172" i="14" s="1"/>
  <c r="M170" i="14"/>
  <c r="M172" i="14" s="1"/>
  <c r="AV327" i="3"/>
  <c r="AS143" i="12"/>
  <c r="AW112" i="12"/>
  <c r="AU112" i="12"/>
  <c r="AV112" i="12"/>
  <c r="L91" i="13"/>
  <c r="L93" i="13" s="1"/>
  <c r="AY35" i="12"/>
  <c r="Y93" i="13"/>
  <c r="G91" i="13"/>
  <c r="G93" i="13" s="1"/>
  <c r="BA169" i="3"/>
  <c r="AV36" i="12"/>
  <c r="U91" i="13"/>
  <c r="U93" i="13" s="1"/>
  <c r="AW41" i="12"/>
  <c r="V137" i="12"/>
  <c r="AL81" i="11"/>
  <c r="AL82" i="11"/>
  <c r="AR237" i="3"/>
  <c r="AD93" i="13"/>
  <c r="BD59" i="3"/>
  <c r="P91" i="12"/>
  <c r="P136" i="12" s="1"/>
  <c r="AK93" i="13"/>
  <c r="AY118" i="12"/>
  <c r="AY141" i="12" s="1"/>
  <c r="AV168" i="3"/>
  <c r="AZ121" i="12"/>
  <c r="AM395" i="3"/>
  <c r="AM28" i="13" s="1"/>
  <c r="AM91" i="13" s="1"/>
  <c r="BD75" i="3"/>
  <c r="BE284" i="3"/>
  <c r="K91" i="13"/>
  <c r="BC283" i="3"/>
  <c r="AJ91" i="11"/>
  <c r="AJ93" i="11" s="1"/>
  <c r="AJ29" i="11"/>
  <c r="AJ5" i="11" s="1"/>
  <c r="AJ7" i="11" s="1"/>
  <c r="AJ10" i="11" s="1"/>
  <c r="AJ8" i="11" s="1"/>
  <c r="K91" i="11"/>
  <c r="BE235" i="3"/>
  <c r="BE251" i="3" s="1"/>
  <c r="AQ266" i="3"/>
  <c r="AM81" i="13"/>
  <c r="AM82" i="13"/>
  <c r="AX118" i="12"/>
  <c r="AX141" i="12" s="1"/>
  <c r="BF230" i="3"/>
  <c r="BF246" i="3" s="1"/>
  <c r="G93" i="11"/>
  <c r="BD235" i="3"/>
  <c r="BD251" i="3" s="1"/>
  <c r="BD253" i="3" s="1"/>
  <c r="AZ332" i="3"/>
  <c r="AX329" i="3"/>
  <c r="AT122" i="12"/>
  <c r="AM92" i="13"/>
  <c r="AW161" i="3"/>
  <c r="AU40" i="13"/>
  <c r="BE71" i="3"/>
  <c r="BF71" i="3"/>
  <c r="F93" i="11"/>
  <c r="AX328" i="3"/>
  <c r="AN384" i="3"/>
  <c r="BC325" i="3"/>
  <c r="BC164" i="3" s="1"/>
  <c r="BC205" i="3"/>
  <c r="BC285" i="3" s="1"/>
  <c r="D91" i="13"/>
  <c r="S14" i="6"/>
  <c r="A15" i="6"/>
  <c r="AT43" i="12"/>
  <c r="BF229" i="3"/>
  <c r="BF245" i="3" s="1"/>
  <c r="K93" i="11"/>
  <c r="AT264" i="3"/>
  <c r="BF201" i="3"/>
  <c r="T137" i="12"/>
  <c r="T93" i="12"/>
  <c r="AV265" i="3"/>
  <c r="AP213" i="3"/>
  <c r="AP218" i="3"/>
  <c r="AP211" i="3"/>
  <c r="AP216" i="3"/>
  <c r="AP209" i="3"/>
  <c r="AP219" i="3"/>
  <c r="AP220" i="3"/>
  <c r="AP215" i="3"/>
  <c r="AP210" i="3"/>
  <c r="AP212" i="3"/>
  <c r="AP217" i="3"/>
  <c r="AP214" i="3"/>
  <c r="AX39" i="12"/>
  <c r="AO391" i="3"/>
  <c r="AO24" i="13" s="1"/>
  <c r="AO87" i="13" s="1"/>
  <c r="AU36" i="12"/>
  <c r="AW36" i="12" s="1"/>
  <c r="BC241" i="3"/>
  <c r="BE225" i="3"/>
  <c r="BE241" i="3" s="1"/>
  <c r="BA253" i="3"/>
  <c r="H93" i="13"/>
  <c r="AW33" i="12"/>
  <c r="AX33" i="12" s="1"/>
  <c r="AR142" i="12"/>
  <c r="BE230" i="3"/>
  <c r="BE246" i="3" s="1"/>
  <c r="AX322" i="3"/>
  <c r="AU166" i="3"/>
  <c r="AU264" i="3" s="1"/>
  <c r="AR170" i="3"/>
  <c r="AS331" i="3"/>
  <c r="AT331" i="3"/>
  <c r="AU331" i="3" s="1"/>
  <c r="BE201" i="3"/>
  <c r="AS45" i="13"/>
  <c r="AT34" i="13"/>
  <c r="AG131" i="12"/>
  <c r="AG93" i="12"/>
  <c r="AO386" i="3"/>
  <c r="AO19" i="13" s="1"/>
  <c r="D93" i="13"/>
  <c r="AW167" i="3"/>
  <c r="F91" i="11"/>
  <c r="AB234" i="14"/>
  <c r="AB250" i="14" s="1"/>
  <c r="AB219" i="14"/>
  <c r="AW168" i="3"/>
  <c r="AU43" i="12"/>
  <c r="AV43" i="12"/>
  <c r="E91" i="13"/>
  <c r="E93" i="13" s="1"/>
  <c r="AW326" i="3"/>
  <c r="AY329" i="3"/>
  <c r="AU163" i="3"/>
  <c r="AV324" i="3"/>
  <c r="BF234" i="3"/>
  <c r="BF250" i="3" s="1"/>
  <c r="BF59" i="3"/>
  <c r="AO389" i="3" l="1"/>
  <c r="AO22" i="13" s="1"/>
  <c r="AO85" i="13" s="1"/>
  <c r="AO388" i="3"/>
  <c r="AO21" i="13" s="1"/>
  <c r="AO84" i="13" s="1"/>
  <c r="AS91" i="3"/>
  <c r="AO393" i="3"/>
  <c r="AO26" i="13" s="1"/>
  <c r="AO89" i="13" s="1"/>
  <c r="AO385" i="3"/>
  <c r="AO18" i="13" s="1"/>
  <c r="AO82" i="13" s="1"/>
  <c r="AG350" i="3"/>
  <c r="AO394" i="3"/>
  <c r="AO27" i="13" s="1"/>
  <c r="AO90" i="13" s="1"/>
  <c r="AP392" i="3"/>
  <c r="AP25" i="13" s="1"/>
  <c r="AP88" i="13" s="1"/>
  <c r="AQ219" i="3"/>
  <c r="AQ210" i="3"/>
  <c r="AQ215" i="3"/>
  <c r="BC253" i="3"/>
  <c r="AQ217" i="3"/>
  <c r="AQ212" i="3"/>
  <c r="AQ209" i="3"/>
  <c r="AR221" i="3"/>
  <c r="BE253" i="3"/>
  <c r="AQ213" i="3"/>
  <c r="AQ216" i="3"/>
  <c r="AP390" i="3"/>
  <c r="AP23" i="13" s="1"/>
  <c r="AP86" i="13" s="1"/>
  <c r="AQ214" i="3"/>
  <c r="AP393" i="3"/>
  <c r="AP26" i="13" s="1"/>
  <c r="AP89" i="13" s="1"/>
  <c r="AZ161" i="3"/>
  <c r="AV113" i="12"/>
  <c r="AZ44" i="12"/>
  <c r="AU10" i="3"/>
  <c r="AV3" i="3" s="1"/>
  <c r="AV6" i="3" s="1"/>
  <c r="AU170" i="3"/>
  <c r="AV331" i="3"/>
  <c r="AY40" i="13"/>
  <c r="AN17" i="13"/>
  <c r="AN395" i="3"/>
  <c r="AN28" i="13" s="1"/>
  <c r="AN91" i="13" s="1"/>
  <c r="AA234" i="14"/>
  <c r="AA250" i="14" s="1"/>
  <c r="AA219" i="14"/>
  <c r="AT142" i="12"/>
  <c r="BB169" i="3"/>
  <c r="BC330" i="3"/>
  <c r="BC169" i="3" s="1"/>
  <c r="AX168" i="3"/>
  <c r="AX167" i="3"/>
  <c r="AY328" i="3"/>
  <c r="BA332" i="3"/>
  <c r="BC332" i="3" s="1"/>
  <c r="AV166" i="3"/>
  <c r="BF283" i="3"/>
  <c r="AP385" i="3"/>
  <c r="AP18" i="13" s="1"/>
  <c r="AV143" i="12"/>
  <c r="AW165" i="3"/>
  <c r="AY326" i="3"/>
  <c r="AT86" i="3"/>
  <c r="AT84" i="3"/>
  <c r="AT89" i="3"/>
  <c r="AT80" i="3"/>
  <c r="AT81" i="3"/>
  <c r="AT82" i="3"/>
  <c r="AT85" i="3"/>
  <c r="AT88" i="3"/>
  <c r="AT90" i="3"/>
  <c r="AT87" i="3"/>
  <c r="AT83" i="3"/>
  <c r="AX43" i="12"/>
  <c r="AT45" i="13"/>
  <c r="AU34" i="13"/>
  <c r="AU45" i="13" s="1"/>
  <c r="AV264" i="3"/>
  <c r="BE75" i="3"/>
  <c r="AY33" i="12"/>
  <c r="BE283" i="3"/>
  <c r="BE205" i="3"/>
  <c r="BE285" i="3" s="1"/>
  <c r="AR266" i="3"/>
  <c r="P93" i="12"/>
  <c r="AZ118" i="12"/>
  <c r="AP389" i="3"/>
  <c r="AP22" i="13" s="1"/>
  <c r="AP85" i="13" s="1"/>
  <c r="U93" i="12"/>
  <c r="BD330" i="3"/>
  <c r="BD169" i="3" s="1"/>
  <c r="AR162" i="3"/>
  <c r="AR333" i="3"/>
  <c r="AR172" i="3" s="1"/>
  <c r="AT323" i="3"/>
  <c r="AP386" i="3"/>
  <c r="AP19" i="13" s="1"/>
  <c r="BA164" i="3"/>
  <c r="AY168" i="3"/>
  <c r="AP394" i="3"/>
  <c r="AP27" i="13" s="1"/>
  <c r="AP90" i="13" s="1"/>
  <c r="AY161" i="3"/>
  <c r="AZ33" i="12"/>
  <c r="AX112" i="12"/>
  <c r="AW143" i="12" s="1"/>
  <c r="BF235" i="3"/>
  <c r="BF251" i="3" s="1"/>
  <c r="BF253" i="3" s="1"/>
  <c r="AU45" i="12"/>
  <c r="AO384" i="3"/>
  <c r="AM93" i="13"/>
  <c r="AG270" i="3"/>
  <c r="AG189" i="3"/>
  <c r="BB332" i="3"/>
  <c r="BB171" i="3" s="1"/>
  <c r="AP391" i="3"/>
  <c r="AP24" i="13" s="1"/>
  <c r="AP87" i="13" s="1"/>
  <c r="AS96" i="3"/>
  <c r="AS97" i="3" s="1"/>
  <c r="AS98" i="3" s="1"/>
  <c r="AS99" i="3" s="1"/>
  <c r="AS100" i="3" s="1"/>
  <c r="AS101" i="3" s="1"/>
  <c r="AS102" i="3" s="1"/>
  <c r="AS103" i="3" s="1"/>
  <c r="AS104" i="3" s="1"/>
  <c r="AS105" i="3" s="1"/>
  <c r="AS106" i="3" s="1"/>
  <c r="AS107" i="3" s="1"/>
  <c r="AT96" i="3" s="1"/>
  <c r="AT97" i="3" s="1"/>
  <c r="AT98" i="3" s="1"/>
  <c r="AT99" i="3" s="1"/>
  <c r="AT100" i="3" s="1"/>
  <c r="AT101" i="3" s="1"/>
  <c r="AT102" i="3" s="1"/>
  <c r="AT103" i="3" s="1"/>
  <c r="AT104" i="3" s="1"/>
  <c r="AT105" i="3" s="1"/>
  <c r="AT106" i="3" s="1"/>
  <c r="AW123" i="12"/>
  <c r="AX36" i="12"/>
  <c r="AZ36" i="12" s="1"/>
  <c r="AP388" i="3"/>
  <c r="AP21" i="13" s="1"/>
  <c r="AP84" i="13" s="1"/>
  <c r="AQ388" i="3"/>
  <c r="AQ21" i="13" s="1"/>
  <c r="AQ84" i="13" s="1"/>
  <c r="AV122" i="12"/>
  <c r="AV142" i="12" s="1"/>
  <c r="AX41" i="12"/>
  <c r="AY41" i="12" s="1"/>
  <c r="AZ41" i="12" s="1"/>
  <c r="AY36" i="12"/>
  <c r="AS170" i="3"/>
  <c r="AU122" i="12"/>
  <c r="AW122" i="12" s="1"/>
  <c r="AW142" i="12" s="1"/>
  <c r="AV163" i="3"/>
  <c r="AW324" i="3"/>
  <c r="S15" i="6"/>
  <c r="A16" i="6"/>
  <c r="BD325" i="3"/>
  <c r="BD164" i="3" s="1"/>
  <c r="AS162" i="3"/>
  <c r="AS333" i="3"/>
  <c r="AS172" i="3" s="1"/>
  <c r="AV34" i="12"/>
  <c r="AV45" i="12" s="1"/>
  <c r="AW327" i="3"/>
  <c r="AY327" i="3" s="1"/>
  <c r="AT170" i="3"/>
  <c r="AX327" i="3"/>
  <c r="AZ329" i="3"/>
  <c r="AW265" i="3"/>
  <c r="AX161" i="3"/>
  <c r="AL93" i="11"/>
  <c r="AU323" i="3"/>
  <c r="BF205" i="3"/>
  <c r="BF285" i="3" s="1"/>
  <c r="AU143" i="12"/>
  <c r="R136" i="12"/>
  <c r="R93" i="12"/>
  <c r="AQ173" i="3"/>
  <c r="AQ12" i="3" s="1"/>
  <c r="AQ263" i="3"/>
  <c r="AQ267" i="3" s="1"/>
  <c r="AY40" i="12"/>
  <c r="AZ40" i="12" s="1"/>
  <c r="AZ171" i="3"/>
  <c r="AX326" i="3"/>
  <c r="AP387" i="3"/>
  <c r="AP20" i="13" s="1"/>
  <c r="AP83" i="13" s="1"/>
  <c r="AL93" i="13"/>
  <c r="AS237" i="3"/>
  <c r="AT237" i="3" s="1"/>
  <c r="AM29" i="13"/>
  <c r="AM5" i="13" s="1"/>
  <c r="AM7" i="13" s="1"/>
  <c r="AM10" i="13" s="1"/>
  <c r="AM8" i="13" s="1"/>
  <c r="V93" i="12"/>
  <c r="AW113" i="12"/>
  <c r="AY113" i="12" s="1"/>
  <c r="AX113" i="12"/>
  <c r="AR396" i="3"/>
  <c r="AT143" i="12"/>
  <c r="AU92" i="3"/>
  <c r="AV7" i="3"/>
  <c r="AU9" i="3"/>
  <c r="BA322" i="3"/>
  <c r="AQ392" i="3" l="1"/>
  <c r="AQ25" i="13" s="1"/>
  <c r="AQ88" i="13" s="1"/>
  <c r="AT91" i="3"/>
  <c r="AO81" i="13"/>
  <c r="AQ386" i="3"/>
  <c r="AQ19" i="13" s="1"/>
  <c r="AQ390" i="3"/>
  <c r="AQ23" i="13" s="1"/>
  <c r="AQ86" i="13" s="1"/>
  <c r="AQ393" i="3"/>
  <c r="AQ26" i="13" s="1"/>
  <c r="AQ89" i="13" s="1"/>
  <c r="AR220" i="3"/>
  <c r="AR218" i="3"/>
  <c r="AR215" i="3"/>
  <c r="AS221" i="3"/>
  <c r="AT221" i="3" s="1"/>
  <c r="AR219" i="3"/>
  <c r="AQ394" i="3"/>
  <c r="AQ27" i="13" s="1"/>
  <c r="AQ90" i="13" s="1"/>
  <c r="AR209" i="3"/>
  <c r="AR210" i="3"/>
  <c r="AQ387" i="3"/>
  <c r="AQ20" i="13" s="1"/>
  <c r="AQ83" i="13" s="1"/>
  <c r="AR217" i="3"/>
  <c r="AR213" i="3"/>
  <c r="AR212" i="3"/>
  <c r="AR214" i="3"/>
  <c r="AR211" i="3"/>
  <c r="AR216" i="3"/>
  <c r="AY166" i="3"/>
  <c r="BC171" i="3"/>
  <c r="AZ113" i="12"/>
  <c r="AZ168" i="3"/>
  <c r="BB329" i="3"/>
  <c r="BB168" i="3" s="1"/>
  <c r="BA327" i="3"/>
  <c r="BC329" i="3"/>
  <c r="BC168" i="3" s="1"/>
  <c r="AT107" i="3"/>
  <c r="AY112" i="12"/>
  <c r="BE325" i="3"/>
  <c r="BE164" i="3" s="1"/>
  <c r="AO17" i="13"/>
  <c r="AO395" i="3"/>
  <c r="AO28" i="13" s="1"/>
  <c r="AO91" i="13" s="1"/>
  <c r="AV170" i="3"/>
  <c r="AQ391" i="3"/>
  <c r="AQ24" i="13" s="1"/>
  <c r="AQ87" i="13" s="1"/>
  <c r="AH190" i="3"/>
  <c r="AU162" i="3"/>
  <c r="AU333" i="3"/>
  <c r="AU172" i="3" s="1"/>
  <c r="AG273" i="3"/>
  <c r="AG276" i="3"/>
  <c r="AG279" i="3" s="1"/>
  <c r="BA171" i="3"/>
  <c r="AV34" i="13"/>
  <c r="AV45" i="13" s="1"/>
  <c r="AV10" i="3"/>
  <c r="AW3" i="3" s="1"/>
  <c r="AW6" i="3" s="1"/>
  <c r="BA329" i="3"/>
  <c r="AW34" i="12"/>
  <c r="AX34" i="12" s="1"/>
  <c r="AU237" i="3"/>
  <c r="AY43" i="12"/>
  <c r="AZ43" i="12" s="1"/>
  <c r="AQ389" i="3"/>
  <c r="AQ22" i="13" s="1"/>
  <c r="AQ85" i="13" s="1"/>
  <c r="BE330" i="3"/>
  <c r="AY167" i="3"/>
  <c r="AZ328" i="3"/>
  <c r="AU84" i="3"/>
  <c r="AU89" i="3"/>
  <c r="AU80" i="3"/>
  <c r="AU81" i="3"/>
  <c r="AU82" i="3"/>
  <c r="AU87" i="3"/>
  <c r="AU86" i="3"/>
  <c r="AU85" i="3"/>
  <c r="AU88" i="3"/>
  <c r="AU90" i="3"/>
  <c r="AU83" i="3"/>
  <c r="AX166" i="3"/>
  <c r="AZ326" i="3"/>
  <c r="AT266" i="3"/>
  <c r="BB327" i="3"/>
  <c r="BB166" i="3" s="1"/>
  <c r="AW166" i="3"/>
  <c r="S16" i="6"/>
  <c r="A17" i="6"/>
  <c r="AX122" i="12"/>
  <c r="AW163" i="3"/>
  <c r="BA161" i="3"/>
  <c r="AX324" i="3"/>
  <c r="AY324" i="3"/>
  <c r="AQ385" i="3"/>
  <c r="AQ18" i="13" s="1"/>
  <c r="BF325" i="3"/>
  <c r="BF164" i="3" s="1"/>
  <c r="AP384" i="3"/>
  <c r="AX265" i="3"/>
  <c r="AR173" i="3"/>
  <c r="AR12" i="3" s="1"/>
  <c r="AR263" i="3"/>
  <c r="AR267" i="3" s="1"/>
  <c r="AP82" i="13"/>
  <c r="AP81" i="13"/>
  <c r="AW331" i="3"/>
  <c r="BD332" i="3"/>
  <c r="BD171" i="3" s="1"/>
  <c r="AY165" i="3"/>
  <c r="AS173" i="3"/>
  <c r="AS12" i="3" s="1"/>
  <c r="AS263" i="3"/>
  <c r="AX123" i="12"/>
  <c r="AY123" i="12" s="1"/>
  <c r="AZ123" i="12" s="1"/>
  <c r="AX34" i="13"/>
  <c r="AX45" i="13" s="1"/>
  <c r="AW34" i="13"/>
  <c r="AW45" i="13" s="1"/>
  <c r="AU142" i="12"/>
  <c r="AT162" i="3"/>
  <c r="AT333" i="3"/>
  <c r="AT172" i="3" s="1"/>
  <c r="AN29" i="13"/>
  <c r="AN5" i="13" s="1"/>
  <c r="AN7" i="13" s="1"/>
  <c r="AN10" i="13" s="1"/>
  <c r="AN8" i="13" s="1"/>
  <c r="AN92" i="13"/>
  <c r="AN93" i="13" s="1"/>
  <c r="AR388" i="3"/>
  <c r="AR21" i="13" s="1"/>
  <c r="AR84" i="13" s="1"/>
  <c r="AR386" i="3"/>
  <c r="AR19" i="13" s="1"/>
  <c r="AR392" i="3"/>
  <c r="AR25" i="13" s="1"/>
  <c r="AR88" i="13" s="1"/>
  <c r="AR385" i="3"/>
  <c r="AR18" i="13" s="1"/>
  <c r="AR393" i="3"/>
  <c r="AR26" i="13" s="1"/>
  <c r="AR89" i="13" s="1"/>
  <c r="AR390" i="3"/>
  <c r="AR23" i="13" s="1"/>
  <c r="AR86" i="13" s="1"/>
  <c r="AS396" i="3"/>
  <c r="AV323" i="3"/>
  <c r="AZ327" i="3"/>
  <c r="AV92" i="3"/>
  <c r="AW7" i="3"/>
  <c r="AV9" i="3"/>
  <c r="AX165" i="3"/>
  <c r="BB322" i="3"/>
  <c r="AS266" i="3"/>
  <c r="AU91" i="3" l="1"/>
  <c r="AR387" i="3"/>
  <c r="AR20" i="13" s="1"/>
  <c r="AR83" i="13" s="1"/>
  <c r="AT214" i="3"/>
  <c r="AT215" i="3"/>
  <c r="AT219" i="3"/>
  <c r="AT217" i="3"/>
  <c r="AT218" i="3"/>
  <c r="AU221" i="3"/>
  <c r="AT210" i="3"/>
  <c r="AT211" i="3"/>
  <c r="AT220" i="3"/>
  <c r="AT216" i="3"/>
  <c r="AT213" i="3"/>
  <c r="AT209" i="3"/>
  <c r="AT212" i="3"/>
  <c r="AS218" i="3"/>
  <c r="AU218" i="3" s="1"/>
  <c r="AS211" i="3"/>
  <c r="AS216" i="3"/>
  <c r="AU216" i="3" s="1"/>
  <c r="AS209" i="3"/>
  <c r="AS212" i="3"/>
  <c r="AU212" i="3" s="1"/>
  <c r="AS214" i="3"/>
  <c r="AU214" i="3" s="1"/>
  <c r="AS213" i="3"/>
  <c r="AS219" i="3"/>
  <c r="AS215" i="3"/>
  <c r="AS210" i="3"/>
  <c r="AS220" i="3"/>
  <c r="AS217" i="3"/>
  <c r="AR394" i="3"/>
  <c r="AR27" i="13" s="1"/>
  <c r="AR90" i="13" s="1"/>
  <c r="AX45" i="12"/>
  <c r="AY34" i="12"/>
  <c r="AY45" i="12" s="1"/>
  <c r="AY163" i="3"/>
  <c r="AX163" i="3"/>
  <c r="AZ324" i="3"/>
  <c r="AV266" i="3"/>
  <c r="BA166" i="3"/>
  <c r="AU263" i="3"/>
  <c r="AU173" i="3"/>
  <c r="AU12" i="3" s="1"/>
  <c r="AQ81" i="13"/>
  <c r="AQ82" i="13"/>
  <c r="AV237" i="3"/>
  <c r="AW237" i="3" s="1"/>
  <c r="AQ384" i="3"/>
  <c r="AR384" i="3" s="1"/>
  <c r="AR389" i="3"/>
  <c r="AR22" i="13" s="1"/>
  <c r="AR85" i="13" s="1"/>
  <c r="AS267" i="3"/>
  <c r="BA168" i="3"/>
  <c r="AW10" i="3"/>
  <c r="AX3" i="3" s="1"/>
  <c r="AX6" i="3" s="1"/>
  <c r="BD329" i="3"/>
  <c r="BD168" i="3" s="1"/>
  <c r="AR81" i="13"/>
  <c r="AR82" i="13"/>
  <c r="AO29" i="13"/>
  <c r="AO5" i="13" s="1"/>
  <c r="AO7" i="13" s="1"/>
  <c r="AO10" i="13" s="1"/>
  <c r="AO8" i="13" s="1"/>
  <c r="AO92" i="13"/>
  <c r="AO93" i="13" s="1"/>
  <c r="BA326" i="3"/>
  <c r="AX143" i="12"/>
  <c r="AZ112" i="12"/>
  <c r="AY143" i="12" s="1"/>
  <c r="BE332" i="3"/>
  <c r="BE171" i="3" s="1"/>
  <c r="AY265" i="3"/>
  <c r="BE169" i="3"/>
  <c r="BF330" i="3"/>
  <c r="BF169" i="3" s="1"/>
  <c r="AX142" i="12"/>
  <c r="AU210" i="3"/>
  <c r="AU215" i="3"/>
  <c r="AU96" i="3"/>
  <c r="AU97" i="3" s="1"/>
  <c r="AU98" i="3" s="1"/>
  <c r="AU99" i="3" s="1"/>
  <c r="AU100" i="3" s="1"/>
  <c r="AU101" i="3" s="1"/>
  <c r="AU102" i="3" s="1"/>
  <c r="AU103" i="3" s="1"/>
  <c r="AU104" i="3" s="1"/>
  <c r="AU105" i="3" s="1"/>
  <c r="AU106" i="3" s="1"/>
  <c r="AU107" i="3" s="1"/>
  <c r="AV96" i="3" s="1"/>
  <c r="AV97" i="3" s="1"/>
  <c r="AV98" i="3" s="1"/>
  <c r="AV99" i="3" s="1"/>
  <c r="AV100" i="3" s="1"/>
  <c r="AV101" i="3" s="1"/>
  <c r="AV102" i="3" s="1"/>
  <c r="AV103" i="3" s="1"/>
  <c r="AV104" i="3" s="1"/>
  <c r="AV105" i="3" s="1"/>
  <c r="AV106" i="3" s="1"/>
  <c r="AW45" i="12"/>
  <c r="AZ34" i="12"/>
  <c r="AZ45" i="12" s="1"/>
  <c r="BB161" i="3"/>
  <c r="BC322" i="3"/>
  <c r="BD322" i="3"/>
  <c r="AR391" i="3"/>
  <c r="AR24" i="13" s="1"/>
  <c r="AR87" i="13" s="1"/>
  <c r="AW92" i="3"/>
  <c r="AX7" i="3"/>
  <c r="AW9" i="3"/>
  <c r="AV84" i="3"/>
  <c r="AV89" i="3"/>
  <c r="AV80" i="3"/>
  <c r="AV81" i="3"/>
  <c r="AV82" i="3"/>
  <c r="AV87" i="3"/>
  <c r="AV85" i="3"/>
  <c r="AV88" i="3"/>
  <c r="AV90" i="3"/>
  <c r="AV86" i="3"/>
  <c r="AV83" i="3"/>
  <c r="AZ166" i="3"/>
  <c r="AT173" i="3"/>
  <c r="AT12" i="3" s="1"/>
  <c r="AT263" i="3"/>
  <c r="AT267" i="3" s="1"/>
  <c r="AW170" i="3"/>
  <c r="AX331" i="3"/>
  <c r="AY34" i="13"/>
  <c r="AY45" i="13" s="1"/>
  <c r="AS386" i="3"/>
  <c r="AS19" i="13" s="1"/>
  <c r="AS388" i="3"/>
  <c r="AS21" i="13" s="1"/>
  <c r="AS84" i="13" s="1"/>
  <c r="AS385" i="3"/>
  <c r="AS18" i="13" s="1"/>
  <c r="AS392" i="3"/>
  <c r="AS25" i="13" s="1"/>
  <c r="AS88" i="13" s="1"/>
  <c r="AS393" i="3"/>
  <c r="AS26" i="13" s="1"/>
  <c r="AS89" i="13" s="1"/>
  <c r="AS387" i="3"/>
  <c r="AS20" i="13" s="1"/>
  <c r="AS83" i="13" s="1"/>
  <c r="AS390" i="3"/>
  <c r="AS23" i="13" s="1"/>
  <c r="AS86" i="13" s="1"/>
  <c r="AT396" i="3"/>
  <c r="AU266" i="3"/>
  <c r="AY264" i="3"/>
  <c r="AW264" i="3"/>
  <c r="A18" i="6"/>
  <c r="S17" i="6"/>
  <c r="AY122" i="12"/>
  <c r="BF332" i="3"/>
  <c r="BF171" i="3" s="1"/>
  <c r="AV162" i="3"/>
  <c r="AV333" i="3"/>
  <c r="AV172" i="3" s="1"/>
  <c r="AW323" i="3"/>
  <c r="AZ165" i="3"/>
  <c r="AP17" i="13"/>
  <c r="AP395" i="3"/>
  <c r="AP28" i="13" s="1"/>
  <c r="AP91" i="13" s="1"/>
  <c r="BC327" i="3"/>
  <c r="BC166" i="3" s="1"/>
  <c r="AH120" i="3"/>
  <c r="AH123" i="3"/>
  <c r="AH114" i="3"/>
  <c r="AH118" i="3"/>
  <c r="AH115" i="3"/>
  <c r="AH119" i="3"/>
  <c r="AH124" i="3"/>
  <c r="AH117" i="3"/>
  <c r="AH116" i="3"/>
  <c r="AH121" i="3"/>
  <c r="AH122" i="3"/>
  <c r="AH113" i="3"/>
  <c r="AX264" i="3"/>
  <c r="AZ167" i="3"/>
  <c r="BA328" i="3"/>
  <c r="BB326" i="3"/>
  <c r="BB165" i="3" s="1"/>
  <c r="AV91" i="3" l="1"/>
  <c r="AU220" i="3"/>
  <c r="AU219" i="3"/>
  <c r="AS394" i="3"/>
  <c r="AS27" i="13" s="1"/>
  <c r="AS90" i="13" s="1"/>
  <c r="AU213" i="3"/>
  <c r="AU217" i="3"/>
  <c r="AV221" i="3"/>
  <c r="AW221" i="3" s="1"/>
  <c r="AU211" i="3"/>
  <c r="AU209" i="3"/>
  <c r="AR17" i="13"/>
  <c r="AR395" i="3"/>
  <c r="AR28" i="13" s="1"/>
  <c r="AR91" i="13" s="1"/>
  <c r="AS384" i="3"/>
  <c r="AT384" i="3" s="1"/>
  <c r="AT17" i="13" s="1"/>
  <c r="AX237" i="3"/>
  <c r="BB264" i="3"/>
  <c r="BA167" i="3"/>
  <c r="AW84" i="3"/>
  <c r="AW89" i="3"/>
  <c r="AW80" i="3"/>
  <c r="AW81" i="3"/>
  <c r="AW82" i="3"/>
  <c r="AW87" i="3"/>
  <c r="AW85" i="3"/>
  <c r="AW90" i="3"/>
  <c r="AW86" i="3"/>
  <c r="AW88" i="3"/>
  <c r="AW83" i="3"/>
  <c r="AS81" i="13"/>
  <c r="AS82" i="13"/>
  <c r="AH138" i="3"/>
  <c r="AH154" i="3" s="1"/>
  <c r="AZ264" i="3"/>
  <c r="BD161" i="3"/>
  <c r="AV107" i="3"/>
  <c r="BE329" i="3"/>
  <c r="BE168" i="3" s="1"/>
  <c r="AV214" i="3"/>
  <c r="AV219" i="3"/>
  <c r="AV212" i="3"/>
  <c r="AV220" i="3"/>
  <c r="AV209" i="3"/>
  <c r="AV217" i="3"/>
  <c r="AV218" i="3"/>
  <c r="AV215" i="3"/>
  <c r="AV211" i="3"/>
  <c r="AV216" i="3"/>
  <c r="AV210" i="3"/>
  <c r="BE322" i="3"/>
  <c r="BF322" i="3" s="1"/>
  <c r="AT392" i="3"/>
  <c r="AT25" i="13" s="1"/>
  <c r="AT88" i="13" s="1"/>
  <c r="AT388" i="3"/>
  <c r="AT21" i="13" s="1"/>
  <c r="AT84" i="13" s="1"/>
  <c r="AT385" i="3"/>
  <c r="AT18" i="13" s="1"/>
  <c r="AT386" i="3"/>
  <c r="AT19" i="13" s="1"/>
  <c r="AT393" i="3"/>
  <c r="AT26" i="13" s="1"/>
  <c r="AT89" i="13" s="1"/>
  <c r="AT387" i="3"/>
  <c r="AT20" i="13" s="1"/>
  <c r="AT83" i="13" s="1"/>
  <c r="AT390" i="3"/>
  <c r="AT23" i="13" s="1"/>
  <c r="AT86" i="13" s="1"/>
  <c r="AU396" i="3"/>
  <c r="AW162" i="3"/>
  <c r="AW333" i="3"/>
  <c r="AW172" i="3" s="1"/>
  <c r="AY323" i="3"/>
  <c r="AH125" i="3"/>
  <c r="AH129" i="3"/>
  <c r="AH137" i="3"/>
  <c r="AH153" i="3" s="1"/>
  <c r="AH133" i="3"/>
  <c r="AH149" i="3" s="1"/>
  <c r="AY142" i="12"/>
  <c r="AZ122" i="12"/>
  <c r="BC326" i="3"/>
  <c r="BC165" i="3" s="1"/>
  <c r="AS389" i="3"/>
  <c r="AS22" i="13" s="1"/>
  <c r="AS85" i="13" s="1"/>
  <c r="AH140" i="3"/>
  <c r="AH156" i="3"/>
  <c r="BA165" i="3"/>
  <c r="AX170" i="3"/>
  <c r="AU267" i="3"/>
  <c r="BD327" i="3"/>
  <c r="BD166" i="3" s="1"/>
  <c r="AP29" i="13"/>
  <c r="AP5" i="13" s="1"/>
  <c r="AP7" i="13" s="1"/>
  <c r="AP10" i="13" s="1"/>
  <c r="AP8" i="13" s="1"/>
  <c r="AP92" i="13"/>
  <c r="AP93" i="13" s="1"/>
  <c r="BE326" i="3"/>
  <c r="BE165" i="3" s="1"/>
  <c r="AZ163" i="3"/>
  <c r="BA324" i="3"/>
  <c r="AV263" i="3"/>
  <c r="AV267" i="3" s="1"/>
  <c r="AV173" i="3"/>
  <c r="AV12" i="3" s="1"/>
  <c r="AH132" i="3"/>
  <c r="AH135" i="3"/>
  <c r="AH131" i="3"/>
  <c r="AH134" i="3"/>
  <c r="AH130" i="3"/>
  <c r="AH146" i="3" s="1"/>
  <c r="AH139" i="3"/>
  <c r="AH155" i="3"/>
  <c r="AY331" i="3"/>
  <c r="BD326" i="3"/>
  <c r="BD165" i="3" s="1"/>
  <c r="BB328" i="3"/>
  <c r="BB167" i="3" s="1"/>
  <c r="AZ265" i="3"/>
  <c r="BC161" i="3"/>
  <c r="AX323" i="3"/>
  <c r="AQ17" i="13"/>
  <c r="AQ395" i="3"/>
  <c r="AQ28" i="13" s="1"/>
  <c r="AQ91" i="13" s="1"/>
  <c r="A19" i="6"/>
  <c r="S18" i="6"/>
  <c r="AS391" i="3"/>
  <c r="AS24" i="13" s="1"/>
  <c r="AS87" i="13" s="1"/>
  <c r="AH136" i="3"/>
  <c r="AW266" i="3"/>
  <c r="AX92" i="3"/>
  <c r="AX9" i="3"/>
  <c r="AX10" i="3" s="1"/>
  <c r="AY3" i="3" s="1"/>
  <c r="AY6" i="3" s="1"/>
  <c r="AY7" i="3"/>
  <c r="AW211" i="3" l="1"/>
  <c r="AW91" i="3"/>
  <c r="AW96" i="3"/>
  <c r="AW97" i="3" s="1"/>
  <c r="AW98" i="3" s="1"/>
  <c r="AW99" i="3" s="1"/>
  <c r="AW100" i="3" s="1"/>
  <c r="AW101" i="3" s="1"/>
  <c r="AW102" i="3" s="1"/>
  <c r="AW103" i="3" s="1"/>
  <c r="AW104" i="3" s="1"/>
  <c r="AW105" i="3" s="1"/>
  <c r="AW106" i="3" s="1"/>
  <c r="AW107" i="3" s="1"/>
  <c r="AT394" i="3"/>
  <c r="AT27" i="13" s="1"/>
  <c r="AT90" i="13" s="1"/>
  <c r="AV213" i="3"/>
  <c r="AW215" i="3"/>
  <c r="AW219" i="3"/>
  <c r="AW216" i="3"/>
  <c r="AW214" i="3"/>
  <c r="AW213" i="3"/>
  <c r="AW212" i="3"/>
  <c r="AY212" i="3" s="1"/>
  <c r="AW217" i="3"/>
  <c r="AW210" i="3"/>
  <c r="AX221" i="3"/>
  <c r="AY221" i="3" s="1"/>
  <c r="AY219" i="3" s="1"/>
  <c r="AW220" i="3"/>
  <c r="AW218" i="3"/>
  <c r="AW209" i="3"/>
  <c r="AY209" i="3" s="1"/>
  <c r="AT389" i="3"/>
  <c r="AT22" i="13" s="1"/>
  <c r="AT85" i="13" s="1"/>
  <c r="BF161" i="3"/>
  <c r="AH314" i="3"/>
  <c r="M88" i="1"/>
  <c r="M72" i="1" s="1"/>
  <c r="S19" i="6"/>
  <c r="A20" i="6"/>
  <c r="AX84" i="3"/>
  <c r="AX89" i="3"/>
  <c r="AX80" i="3"/>
  <c r="AX81" i="3"/>
  <c r="AX82" i="3"/>
  <c r="AX87" i="3"/>
  <c r="AX90" i="3"/>
  <c r="AX85" i="3"/>
  <c r="AX88" i="3"/>
  <c r="AX86" i="3"/>
  <c r="AX83" i="3"/>
  <c r="AH310" i="3"/>
  <c r="M84" i="1"/>
  <c r="AH24" i="12"/>
  <c r="AH88" i="12" s="1"/>
  <c r="AH133" i="12" s="1"/>
  <c r="AH297" i="3"/>
  <c r="M55" i="1"/>
  <c r="AH152" i="3"/>
  <c r="BD264" i="3"/>
  <c r="BA331" i="3"/>
  <c r="BC331" i="3" s="1"/>
  <c r="BC170" i="3" s="1"/>
  <c r="AH22" i="12"/>
  <c r="AH86" i="12" s="1"/>
  <c r="AH131" i="12" s="1"/>
  <c r="AH295" i="3"/>
  <c r="M53" i="1"/>
  <c r="BA265" i="3"/>
  <c r="AH19" i="12"/>
  <c r="AH83" i="12" s="1"/>
  <c r="AH128" i="12" s="1"/>
  <c r="AH292" i="3"/>
  <c r="L62" i="1"/>
  <c r="AS17" i="13"/>
  <c r="AS395" i="3"/>
  <c r="AS28" i="13" s="1"/>
  <c r="AS91" i="13" s="1"/>
  <c r="BA264" i="3"/>
  <c r="AX216" i="3"/>
  <c r="AX220" i="3"/>
  <c r="AX213" i="3"/>
  <c r="AX219" i="3"/>
  <c r="AX211" i="3"/>
  <c r="AX210" i="3"/>
  <c r="BF326" i="3"/>
  <c r="BF165" i="3" s="1"/>
  <c r="AH28" i="12"/>
  <c r="AH92" i="12" s="1"/>
  <c r="AH137" i="12" s="1"/>
  <c r="AH301" i="3"/>
  <c r="M59" i="1"/>
  <c r="AH17" i="12"/>
  <c r="AH290" i="3"/>
  <c r="AH141" i="3"/>
  <c r="L60" i="1"/>
  <c r="AY170" i="3"/>
  <c r="BB331" i="3"/>
  <c r="BB170" i="3" s="1"/>
  <c r="AH21" i="12"/>
  <c r="AH85" i="12" s="1"/>
  <c r="AH130" i="12" s="1"/>
  <c r="AH294" i="3"/>
  <c r="M52" i="1"/>
  <c r="AH27" i="12"/>
  <c r="AH91" i="12" s="1"/>
  <c r="AH136" i="12" s="1"/>
  <c r="AH300" i="3"/>
  <c r="M58" i="1"/>
  <c r="AZ331" i="3"/>
  <c r="AH18" i="12"/>
  <c r="AH82" i="12" s="1"/>
  <c r="AH127" i="12" s="1"/>
  <c r="AH291" i="3"/>
  <c r="L61" i="1"/>
  <c r="AH145" i="3"/>
  <c r="BC264" i="3"/>
  <c r="AW263" i="3"/>
  <c r="AW267" i="3" s="1"/>
  <c r="AW173" i="3"/>
  <c r="AW12" i="3" s="1"/>
  <c r="AH150" i="3"/>
  <c r="AH23" i="12"/>
  <c r="AH87" i="12" s="1"/>
  <c r="AH132" i="12" s="1"/>
  <c r="AH296" i="3"/>
  <c r="M54" i="1"/>
  <c r="BE161" i="3"/>
  <c r="AH20" i="12"/>
  <c r="AH84" i="12" s="1"/>
  <c r="AH129" i="12" s="1"/>
  <c r="AH293" i="3"/>
  <c r="L63" i="1"/>
  <c r="AH148" i="3"/>
  <c r="AY237" i="3"/>
  <c r="BC328" i="3"/>
  <c r="AH298" i="3"/>
  <c r="M56" i="1"/>
  <c r="AH25" i="12"/>
  <c r="AH89" i="12" s="1"/>
  <c r="AH134" i="12" s="1"/>
  <c r="AY162" i="3"/>
  <c r="AY333" i="3"/>
  <c r="AY172" i="3" s="1"/>
  <c r="AH147" i="3"/>
  <c r="AT391" i="3"/>
  <c r="AT24" i="13" s="1"/>
  <c r="AT87" i="13" s="1"/>
  <c r="BE327" i="3"/>
  <c r="BE166" i="3" s="1"/>
  <c r="AY214" i="3"/>
  <c r="BA163" i="3"/>
  <c r="BB324" i="3"/>
  <c r="BB163" i="3" s="1"/>
  <c r="AH316" i="3"/>
  <c r="M90" i="1"/>
  <c r="M74" i="1" s="1"/>
  <c r="AT81" i="13"/>
  <c r="AT82" i="13"/>
  <c r="AT92" i="13"/>
  <c r="AX162" i="3"/>
  <c r="AX333" i="3"/>
  <c r="AX172" i="3" s="1"/>
  <c r="AZ323" i="3"/>
  <c r="AH151" i="3"/>
  <c r="BF329" i="3"/>
  <c r="BF168" i="3" s="1"/>
  <c r="AU394" i="3"/>
  <c r="AU27" i="13" s="1"/>
  <c r="AU90" i="13" s="1"/>
  <c r="AU386" i="3"/>
  <c r="AU19" i="13" s="1"/>
  <c r="AU384" i="3"/>
  <c r="AU17" i="13" s="1"/>
  <c r="AU392" i="3"/>
  <c r="AU25" i="13" s="1"/>
  <c r="AU88" i="13" s="1"/>
  <c r="AU387" i="3"/>
  <c r="AU20" i="13" s="1"/>
  <c r="AU83" i="13" s="1"/>
  <c r="AU393" i="3"/>
  <c r="AU26" i="13" s="1"/>
  <c r="AU89" i="13" s="1"/>
  <c r="AU385" i="3"/>
  <c r="AU18" i="13" s="1"/>
  <c r="AU390" i="3"/>
  <c r="AU23" i="13" s="1"/>
  <c r="AU86" i="13" s="1"/>
  <c r="AU388" i="3"/>
  <c r="AU21" i="13" s="1"/>
  <c r="AU84" i="13" s="1"/>
  <c r="AV396" i="3"/>
  <c r="AH315" i="3"/>
  <c r="AH260" i="3"/>
  <c r="M89" i="1"/>
  <c r="M73" i="1" s="1"/>
  <c r="AR29" i="13"/>
  <c r="AR5" i="13" s="1"/>
  <c r="AR7" i="13" s="1"/>
  <c r="AR10" i="13" s="1"/>
  <c r="AR8" i="13" s="1"/>
  <c r="AR92" i="13"/>
  <c r="AR93" i="13" s="1"/>
  <c r="AH307" i="3"/>
  <c r="L93" i="1"/>
  <c r="L77" i="1" s="1"/>
  <c r="AQ29" i="13"/>
  <c r="AQ5" i="13" s="1"/>
  <c r="AQ7" i="13" s="1"/>
  <c r="AQ10" i="13" s="1"/>
  <c r="AQ8" i="13" s="1"/>
  <c r="AQ92" i="13"/>
  <c r="AQ93" i="13" s="1"/>
  <c r="AH317" i="3"/>
  <c r="M91" i="1"/>
  <c r="M75" i="1" s="1"/>
  <c r="BB265" i="3"/>
  <c r="AY92" i="3"/>
  <c r="AY9" i="3"/>
  <c r="AY10" i="3" s="1"/>
  <c r="AZ3" i="3" s="1"/>
  <c r="AZ6" i="3" s="1"/>
  <c r="AZ7" i="3"/>
  <c r="BA323" i="3"/>
  <c r="AH26" i="12"/>
  <c r="AH90" i="12" s="1"/>
  <c r="AH135" i="12" s="1"/>
  <c r="AH299" i="3"/>
  <c r="M57" i="1"/>
  <c r="AH259" i="3" l="1"/>
  <c r="AY210" i="3"/>
  <c r="AX214" i="3"/>
  <c r="AY211" i="3"/>
  <c r="AY218" i="3"/>
  <c r="AX215" i="3"/>
  <c r="AX218" i="3"/>
  <c r="AX209" i="3"/>
  <c r="AY216" i="3"/>
  <c r="AY220" i="3"/>
  <c r="AY213" i="3"/>
  <c r="AY215" i="3"/>
  <c r="AY217" i="3"/>
  <c r="AX217" i="3"/>
  <c r="AX212" i="3"/>
  <c r="AZ212" i="3" s="1"/>
  <c r="AX91" i="3"/>
  <c r="AU389" i="3"/>
  <c r="AU22" i="13" s="1"/>
  <c r="AU85" i="13" s="1"/>
  <c r="AZ221" i="3"/>
  <c r="BA221" i="3" s="1"/>
  <c r="BA216" i="3" s="1"/>
  <c r="AH342" i="3"/>
  <c r="AH181" i="3" s="1"/>
  <c r="AH347" i="3"/>
  <c r="AH186" i="3" s="1"/>
  <c r="AH339" i="3"/>
  <c r="AH178" i="3" s="1"/>
  <c r="AH346" i="3"/>
  <c r="AH185" i="3" s="1"/>
  <c r="AU391" i="3"/>
  <c r="AU24" i="13" s="1"/>
  <c r="AU87" i="13" s="1"/>
  <c r="M41" i="1"/>
  <c r="M25" i="1"/>
  <c r="AZ92" i="3"/>
  <c r="AZ9" i="3"/>
  <c r="AZ10" i="3" s="1"/>
  <c r="BA3" i="3" s="1"/>
  <c r="BA6" i="3" s="1"/>
  <c r="BA7" i="3"/>
  <c r="AH311" i="3"/>
  <c r="AH343" i="3" s="1"/>
  <c r="AH182" i="3" s="1"/>
  <c r="M85" i="1"/>
  <c r="M69" i="1" s="1"/>
  <c r="M21" i="1" s="1"/>
  <c r="AY89" i="3"/>
  <c r="AY80" i="3"/>
  <c r="AY81" i="3"/>
  <c r="AY82" i="3"/>
  <c r="AY87" i="3"/>
  <c r="AY85" i="3"/>
  <c r="AY88" i="3"/>
  <c r="AY84" i="3"/>
  <c r="AY90" i="3"/>
  <c r="AY86" i="3"/>
  <c r="AY83" i="3"/>
  <c r="S20" i="6"/>
  <c r="A21" i="6"/>
  <c r="M24" i="1"/>
  <c r="M40" i="1"/>
  <c r="AH302" i="3"/>
  <c r="AH313" i="3"/>
  <c r="AH345" i="3" s="1"/>
  <c r="AH184" i="3" s="1"/>
  <c r="M87" i="1"/>
  <c r="M71" i="1" s="1"/>
  <c r="M23" i="1" s="1"/>
  <c r="M39" i="1"/>
  <c r="AX263" i="3"/>
  <c r="AX267" i="3" s="1"/>
  <c r="AX173" i="3"/>
  <c r="AX12" i="3" s="1"/>
  <c r="AH29" i="12"/>
  <c r="AH5" i="12" s="1"/>
  <c r="AH7" i="12" s="1"/>
  <c r="AH10" i="12" s="1"/>
  <c r="AH8" i="12" s="1"/>
  <c r="AH81" i="12"/>
  <c r="BA212" i="3"/>
  <c r="BA220" i="3"/>
  <c r="BA209" i="3"/>
  <c r="AU81" i="13"/>
  <c r="AU82" i="13"/>
  <c r="BF327" i="3"/>
  <c r="BF166" i="3" s="1"/>
  <c r="M36" i="1"/>
  <c r="L64" i="1"/>
  <c r="L12" i="1" s="1"/>
  <c r="L4" i="1" s="1"/>
  <c r="BC167" i="3"/>
  <c r="BD328" i="3"/>
  <c r="BD167" i="3" s="1"/>
  <c r="L29" i="1"/>
  <c r="L45" i="1"/>
  <c r="M27" i="1"/>
  <c r="M43" i="1"/>
  <c r="M68" i="1"/>
  <c r="M20" i="1" s="1"/>
  <c r="AY266" i="3"/>
  <c r="AT395" i="3"/>
  <c r="AT28" i="13" s="1"/>
  <c r="AY263" i="3"/>
  <c r="AY173" i="3"/>
  <c r="AY12" i="3" s="1"/>
  <c r="BB221" i="3"/>
  <c r="BC221" i="3" s="1"/>
  <c r="AU92" i="13"/>
  <c r="BA162" i="3"/>
  <c r="BA333" i="3"/>
  <c r="BA172" i="3" s="1"/>
  <c r="AH308" i="3"/>
  <c r="AH340" i="3" s="1"/>
  <c r="AH179" i="3" s="1"/>
  <c r="L94" i="1"/>
  <c r="L78" i="1" s="1"/>
  <c r="L30" i="1" s="1"/>
  <c r="AX266" i="3"/>
  <c r="AH309" i="3"/>
  <c r="AH341" i="3" s="1"/>
  <c r="AH180" i="3" s="1"/>
  <c r="L95" i="1"/>
  <c r="L79" i="1" s="1"/>
  <c r="L31" i="1" s="1"/>
  <c r="BE331" i="3"/>
  <c r="BE170" i="3" s="1"/>
  <c r="AZ170" i="3"/>
  <c r="BF264" i="3"/>
  <c r="BD331" i="3"/>
  <c r="BD170" i="3" s="1"/>
  <c r="BA170" i="3"/>
  <c r="AH257" i="3"/>
  <c r="AH349" i="3"/>
  <c r="AH188" i="3" s="1"/>
  <c r="M26" i="1"/>
  <c r="M42" i="1"/>
  <c r="AS29" i="13"/>
  <c r="AS5" i="13" s="1"/>
  <c r="AS7" i="13" s="1"/>
  <c r="AS10" i="13" s="1"/>
  <c r="AS8" i="13" s="1"/>
  <c r="AS92" i="13"/>
  <c r="AS93" i="13" s="1"/>
  <c r="AX96" i="3"/>
  <c r="AX97" i="3" s="1"/>
  <c r="AX98" i="3" s="1"/>
  <c r="AX99" i="3" s="1"/>
  <c r="AX100" i="3" s="1"/>
  <c r="AX101" i="3" s="1"/>
  <c r="AX102" i="3" s="1"/>
  <c r="AX103" i="3" s="1"/>
  <c r="AX104" i="3" s="1"/>
  <c r="AX105" i="3" s="1"/>
  <c r="AX106" i="3" s="1"/>
  <c r="AH306" i="3"/>
  <c r="AH157" i="3"/>
  <c r="AH11" i="3" s="1"/>
  <c r="L92" i="1"/>
  <c r="AZ237" i="3"/>
  <c r="AH312" i="3"/>
  <c r="AH344" i="3" s="1"/>
  <c r="AH183" i="3" s="1"/>
  <c r="M86" i="1"/>
  <c r="M70" i="1" s="1"/>
  <c r="M22" i="1" s="1"/>
  <c r="AH258" i="3"/>
  <c r="AH348" i="3"/>
  <c r="AH187" i="3" s="1"/>
  <c r="BC324" i="3"/>
  <c r="AV394" i="3"/>
  <c r="AV27" i="13" s="1"/>
  <c r="AV90" i="13" s="1"/>
  <c r="AV386" i="3"/>
  <c r="AV19" i="13" s="1"/>
  <c r="AV384" i="3"/>
  <c r="AV17" i="13" s="1"/>
  <c r="AV392" i="3"/>
  <c r="AV25" i="13" s="1"/>
  <c r="AV88" i="13" s="1"/>
  <c r="AV387" i="3"/>
  <c r="AV20" i="13" s="1"/>
  <c r="AV83" i="13" s="1"/>
  <c r="AV393" i="3"/>
  <c r="AV26" i="13" s="1"/>
  <c r="AV89" i="13" s="1"/>
  <c r="AV390" i="3"/>
  <c r="AV23" i="13" s="1"/>
  <c r="AV86" i="13" s="1"/>
  <c r="AV385" i="3"/>
  <c r="AV18" i="13" s="1"/>
  <c r="AV388" i="3"/>
  <c r="AV21" i="13" s="1"/>
  <c r="AV84" i="13" s="1"/>
  <c r="AW396" i="3"/>
  <c r="BE264" i="3"/>
  <c r="AZ162" i="3"/>
  <c r="AZ333" i="3"/>
  <c r="AZ172" i="3" s="1"/>
  <c r="BB323" i="3"/>
  <c r="AV389" i="3" l="1"/>
  <c r="AV22" i="13" s="1"/>
  <c r="AV85" i="13" s="1"/>
  <c r="BA214" i="3"/>
  <c r="BA211" i="3"/>
  <c r="BA218" i="3"/>
  <c r="AZ211" i="3"/>
  <c r="BA210" i="3"/>
  <c r="BA215" i="3"/>
  <c r="AZ209" i="3"/>
  <c r="BB209" i="3" s="1"/>
  <c r="BD209" i="3" s="1"/>
  <c r="AZ210" i="3"/>
  <c r="BC210" i="3" s="1"/>
  <c r="AY91" i="3"/>
  <c r="AZ213" i="3"/>
  <c r="BA219" i="3"/>
  <c r="AH272" i="3"/>
  <c r="AH278" i="3" s="1"/>
  <c r="BA217" i="3"/>
  <c r="AZ215" i="3"/>
  <c r="BC215" i="3" s="1"/>
  <c r="AX107" i="3"/>
  <c r="AY96" i="3" s="1"/>
  <c r="AY97" i="3" s="1"/>
  <c r="AY98" i="3" s="1"/>
  <c r="AY99" i="3" s="1"/>
  <c r="AY100" i="3" s="1"/>
  <c r="AY101" i="3" s="1"/>
  <c r="AY102" i="3" s="1"/>
  <c r="AY103" i="3" s="1"/>
  <c r="AY104" i="3" s="1"/>
  <c r="AY105" i="3" s="1"/>
  <c r="AY106" i="3" s="1"/>
  <c r="AY107" i="3" s="1"/>
  <c r="BA213" i="3"/>
  <c r="BC213" i="3" s="1"/>
  <c r="AZ216" i="3"/>
  <c r="BC216" i="3" s="1"/>
  <c r="AZ218" i="3"/>
  <c r="BC218" i="3" s="1"/>
  <c r="AZ217" i="3"/>
  <c r="AZ219" i="3"/>
  <c r="BC219" i="3" s="1"/>
  <c r="AZ220" i="3"/>
  <c r="BC220" i="3" s="1"/>
  <c r="AZ214" i="3"/>
  <c r="BB214" i="3" s="1"/>
  <c r="AV391" i="3"/>
  <c r="AV24" i="13" s="1"/>
  <c r="AV87" i="13" s="1"/>
  <c r="AU395" i="3"/>
  <c r="AU28" i="13" s="1"/>
  <c r="AU91" i="13" s="1"/>
  <c r="AH270" i="3"/>
  <c r="AH276" i="3" s="1"/>
  <c r="M37" i="1"/>
  <c r="AU93" i="13"/>
  <c r="BD221" i="3"/>
  <c r="BE221" i="3" s="1"/>
  <c r="AU29" i="13"/>
  <c r="AU5" i="13" s="1"/>
  <c r="AU7" i="13" s="1"/>
  <c r="AU10" i="13" s="1"/>
  <c r="AU8" i="13" s="1"/>
  <c r="M38" i="1"/>
  <c r="L47" i="1"/>
  <c r="L76" i="1"/>
  <c r="L96" i="1"/>
  <c r="BB162" i="3"/>
  <c r="BB333" i="3"/>
  <c r="BB172" i="3" s="1"/>
  <c r="BC323" i="3"/>
  <c r="BA92" i="3"/>
  <c r="BA9" i="3"/>
  <c r="BA10" i="3" s="1"/>
  <c r="BB3" i="3" s="1"/>
  <c r="BB6" i="3" s="1"/>
  <c r="BB7" i="3"/>
  <c r="AH318" i="3"/>
  <c r="BD265" i="3"/>
  <c r="BC212" i="3"/>
  <c r="BC217" i="3"/>
  <c r="BC211" i="3"/>
  <c r="BC209" i="3"/>
  <c r="BE328" i="3"/>
  <c r="BE167" i="3" s="1"/>
  <c r="AH338" i="3"/>
  <c r="AH271" i="3"/>
  <c r="AH277" i="3" s="1"/>
  <c r="AV395" i="3"/>
  <c r="AV28" i="13" s="1"/>
  <c r="AV91" i="13" s="1"/>
  <c r="AH261" i="3"/>
  <c r="BC163" i="3"/>
  <c r="BD324" i="3"/>
  <c r="BD323" i="3"/>
  <c r="BC265" i="3"/>
  <c r="AZ81" i="3"/>
  <c r="AZ82" i="3"/>
  <c r="AZ87" i="3"/>
  <c r="AZ85" i="3"/>
  <c r="AZ90" i="3"/>
  <c r="AZ83" i="3"/>
  <c r="AZ89" i="3"/>
  <c r="AZ80" i="3"/>
  <c r="AZ88" i="3"/>
  <c r="AZ84" i="3"/>
  <c r="AZ86" i="3"/>
  <c r="AZ266" i="3"/>
  <c r="L46" i="1"/>
  <c r="L44" i="1"/>
  <c r="BB212" i="3"/>
  <c r="BB210" i="3"/>
  <c r="BD210" i="3" s="1"/>
  <c r="BB215" i="3"/>
  <c r="BB220" i="3"/>
  <c r="BB219" i="3"/>
  <c r="BD219" i="3" s="1"/>
  <c r="BB217" i="3"/>
  <c r="BD217" i="3" s="1"/>
  <c r="BB216" i="3"/>
  <c r="BB213" i="3"/>
  <c r="BB211" i="3"/>
  <c r="AT91" i="13"/>
  <c r="AT93" i="13" s="1"/>
  <c r="AT29" i="13"/>
  <c r="AT5" i="13" s="1"/>
  <c r="AT7" i="13" s="1"/>
  <c r="AT10" i="13" s="1"/>
  <c r="AT8" i="13" s="1"/>
  <c r="AV92" i="13"/>
  <c r="BF331" i="3"/>
  <c r="BF170" i="3" s="1"/>
  <c r="AH93" i="12"/>
  <c r="AH126" i="12"/>
  <c r="S21" i="6"/>
  <c r="A22" i="6"/>
  <c r="AW386" i="3"/>
  <c r="AW19" i="13" s="1"/>
  <c r="AW384" i="3"/>
  <c r="AW17" i="13" s="1"/>
  <c r="AW392" i="3"/>
  <c r="AW25" i="13" s="1"/>
  <c r="AW88" i="13" s="1"/>
  <c r="AW390" i="3"/>
  <c r="AW23" i="13" s="1"/>
  <c r="AW86" i="13" s="1"/>
  <c r="AW393" i="3"/>
  <c r="AW26" i="13" s="1"/>
  <c r="AW89" i="13" s="1"/>
  <c r="AW394" i="3"/>
  <c r="AW27" i="13" s="1"/>
  <c r="AW90" i="13" s="1"/>
  <c r="AW385" i="3"/>
  <c r="AW18" i="13" s="1"/>
  <c r="AW388" i="3"/>
  <c r="AW21" i="13" s="1"/>
  <c r="AW84" i="13" s="1"/>
  <c r="AW389" i="3"/>
  <c r="AW22" i="13" s="1"/>
  <c r="AW85" i="13" s="1"/>
  <c r="AW391" i="3"/>
  <c r="AW24" i="13" s="1"/>
  <c r="AW87" i="13" s="1"/>
  <c r="AW387" i="3"/>
  <c r="AW20" i="13" s="1"/>
  <c r="AW83" i="13" s="1"/>
  <c r="AX396" i="3"/>
  <c r="AV81" i="13"/>
  <c r="AV82" i="13"/>
  <c r="BA263" i="3"/>
  <c r="BA267" i="3" s="1"/>
  <c r="BA173" i="3"/>
  <c r="BA12" i="3" s="1"/>
  <c r="AZ173" i="3"/>
  <c r="AZ12" i="3" s="1"/>
  <c r="AZ263" i="3"/>
  <c r="AZ267" i="3" s="1"/>
  <c r="BA266" i="3"/>
  <c r="BA237" i="3"/>
  <c r="BB237" i="3" s="1"/>
  <c r="BC237" i="3" s="1"/>
  <c r="BD237" i="3" s="1"/>
  <c r="AY267" i="3"/>
  <c r="BE215" i="3" l="1"/>
  <c r="BB218" i="3"/>
  <c r="BE218" i="3" s="1"/>
  <c r="BE216" i="3"/>
  <c r="BC214" i="3"/>
  <c r="AZ91" i="3"/>
  <c r="BD216" i="3"/>
  <c r="BE209" i="3"/>
  <c r="BE211" i="3"/>
  <c r="BE220" i="3"/>
  <c r="BE214" i="3"/>
  <c r="BF221" i="3"/>
  <c r="BF219" i="3" s="1"/>
  <c r="BE213" i="3"/>
  <c r="BD212" i="3"/>
  <c r="L48" i="1"/>
  <c r="L11" i="1" s="1"/>
  <c r="BD211" i="3"/>
  <c r="BF211" i="3" s="1"/>
  <c r="BE210" i="3"/>
  <c r="BD218" i="3"/>
  <c r="BF218" i="3" s="1"/>
  <c r="BE212" i="3"/>
  <c r="BD214" i="3"/>
  <c r="BD213" i="3"/>
  <c r="BF213" i="3" s="1"/>
  <c r="BD220" i="3"/>
  <c r="BF220" i="3" s="1"/>
  <c r="AV29" i="13"/>
  <c r="AV5" i="13" s="1"/>
  <c r="AV7" i="13" s="1"/>
  <c r="AV10" i="13" s="1"/>
  <c r="AV8" i="13" s="1"/>
  <c r="BD215" i="3"/>
  <c r="BE219" i="3"/>
  <c r="BD162" i="3"/>
  <c r="BD333" i="3"/>
  <c r="BD172" i="3" s="1"/>
  <c r="BE217" i="3"/>
  <c r="AW82" i="13"/>
  <c r="AW81" i="13"/>
  <c r="BD163" i="3"/>
  <c r="BE324" i="3"/>
  <c r="BE163" i="3" s="1"/>
  <c r="BF324" i="3"/>
  <c r="BF163" i="3" s="1"/>
  <c r="AV93" i="13"/>
  <c r="L80" i="1"/>
  <c r="L5" i="1" s="1"/>
  <c r="L28" i="1"/>
  <c r="L32" i="1" s="1"/>
  <c r="L3" i="1" s="1"/>
  <c r="BB92" i="3"/>
  <c r="BB9" i="3"/>
  <c r="BB10" i="3" s="1"/>
  <c r="BC3" i="3" s="1"/>
  <c r="BC6" i="3" s="1"/>
  <c r="BC7" i="3"/>
  <c r="BE237" i="3"/>
  <c r="BF237" i="3" s="1"/>
  <c r="AW395" i="3"/>
  <c r="AW28" i="13" s="1"/>
  <c r="AW91" i="13" s="1"/>
  <c r="AZ96" i="3"/>
  <c r="AZ97" i="3" s="1"/>
  <c r="AZ98" i="3" s="1"/>
  <c r="AZ99" i="3" s="1"/>
  <c r="AZ100" i="3" s="1"/>
  <c r="AZ101" i="3" s="1"/>
  <c r="AZ102" i="3" s="1"/>
  <c r="AZ103" i="3" s="1"/>
  <c r="AZ104" i="3" s="1"/>
  <c r="AZ105" i="3" s="1"/>
  <c r="AZ106" i="3" s="1"/>
  <c r="AZ107" i="3" s="1"/>
  <c r="BA96" i="3" s="1"/>
  <c r="BA97" i="3" s="1"/>
  <c r="BA98" i="3" s="1"/>
  <c r="BA99" i="3" s="1"/>
  <c r="BA100" i="3" s="1"/>
  <c r="BA101" i="3" s="1"/>
  <c r="BA102" i="3" s="1"/>
  <c r="BA103" i="3" s="1"/>
  <c r="BA104" i="3" s="1"/>
  <c r="BA105" i="3" s="1"/>
  <c r="BA106" i="3" s="1"/>
  <c r="BA82" i="3"/>
  <c r="BA87" i="3"/>
  <c r="BA85" i="3"/>
  <c r="BA90" i="3"/>
  <c r="BA83" i="3"/>
  <c r="BA88" i="3"/>
  <c r="BA84" i="3"/>
  <c r="BA89" i="3"/>
  <c r="BA81" i="3"/>
  <c r="BA80" i="3"/>
  <c r="BA86" i="3"/>
  <c r="AW92" i="13"/>
  <c r="AH350" i="3"/>
  <c r="AH177" i="3"/>
  <c r="BF328" i="3"/>
  <c r="BF167" i="3" s="1"/>
  <c r="L6" i="1"/>
  <c r="L13" i="1"/>
  <c r="AX389" i="3"/>
  <c r="AX22" i="13" s="1"/>
  <c r="AX85" i="13" s="1"/>
  <c r="AX392" i="3"/>
  <c r="AX25" i="13" s="1"/>
  <c r="AX88" i="13" s="1"/>
  <c r="AX387" i="3"/>
  <c r="AX20" i="13" s="1"/>
  <c r="AX83" i="13" s="1"/>
  <c r="AX390" i="3"/>
  <c r="AX23" i="13" s="1"/>
  <c r="AX86" i="13" s="1"/>
  <c r="AX386" i="3"/>
  <c r="AX19" i="13" s="1"/>
  <c r="AX384" i="3"/>
  <c r="AX17" i="13" s="1"/>
  <c r="AX394" i="3"/>
  <c r="AX27" i="13" s="1"/>
  <c r="AX90" i="13" s="1"/>
  <c r="AX393" i="3"/>
  <c r="AX26" i="13" s="1"/>
  <c r="AX89" i="13" s="1"/>
  <c r="AX391" i="3"/>
  <c r="AX24" i="13" s="1"/>
  <c r="AX87" i="13" s="1"/>
  <c r="AX388" i="3"/>
  <c r="AX21" i="13" s="1"/>
  <c r="AX84" i="13" s="1"/>
  <c r="AX385" i="3"/>
  <c r="AX18" i="13" s="1"/>
  <c r="AY396" i="3"/>
  <c r="BE323" i="3"/>
  <c r="BE265" i="3"/>
  <c r="BC162" i="3"/>
  <c r="BC333" i="3"/>
  <c r="BC172" i="3" s="1"/>
  <c r="BF323" i="3"/>
  <c r="A23" i="6"/>
  <c r="S22" i="6"/>
  <c r="BB266" i="3"/>
  <c r="BB173" i="3"/>
  <c r="BB12" i="3" s="1"/>
  <c r="BB263" i="3"/>
  <c r="BB267" i="3" s="1"/>
  <c r="BA91" i="3" l="1"/>
  <c r="BF210" i="3"/>
  <c r="BF209" i="3"/>
  <c r="BF214" i="3"/>
  <c r="BF212" i="3"/>
  <c r="BF217" i="3"/>
  <c r="BF216" i="3"/>
  <c r="BF215" i="3"/>
  <c r="BC92" i="3"/>
  <c r="BC9" i="3"/>
  <c r="BC10" i="3" s="1"/>
  <c r="BD3" i="3" s="1"/>
  <c r="BD6" i="3" s="1"/>
  <c r="BD7" i="3"/>
  <c r="BB82" i="3"/>
  <c r="BB87" i="3"/>
  <c r="BB85" i="3"/>
  <c r="BB90" i="3"/>
  <c r="BB88" i="3"/>
  <c r="BB89" i="3"/>
  <c r="BB80" i="3"/>
  <c r="BB84" i="3"/>
  <c r="BB81" i="3"/>
  <c r="BB86" i="3"/>
  <c r="BB83" i="3"/>
  <c r="BC266" i="3"/>
  <c r="BC263" i="3"/>
  <c r="BC173" i="3"/>
  <c r="BC12" i="3" s="1"/>
  <c r="BE162" i="3"/>
  <c r="BE333" i="3"/>
  <c r="BE172" i="3" s="1"/>
  <c r="AW93" i="13"/>
  <c r="AH269" i="3"/>
  <c r="AH189" i="3"/>
  <c r="AY389" i="3"/>
  <c r="AY22" i="13" s="1"/>
  <c r="AY85" i="13" s="1"/>
  <c r="AY384" i="3"/>
  <c r="AY17" i="13" s="1"/>
  <c r="AY387" i="3"/>
  <c r="AY20" i="13" s="1"/>
  <c r="AY83" i="13" s="1"/>
  <c r="AY393" i="3"/>
  <c r="AY26" i="13" s="1"/>
  <c r="AY89" i="13" s="1"/>
  <c r="AY385" i="3"/>
  <c r="AY18" i="13" s="1"/>
  <c r="AY394" i="3"/>
  <c r="AY27" i="13" s="1"/>
  <c r="AY90" i="13" s="1"/>
  <c r="AY392" i="3"/>
  <c r="AY25" i="13" s="1"/>
  <c r="AY88" i="13" s="1"/>
  <c r="AY390" i="3"/>
  <c r="AY23" i="13" s="1"/>
  <c r="AY86" i="13" s="1"/>
  <c r="AY391" i="3"/>
  <c r="AY24" i="13" s="1"/>
  <c r="AY87" i="13" s="1"/>
  <c r="AY386" i="3"/>
  <c r="AY19" i="13" s="1"/>
  <c r="AY388" i="3"/>
  <c r="AY21" i="13" s="1"/>
  <c r="AY84" i="13" s="1"/>
  <c r="AW29" i="13"/>
  <c r="AW5" i="13" s="1"/>
  <c r="AW7" i="13" s="1"/>
  <c r="AW10" i="13" s="1"/>
  <c r="AW8" i="13" s="1"/>
  <c r="L7" i="1"/>
  <c r="A24" i="6"/>
  <c r="S23" i="6"/>
  <c r="BD266" i="3"/>
  <c r="BF265" i="3"/>
  <c r="BD173" i="3"/>
  <c r="BD12" i="3" s="1"/>
  <c r="BD263" i="3"/>
  <c r="BD267" i="3" s="1"/>
  <c r="BF162" i="3"/>
  <c r="BF333" i="3"/>
  <c r="BF172" i="3" s="1"/>
  <c r="AX82" i="13"/>
  <c r="AX81" i="13"/>
  <c r="AZ396" i="3"/>
  <c r="BA107" i="3"/>
  <c r="AX92" i="13"/>
  <c r="AX395" i="3"/>
  <c r="AX28" i="13" s="1"/>
  <c r="AX91" i="13" s="1"/>
  <c r="BB91" i="3" l="1"/>
  <c r="BB96" i="3"/>
  <c r="BB97" i="3" s="1"/>
  <c r="BB98" i="3" s="1"/>
  <c r="BB99" i="3" s="1"/>
  <c r="BB100" i="3" s="1"/>
  <c r="BB101" i="3" s="1"/>
  <c r="BB102" i="3" s="1"/>
  <c r="BB103" i="3" s="1"/>
  <c r="BB104" i="3" s="1"/>
  <c r="BB105" i="3" s="1"/>
  <c r="BB106" i="3" s="1"/>
  <c r="S24" i="6"/>
  <c r="A25" i="6"/>
  <c r="AX93" i="13"/>
  <c r="BE263" i="3"/>
  <c r="BE173" i="3"/>
  <c r="BE12" i="3" s="1"/>
  <c r="BF266" i="3"/>
  <c r="BF263" i="3"/>
  <c r="BF267" i="3" s="1"/>
  <c r="BF173" i="3"/>
  <c r="BF12" i="3" s="1"/>
  <c r="AX29" i="13"/>
  <c r="AX5" i="13" s="1"/>
  <c r="AX7" i="13" s="1"/>
  <c r="AX10" i="13" s="1"/>
  <c r="AX8" i="13" s="1"/>
  <c r="AY395" i="3"/>
  <c r="AY28" i="13" s="1"/>
  <c r="AY91" i="13" s="1"/>
  <c r="AI190" i="3"/>
  <c r="BD92" i="3"/>
  <c r="BD9" i="3"/>
  <c r="BD10" i="3" s="1"/>
  <c r="BE3" i="3" s="1"/>
  <c r="BE6" i="3" s="1"/>
  <c r="BE7" i="3"/>
  <c r="BC267" i="3"/>
  <c r="BB107" i="3"/>
  <c r="AY81" i="13"/>
  <c r="AY82" i="13"/>
  <c r="AY92" i="13"/>
  <c r="AZ389" i="3"/>
  <c r="AZ384" i="3"/>
  <c r="AZ392" i="3"/>
  <c r="AZ387" i="3"/>
  <c r="AZ390" i="3"/>
  <c r="AZ393" i="3"/>
  <c r="AZ385" i="3"/>
  <c r="AZ394" i="3"/>
  <c r="AZ391" i="3"/>
  <c r="AZ386" i="3"/>
  <c r="AZ388" i="3"/>
  <c r="BA396" i="3"/>
  <c r="BC87" i="3"/>
  <c r="BC85" i="3"/>
  <c r="BC90" i="3"/>
  <c r="BC83" i="3"/>
  <c r="BC82" i="3"/>
  <c r="BC88" i="3"/>
  <c r="BC81" i="3"/>
  <c r="BC89" i="3"/>
  <c r="BC80" i="3"/>
  <c r="BC86" i="3"/>
  <c r="BC84" i="3"/>
  <c r="BC91" i="3" s="1"/>
  <c r="AH273" i="3"/>
  <c r="AH275" i="3"/>
  <c r="AH279" i="3" s="1"/>
  <c r="BE266" i="3"/>
  <c r="AZ395" i="3" l="1"/>
  <c r="BA384" i="3"/>
  <c r="BA392" i="3"/>
  <c r="BA387" i="3"/>
  <c r="BA390" i="3"/>
  <c r="BA393" i="3"/>
  <c r="BA391" i="3"/>
  <c r="BA385" i="3"/>
  <c r="BA386" i="3"/>
  <c r="BA389" i="3"/>
  <c r="BA388" i="3"/>
  <c r="BA394" i="3"/>
  <c r="BB396" i="3"/>
  <c r="BE92" i="3"/>
  <c r="BE9" i="3"/>
  <c r="BE10" i="3" s="1"/>
  <c r="BF3" i="3" s="1"/>
  <c r="BF6" i="3" s="1"/>
  <c r="BF7" i="3"/>
  <c r="BD85" i="3"/>
  <c r="BD90" i="3"/>
  <c r="BD83" i="3"/>
  <c r="BD88" i="3"/>
  <c r="BD84" i="3"/>
  <c r="BD81" i="3"/>
  <c r="BD89" i="3"/>
  <c r="BD80" i="3"/>
  <c r="BD86" i="3"/>
  <c r="BD82" i="3"/>
  <c r="BD87" i="3"/>
  <c r="AI117" i="3"/>
  <c r="AI122" i="3"/>
  <c r="AI114" i="3"/>
  <c r="AI115" i="3"/>
  <c r="AI120" i="3"/>
  <c r="AI121" i="3"/>
  <c r="AI119" i="3"/>
  <c r="AI123" i="3"/>
  <c r="AI118" i="3"/>
  <c r="AI113" i="3"/>
  <c r="AI116" i="3"/>
  <c r="AI124" i="3"/>
  <c r="S25" i="6"/>
  <c r="A26" i="6"/>
  <c r="AY29" i="13"/>
  <c r="AY5" i="13" s="1"/>
  <c r="AY7" i="13" s="1"/>
  <c r="AY10" i="13" s="1"/>
  <c r="AY8" i="13" s="1"/>
  <c r="BC96" i="3"/>
  <c r="BC97" i="3" s="1"/>
  <c r="BC98" i="3" s="1"/>
  <c r="BC99" i="3" s="1"/>
  <c r="BC100" i="3" s="1"/>
  <c r="BC101" i="3" s="1"/>
  <c r="BC102" i="3" s="1"/>
  <c r="BC103" i="3" s="1"/>
  <c r="BC104" i="3" s="1"/>
  <c r="BC105" i="3" s="1"/>
  <c r="BC106" i="3" s="1"/>
  <c r="BC107" i="3" s="1"/>
  <c r="BD96" i="3" s="1"/>
  <c r="BD97" i="3" s="1"/>
  <c r="BD98" i="3" s="1"/>
  <c r="BD99" i="3" s="1"/>
  <c r="BD100" i="3" s="1"/>
  <c r="BE267" i="3"/>
  <c r="AY93" i="13"/>
  <c r="BD91" i="3" l="1"/>
  <c r="BA395" i="3"/>
  <c r="AI140" i="3"/>
  <c r="AI135" i="3"/>
  <c r="AI151" i="3" s="1"/>
  <c r="AI312" i="3" s="1"/>
  <c r="BF92" i="3"/>
  <c r="BF9" i="3"/>
  <c r="BF10" i="3" s="1"/>
  <c r="AI133" i="3"/>
  <c r="AI149" i="3" s="1"/>
  <c r="AI310" i="3" s="1"/>
  <c r="BB392" i="3"/>
  <c r="BB387" i="3"/>
  <c r="BB390" i="3"/>
  <c r="BB393" i="3"/>
  <c r="BB385" i="3"/>
  <c r="BB394" i="3"/>
  <c r="BB391" i="3"/>
  <c r="BB384" i="3"/>
  <c r="BB388" i="3"/>
  <c r="BB386" i="3"/>
  <c r="BB389" i="3"/>
  <c r="AI125" i="3"/>
  <c r="AI129" i="3"/>
  <c r="AI145" i="3" s="1"/>
  <c r="AI139" i="3"/>
  <c r="AI136" i="3"/>
  <c r="AI130" i="3"/>
  <c r="AI146" i="3" s="1"/>
  <c r="AI138" i="3"/>
  <c r="AI154" i="3" s="1"/>
  <c r="AI132" i="3"/>
  <c r="AI148" i="3" s="1"/>
  <c r="AI137" i="3"/>
  <c r="AI134" i="3"/>
  <c r="AI150" i="3" s="1"/>
  <c r="AI311" i="3" s="1"/>
  <c r="BE85" i="3"/>
  <c r="BE90" i="3"/>
  <c r="BE83" i="3"/>
  <c r="BE88" i="3"/>
  <c r="BE86" i="3"/>
  <c r="BE82" i="3"/>
  <c r="BE89" i="3"/>
  <c r="BE80" i="3"/>
  <c r="BE81" i="3"/>
  <c r="BE87" i="3"/>
  <c r="BE84" i="3"/>
  <c r="BD101" i="3"/>
  <c r="BD102" i="3" s="1"/>
  <c r="BD103" i="3" s="1"/>
  <c r="BD104" i="3" s="1"/>
  <c r="BD105" i="3" s="1"/>
  <c r="BD106" i="3" s="1"/>
  <c r="BD107" i="3" s="1"/>
  <c r="BE96" i="3" s="1"/>
  <c r="BE97" i="3" s="1"/>
  <c r="BE98" i="3" s="1"/>
  <c r="BC396" i="3"/>
  <c r="BD396" i="3" s="1"/>
  <c r="AI131" i="3"/>
  <c r="S26" i="6"/>
  <c r="A27" i="6"/>
  <c r="BE91" i="3" l="1"/>
  <c r="BB395" i="3"/>
  <c r="BE396" i="3"/>
  <c r="AI309" i="3"/>
  <c r="M95" i="1"/>
  <c r="M79" i="1" s="1"/>
  <c r="AI298" i="3"/>
  <c r="AI25" i="12"/>
  <c r="AI89" i="12" s="1"/>
  <c r="AI134" i="12" s="1"/>
  <c r="AI19" i="12"/>
  <c r="AI83" i="12" s="1"/>
  <c r="AI128" i="12" s="1"/>
  <c r="AI292" i="3"/>
  <c r="M62" i="1"/>
  <c r="AI153" i="3"/>
  <c r="AI314" i="3" s="1"/>
  <c r="AI20" i="12"/>
  <c r="AI84" i="12" s="1"/>
  <c r="AI129" i="12" s="1"/>
  <c r="AI258" i="3"/>
  <c r="M63" i="1"/>
  <c r="AI293" i="3"/>
  <c r="AI315" i="3"/>
  <c r="AI26" i="12"/>
  <c r="AI90" i="12" s="1"/>
  <c r="AI135" i="12" s="1"/>
  <c r="AI299" i="3"/>
  <c r="BF85" i="3"/>
  <c r="BF90" i="3"/>
  <c r="BF83" i="3"/>
  <c r="BF88" i="3"/>
  <c r="BF86" i="3"/>
  <c r="BF84" i="3"/>
  <c r="BF81" i="3"/>
  <c r="BF87" i="3"/>
  <c r="BF89" i="3"/>
  <c r="BF80" i="3"/>
  <c r="BF82" i="3"/>
  <c r="AI27" i="12"/>
  <c r="AI91" i="12" s="1"/>
  <c r="AI136" i="12" s="1"/>
  <c r="AI300" i="3"/>
  <c r="AI306" i="3"/>
  <c r="M92" i="1"/>
  <c r="BE99" i="3"/>
  <c r="BE100" i="3" s="1"/>
  <c r="BE101" i="3" s="1"/>
  <c r="BE102" i="3" s="1"/>
  <c r="BE103" i="3" s="1"/>
  <c r="BE104" i="3" s="1"/>
  <c r="BE105" i="3" s="1"/>
  <c r="BE106" i="3" s="1"/>
  <c r="BE107" i="3" s="1"/>
  <c r="AI155" i="3"/>
  <c r="AI316" i="3" s="1"/>
  <c r="AI28" i="12"/>
  <c r="AI92" i="12" s="1"/>
  <c r="AI137" i="12" s="1"/>
  <c r="AI301" i="3"/>
  <c r="A28" i="6"/>
  <c r="S27" i="6"/>
  <c r="BC390" i="3"/>
  <c r="BD390" i="3" s="1"/>
  <c r="BC393" i="3"/>
  <c r="BD393" i="3" s="1"/>
  <c r="BC385" i="3"/>
  <c r="BD385" i="3" s="1"/>
  <c r="BC388" i="3"/>
  <c r="BD388" i="3" s="1"/>
  <c r="BC394" i="3"/>
  <c r="BD394" i="3" s="1"/>
  <c r="BC392" i="3"/>
  <c r="BD392" i="3" s="1"/>
  <c r="BC391" i="3"/>
  <c r="BD391" i="3" s="1"/>
  <c r="BC387" i="3"/>
  <c r="BD387" i="3" s="1"/>
  <c r="BC386" i="3"/>
  <c r="BD386" i="3" s="1"/>
  <c r="BC389" i="3"/>
  <c r="BD389" i="3" s="1"/>
  <c r="BC384" i="3"/>
  <c r="AI307" i="3"/>
  <c r="M93" i="1"/>
  <c r="M77" i="1" s="1"/>
  <c r="AI23" i="12"/>
  <c r="AI87" i="12" s="1"/>
  <c r="AI132" i="12" s="1"/>
  <c r="AI296" i="3"/>
  <c r="AI344" i="3" s="1"/>
  <c r="AI183" i="3" s="1"/>
  <c r="AI17" i="12"/>
  <c r="AI290" i="3"/>
  <c r="AI141" i="3"/>
  <c r="M60" i="1"/>
  <c r="AI156" i="3"/>
  <c r="AI317" i="3" s="1"/>
  <c r="AI22" i="12"/>
  <c r="AI86" i="12" s="1"/>
  <c r="AI131" i="12" s="1"/>
  <c r="AI295" i="3"/>
  <c r="AI343" i="3" s="1"/>
  <c r="AI182" i="3" s="1"/>
  <c r="AI147" i="3"/>
  <c r="AI21" i="12"/>
  <c r="AI85" i="12" s="1"/>
  <c r="AI130" i="12" s="1"/>
  <c r="AI294" i="3"/>
  <c r="AI342" i="3" s="1"/>
  <c r="AI181" i="3" s="1"/>
  <c r="AI18" i="12"/>
  <c r="AI82" i="12" s="1"/>
  <c r="AI127" i="12" s="1"/>
  <c r="AI291" i="3"/>
  <c r="M61" i="1"/>
  <c r="AI24" i="12"/>
  <c r="AI88" i="12" s="1"/>
  <c r="AI133" i="12" s="1"/>
  <c r="AI297" i="3"/>
  <c r="AI152" i="3"/>
  <c r="AI313" i="3" s="1"/>
  <c r="BF91" i="3" l="1"/>
  <c r="AI348" i="3"/>
  <c r="AI187" i="3" s="1"/>
  <c r="AI345" i="3"/>
  <c r="AI184" i="3" s="1"/>
  <c r="BC395" i="3"/>
  <c r="AI347" i="3"/>
  <c r="AI186" i="3" s="1"/>
  <c r="M45" i="1"/>
  <c r="M29" i="1"/>
  <c r="AI339" i="3"/>
  <c r="AI178" i="3" s="1"/>
  <c r="AI308" i="3"/>
  <c r="AI340" i="3" s="1"/>
  <c r="AI179" i="3" s="1"/>
  <c r="M94" i="1"/>
  <c r="M78" i="1" s="1"/>
  <c r="M30" i="1" s="1"/>
  <c r="BD384" i="3"/>
  <c r="BD395" i="3" s="1"/>
  <c r="S28" i="6"/>
  <c r="A29" i="6"/>
  <c r="AI302" i="3"/>
  <c r="AI338" i="3"/>
  <c r="AI260" i="3"/>
  <c r="AI346" i="3"/>
  <c r="AI185" i="3" s="1"/>
  <c r="AI257" i="3"/>
  <c r="AI81" i="12"/>
  <c r="AI29" i="12"/>
  <c r="AI5" i="12" s="1"/>
  <c r="AI7" i="12" s="1"/>
  <c r="AI10" i="12" s="1"/>
  <c r="AI8" i="12" s="1"/>
  <c r="BE387" i="3"/>
  <c r="BE393" i="3"/>
  <c r="BE385" i="3"/>
  <c r="BE391" i="3"/>
  <c r="BE390" i="3"/>
  <c r="BE389" i="3"/>
  <c r="BE386" i="3"/>
  <c r="BE388" i="3"/>
  <c r="BE394" i="3"/>
  <c r="BE392" i="3"/>
  <c r="BF96" i="3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AI341" i="3"/>
  <c r="AI180" i="3" s="1"/>
  <c r="AI270" i="3" s="1"/>
  <c r="AI276" i="3" s="1"/>
  <c r="BF396" i="3"/>
  <c r="M44" i="1"/>
  <c r="M64" i="1"/>
  <c r="M12" i="1" s="1"/>
  <c r="M4" i="1" s="1"/>
  <c r="AI349" i="3"/>
  <c r="AI188" i="3" s="1"/>
  <c r="M76" i="1"/>
  <c r="M47" i="1"/>
  <c r="M31" i="1"/>
  <c r="AI157" i="3"/>
  <c r="AI11" i="3" s="1"/>
  <c r="AI259" i="3"/>
  <c r="AI272" i="3" l="1"/>
  <c r="AI271" i="3"/>
  <c r="M46" i="1"/>
  <c r="M80" i="1"/>
  <c r="M5" i="1" s="1"/>
  <c r="M96" i="1"/>
  <c r="AI93" i="12"/>
  <c r="AI126" i="12"/>
  <c r="AI350" i="3"/>
  <c r="AI177" i="3"/>
  <c r="AI278" i="3"/>
  <c r="AI261" i="3"/>
  <c r="BE384" i="3"/>
  <c r="BE395" i="3" s="1"/>
  <c r="M6" i="1"/>
  <c r="M7" i="1" s="1"/>
  <c r="M13" i="1"/>
  <c r="BF387" i="3"/>
  <c r="BF390" i="3"/>
  <c r="BF393" i="3"/>
  <c r="BF385" i="3"/>
  <c r="BF388" i="3"/>
  <c r="BF391" i="3"/>
  <c r="BF392" i="3"/>
  <c r="BF389" i="3"/>
  <c r="BF386" i="3"/>
  <c r="BF394" i="3"/>
  <c r="S29" i="6"/>
  <c r="A30" i="6"/>
  <c r="M48" i="1"/>
  <c r="M11" i="1" s="1"/>
  <c r="M28" i="1"/>
  <c r="M32" i="1" s="1"/>
  <c r="M3" i="1" s="1"/>
  <c r="AI318" i="3"/>
  <c r="AI277" i="3"/>
  <c r="BF384" i="3" l="1"/>
  <c r="BF395" i="3" s="1"/>
  <c r="AI269" i="3"/>
  <c r="AI189" i="3"/>
  <c r="A31" i="6"/>
  <c r="S30" i="6"/>
  <c r="AJ190" i="3" l="1"/>
  <c r="A32" i="6"/>
  <c r="S31" i="6"/>
  <c r="AI273" i="3"/>
  <c r="AI275" i="3"/>
  <c r="AI279" i="3" s="1"/>
  <c r="S32" i="6" l="1"/>
  <c r="A33" i="6"/>
  <c r="AJ115" i="3"/>
  <c r="AJ117" i="3"/>
  <c r="AJ120" i="3"/>
  <c r="AJ113" i="3"/>
  <c r="AJ114" i="3"/>
  <c r="AJ122" i="3"/>
  <c r="AJ118" i="3"/>
  <c r="AJ123" i="3"/>
  <c r="AJ121" i="3"/>
  <c r="AJ119" i="3"/>
  <c r="AJ124" i="3"/>
  <c r="AJ116" i="3"/>
  <c r="AJ133" i="3" l="1"/>
  <c r="AJ149" i="3"/>
  <c r="AJ310" i="3" s="1"/>
  <c r="AJ132" i="3"/>
  <c r="AJ148" i="3" s="1"/>
  <c r="AJ309" i="3" s="1"/>
  <c r="AJ125" i="3"/>
  <c r="AJ129" i="3"/>
  <c r="AJ135" i="3"/>
  <c r="AJ151" i="3"/>
  <c r="AJ312" i="3" s="1"/>
  <c r="AJ137" i="3"/>
  <c r="AJ134" i="3"/>
  <c r="AJ150" i="3" s="1"/>
  <c r="AJ311" i="3" s="1"/>
  <c r="AJ136" i="3"/>
  <c r="AJ152" i="3" s="1"/>
  <c r="AJ313" i="3" s="1"/>
  <c r="S33" i="6"/>
  <c r="A34" i="6"/>
  <c r="AJ140" i="3"/>
  <c r="AJ156" i="3" s="1"/>
  <c r="AJ317" i="3" s="1"/>
  <c r="AJ139" i="3"/>
  <c r="AJ138" i="3"/>
  <c r="AJ130" i="3"/>
  <c r="AJ131" i="3"/>
  <c r="AJ147" i="3" s="1"/>
  <c r="AJ308" i="3" s="1"/>
  <c r="AJ27" i="12" l="1"/>
  <c r="AJ91" i="12" s="1"/>
  <c r="AJ136" i="12" s="1"/>
  <c r="AJ300" i="3"/>
  <c r="AJ155" i="3"/>
  <c r="AJ316" i="3" s="1"/>
  <c r="AJ26" i="12"/>
  <c r="AJ90" i="12" s="1"/>
  <c r="AJ135" i="12" s="1"/>
  <c r="AJ299" i="3"/>
  <c r="AJ28" i="12"/>
  <c r="AJ92" i="12" s="1"/>
  <c r="AJ137" i="12" s="1"/>
  <c r="AJ301" i="3"/>
  <c r="AJ349" i="3" s="1"/>
  <c r="AJ188" i="3" s="1"/>
  <c r="AJ17" i="12"/>
  <c r="AJ290" i="3"/>
  <c r="AJ141" i="3"/>
  <c r="AJ22" i="12"/>
  <c r="AJ86" i="12" s="1"/>
  <c r="AJ131" i="12" s="1"/>
  <c r="AJ295" i="3"/>
  <c r="AJ343" i="3" s="1"/>
  <c r="AJ182" i="3" s="1"/>
  <c r="AJ298" i="3"/>
  <c r="AJ25" i="12"/>
  <c r="AJ89" i="12" s="1"/>
  <c r="AJ134" i="12" s="1"/>
  <c r="AJ145" i="3"/>
  <c r="AJ257" i="3" s="1"/>
  <c r="AJ19" i="12"/>
  <c r="AJ83" i="12" s="1"/>
  <c r="AJ128" i="12" s="1"/>
  <c r="AJ292" i="3"/>
  <c r="AJ340" i="3" s="1"/>
  <c r="AJ179" i="3" s="1"/>
  <c r="AJ18" i="12"/>
  <c r="AJ82" i="12" s="1"/>
  <c r="AJ127" i="12" s="1"/>
  <c r="AJ291" i="3"/>
  <c r="S34" i="6"/>
  <c r="A35" i="6"/>
  <c r="AJ297" i="3"/>
  <c r="AJ345" i="3" s="1"/>
  <c r="AJ184" i="3" s="1"/>
  <c r="AJ24" i="12"/>
  <c r="AJ88" i="12" s="1"/>
  <c r="AJ133" i="12" s="1"/>
  <c r="AJ153" i="3"/>
  <c r="AJ314" i="3" s="1"/>
  <c r="AJ23" i="12"/>
  <c r="AJ87" i="12" s="1"/>
  <c r="AJ132" i="12" s="1"/>
  <c r="AJ296" i="3"/>
  <c r="AJ344" i="3" s="1"/>
  <c r="AJ183" i="3" s="1"/>
  <c r="AJ20" i="12"/>
  <c r="AJ84" i="12" s="1"/>
  <c r="AJ129" i="12" s="1"/>
  <c r="AJ258" i="3"/>
  <c r="AJ293" i="3"/>
  <c r="AJ341" i="3" s="1"/>
  <c r="AJ180" i="3" s="1"/>
  <c r="AJ146" i="3"/>
  <c r="AJ307" i="3" s="1"/>
  <c r="AJ154" i="3"/>
  <c r="AJ21" i="12"/>
  <c r="AJ85" i="12" s="1"/>
  <c r="AJ130" i="12" s="1"/>
  <c r="AJ294" i="3"/>
  <c r="AJ342" i="3" s="1"/>
  <c r="AJ181" i="3" s="1"/>
  <c r="AJ346" i="3" l="1"/>
  <c r="AJ185" i="3" s="1"/>
  <c r="AJ271" i="3" s="1"/>
  <c r="AJ259" i="3"/>
  <c r="AJ339" i="3"/>
  <c r="AJ178" i="3" s="1"/>
  <c r="S35" i="6"/>
  <c r="A36" i="6"/>
  <c r="AJ157" i="3"/>
  <c r="AJ11" i="3" s="1"/>
  <c r="AJ306" i="3"/>
  <c r="AJ338" i="3" s="1"/>
  <c r="AJ302" i="3"/>
  <c r="AJ315" i="3"/>
  <c r="AJ347" i="3" s="1"/>
  <c r="AJ186" i="3" s="1"/>
  <c r="AJ260" i="3"/>
  <c r="AJ348" i="3"/>
  <c r="AJ187" i="3" s="1"/>
  <c r="AJ270" i="3"/>
  <c r="AJ276" i="3" s="1"/>
  <c r="AJ29" i="12"/>
  <c r="AJ5" i="12" s="1"/>
  <c r="AJ7" i="12" s="1"/>
  <c r="AJ10" i="12" s="1"/>
  <c r="AJ8" i="12" s="1"/>
  <c r="AJ81" i="12"/>
  <c r="AJ277" i="3" l="1"/>
  <c r="AJ272" i="3"/>
  <c r="AJ278" i="3" s="1"/>
  <c r="AJ93" i="12"/>
  <c r="AJ126" i="12"/>
  <c r="A37" i="6"/>
  <c r="S36" i="6"/>
  <c r="AJ350" i="3"/>
  <c r="AJ177" i="3"/>
  <c r="AJ261" i="3"/>
  <c r="AJ318" i="3"/>
  <c r="A38" i="6" l="1"/>
  <c r="S37" i="6"/>
  <c r="AJ269" i="3"/>
  <c r="AJ189" i="3"/>
  <c r="AK190" i="3" l="1"/>
  <c r="AJ273" i="3"/>
  <c r="AJ275" i="3"/>
  <c r="AJ279" i="3" s="1"/>
  <c r="A39" i="6"/>
  <c r="S38" i="6"/>
  <c r="S39" i="6" l="1"/>
  <c r="A40" i="6"/>
  <c r="AK117" i="3"/>
  <c r="AK121" i="3"/>
  <c r="AK115" i="3"/>
  <c r="AK113" i="3"/>
  <c r="AK119" i="3"/>
  <c r="AK120" i="3"/>
  <c r="AK122" i="3"/>
  <c r="AK116" i="3"/>
  <c r="AK124" i="3"/>
  <c r="AK114" i="3"/>
  <c r="AK123" i="3"/>
  <c r="AK118" i="3"/>
  <c r="AK134" i="3" l="1"/>
  <c r="AK150" i="3"/>
  <c r="AK311" i="3" s="1"/>
  <c r="AK132" i="3"/>
  <c r="AK148" i="3" s="1"/>
  <c r="AK309" i="3" s="1"/>
  <c r="AK137" i="3"/>
  <c r="AK139" i="3"/>
  <c r="AK130" i="3"/>
  <c r="AK146" i="3"/>
  <c r="AK307" i="3" s="1"/>
  <c r="AK138" i="3"/>
  <c r="AK136" i="3"/>
  <c r="AK152" i="3" s="1"/>
  <c r="AK313" i="3" s="1"/>
  <c r="AK135" i="3"/>
  <c r="AK151" i="3" s="1"/>
  <c r="AK312" i="3" s="1"/>
  <c r="AK133" i="3"/>
  <c r="AK131" i="3"/>
  <c r="AK147" i="3" s="1"/>
  <c r="AK308" i="3" s="1"/>
  <c r="S40" i="6"/>
  <c r="A41" i="6"/>
  <c r="AK140" i="3"/>
  <c r="AK129" i="3"/>
  <c r="AK145" i="3" s="1"/>
  <c r="AK125" i="3"/>
  <c r="AK21" i="12" l="1"/>
  <c r="AK85" i="12" s="1"/>
  <c r="AK130" i="12" s="1"/>
  <c r="AK294" i="3"/>
  <c r="S41" i="6"/>
  <c r="A42" i="6"/>
  <c r="AK149" i="3"/>
  <c r="AK310" i="3" s="1"/>
  <c r="AK26" i="12"/>
  <c r="AK90" i="12" s="1"/>
  <c r="AK135" i="12" s="1"/>
  <c r="AK299" i="3"/>
  <c r="AK27" i="12"/>
  <c r="AK91" i="12" s="1"/>
  <c r="AK136" i="12" s="1"/>
  <c r="AK300" i="3"/>
  <c r="AK24" i="12"/>
  <c r="AK88" i="12" s="1"/>
  <c r="AK133" i="12" s="1"/>
  <c r="AK297" i="3"/>
  <c r="AK345" i="3" s="1"/>
  <c r="AK184" i="3" s="1"/>
  <c r="AK154" i="3"/>
  <c r="AK155" i="3"/>
  <c r="AK316" i="3" s="1"/>
  <c r="AK28" i="12"/>
  <c r="AK92" i="12" s="1"/>
  <c r="AK137" i="12" s="1"/>
  <c r="AK301" i="3"/>
  <c r="AK349" i="3" s="1"/>
  <c r="AK188" i="3" s="1"/>
  <c r="AK19" i="12"/>
  <c r="AK83" i="12" s="1"/>
  <c r="AK128" i="12" s="1"/>
  <c r="AK292" i="3"/>
  <c r="AK340" i="3" s="1"/>
  <c r="AK179" i="3" s="1"/>
  <c r="AK23" i="12"/>
  <c r="AK87" i="12" s="1"/>
  <c r="AK132" i="12" s="1"/>
  <c r="AK296" i="3"/>
  <c r="AK344" i="3" s="1"/>
  <c r="AK183" i="3" s="1"/>
  <c r="AK259" i="3"/>
  <c r="AK18" i="12"/>
  <c r="AK82" i="12" s="1"/>
  <c r="AK127" i="12" s="1"/>
  <c r="AK291" i="3"/>
  <c r="AK339" i="3" s="1"/>
  <c r="AK178" i="3" s="1"/>
  <c r="AK25" i="12"/>
  <c r="AK89" i="12" s="1"/>
  <c r="AK134" i="12" s="1"/>
  <c r="AK298" i="3"/>
  <c r="AK153" i="3"/>
  <c r="AK314" i="3" s="1"/>
  <c r="AK306" i="3"/>
  <c r="AK20" i="12"/>
  <c r="AK84" i="12" s="1"/>
  <c r="AK129" i="12" s="1"/>
  <c r="AK293" i="3"/>
  <c r="AK341" i="3" s="1"/>
  <c r="AK180" i="3" s="1"/>
  <c r="AK17" i="12"/>
  <c r="AK290" i="3"/>
  <c r="AK257" i="3"/>
  <c r="AK141" i="3"/>
  <c r="AK156" i="3"/>
  <c r="AK317" i="3" s="1"/>
  <c r="AK22" i="12"/>
  <c r="AK86" i="12" s="1"/>
  <c r="AK131" i="12" s="1"/>
  <c r="AK295" i="3"/>
  <c r="AK343" i="3" s="1"/>
  <c r="AK182" i="3" s="1"/>
  <c r="AK258" i="3" l="1"/>
  <c r="AK348" i="3"/>
  <c r="AK187" i="3" s="1"/>
  <c r="S42" i="6"/>
  <c r="A43" i="6"/>
  <c r="AK315" i="3"/>
  <c r="AK347" i="3" s="1"/>
  <c r="AK186" i="3" s="1"/>
  <c r="AK260" i="3"/>
  <c r="AK318" i="3"/>
  <c r="AK346" i="3"/>
  <c r="AK185" i="3" s="1"/>
  <c r="AK271" i="3" s="1"/>
  <c r="AK277" i="3" s="1"/>
  <c r="AK342" i="3"/>
  <c r="AK181" i="3" s="1"/>
  <c r="AK270" i="3" s="1"/>
  <c r="AK276" i="3" s="1"/>
  <c r="AK302" i="3"/>
  <c r="AK338" i="3"/>
  <c r="AK29" i="12"/>
  <c r="AK5" i="12" s="1"/>
  <c r="AK7" i="12" s="1"/>
  <c r="AK10" i="12" s="1"/>
  <c r="AK8" i="12" s="1"/>
  <c r="AK81" i="12"/>
  <c r="AK157" i="3"/>
  <c r="AK11" i="3" s="1"/>
  <c r="AK272" i="3" l="1"/>
  <c r="AK350" i="3"/>
  <c r="AK177" i="3"/>
  <c r="AK278" i="3"/>
  <c r="AK93" i="12"/>
  <c r="AK126" i="12"/>
  <c r="AK261" i="3"/>
  <c r="S43" i="6"/>
  <c r="A44" i="6"/>
  <c r="A45" i="6" l="1"/>
  <c r="S44" i="6"/>
  <c r="AK269" i="3"/>
  <c r="AK189" i="3"/>
  <c r="AL190" i="3" l="1"/>
  <c r="AK273" i="3"/>
  <c r="AK275" i="3"/>
  <c r="AK279" i="3" s="1"/>
  <c r="A46" i="6"/>
  <c r="S45" i="6"/>
  <c r="S46" i="6" l="1"/>
  <c r="A47" i="6"/>
  <c r="AL117" i="3"/>
  <c r="AL113" i="3"/>
  <c r="AL120" i="3"/>
  <c r="AL115" i="3"/>
  <c r="AL119" i="3"/>
  <c r="AL116" i="3"/>
  <c r="AL121" i="3"/>
  <c r="AL123" i="3"/>
  <c r="AL118" i="3"/>
  <c r="AL114" i="3"/>
  <c r="AL122" i="3"/>
  <c r="AL124" i="3"/>
  <c r="AL140" i="3" l="1"/>
  <c r="AL156" i="3" s="1"/>
  <c r="AL317" i="3" s="1"/>
  <c r="AL135" i="3"/>
  <c r="AL130" i="3"/>
  <c r="AL146" i="3" s="1"/>
  <c r="AL307" i="3" s="1"/>
  <c r="AL131" i="3"/>
  <c r="AL139" i="3"/>
  <c r="AL155" i="3"/>
  <c r="AL316" i="3" s="1"/>
  <c r="AL136" i="3"/>
  <c r="AL134" i="3"/>
  <c r="AL150" i="3"/>
  <c r="AL311" i="3" s="1"/>
  <c r="AL125" i="3"/>
  <c r="AL129" i="3"/>
  <c r="AL145" i="3" s="1"/>
  <c r="AL138" i="3"/>
  <c r="AL154" i="3" s="1"/>
  <c r="AL137" i="3"/>
  <c r="AL153" i="3" s="1"/>
  <c r="AL314" i="3" s="1"/>
  <c r="AL133" i="3"/>
  <c r="AL149" i="3" s="1"/>
  <c r="AL310" i="3" s="1"/>
  <c r="AL132" i="3"/>
  <c r="AL148" i="3"/>
  <c r="AL309" i="3" s="1"/>
  <c r="S47" i="6"/>
  <c r="A48" i="6"/>
  <c r="AL306" i="3" l="1"/>
  <c r="AL22" i="12"/>
  <c r="AL86" i="12" s="1"/>
  <c r="AL131" i="12" s="1"/>
  <c r="AL295" i="3"/>
  <c r="AL343" i="3" s="1"/>
  <c r="AL182" i="3" s="1"/>
  <c r="AL297" i="3"/>
  <c r="AL24" i="12"/>
  <c r="AL88" i="12" s="1"/>
  <c r="AL133" i="12" s="1"/>
  <c r="AL152" i="3"/>
  <c r="AL313" i="3" s="1"/>
  <c r="AL19" i="12"/>
  <c r="AL83" i="12" s="1"/>
  <c r="AL128" i="12" s="1"/>
  <c r="AL292" i="3"/>
  <c r="AL147" i="3"/>
  <c r="AL308" i="3" s="1"/>
  <c r="AL298" i="3"/>
  <c r="AL346" i="3" s="1"/>
  <c r="AL185" i="3" s="1"/>
  <c r="AL25" i="12"/>
  <c r="AL89" i="12" s="1"/>
  <c r="AL134" i="12" s="1"/>
  <c r="S48" i="6"/>
  <c r="A49" i="6"/>
  <c r="AL18" i="12"/>
  <c r="AL82" i="12" s="1"/>
  <c r="AL127" i="12" s="1"/>
  <c r="AL291" i="3"/>
  <c r="AL339" i="3" s="1"/>
  <c r="AL178" i="3" s="1"/>
  <c r="AL23" i="12"/>
  <c r="AL87" i="12" s="1"/>
  <c r="AL132" i="12" s="1"/>
  <c r="AL296" i="3"/>
  <c r="AL315" i="3"/>
  <c r="AL260" i="3"/>
  <c r="AL151" i="3"/>
  <c r="AL312" i="3" s="1"/>
  <c r="AL26" i="12"/>
  <c r="AL90" i="12" s="1"/>
  <c r="AL135" i="12" s="1"/>
  <c r="AL299" i="3"/>
  <c r="AL27" i="12"/>
  <c r="AL91" i="12" s="1"/>
  <c r="AL136" i="12" s="1"/>
  <c r="AL300" i="3"/>
  <c r="AL348" i="3" s="1"/>
  <c r="AL187" i="3" s="1"/>
  <c r="AL20" i="12"/>
  <c r="AL84" i="12" s="1"/>
  <c r="AL129" i="12" s="1"/>
  <c r="AL258" i="3"/>
  <c r="AL293" i="3"/>
  <c r="AL341" i="3" s="1"/>
  <c r="AL180" i="3" s="1"/>
  <c r="AL17" i="12"/>
  <c r="AL290" i="3"/>
  <c r="AL141" i="3"/>
  <c r="AL21" i="12"/>
  <c r="AL85" i="12" s="1"/>
  <c r="AL130" i="12" s="1"/>
  <c r="AL294" i="3"/>
  <c r="AL342" i="3" s="1"/>
  <c r="AL181" i="3" s="1"/>
  <c r="AL28" i="12"/>
  <c r="AL92" i="12" s="1"/>
  <c r="AL137" i="12" s="1"/>
  <c r="AL301" i="3"/>
  <c r="AL349" i="3" s="1"/>
  <c r="AL188" i="3" s="1"/>
  <c r="AL344" i="3" l="1"/>
  <c r="AL183" i="3" s="1"/>
  <c r="S49" i="6"/>
  <c r="A50" i="6"/>
  <c r="AL259" i="3"/>
  <c r="AL257" i="3"/>
  <c r="AL340" i="3"/>
  <c r="AL179" i="3" s="1"/>
  <c r="AL270" i="3"/>
  <c r="AL276" i="3" s="1"/>
  <c r="AL302" i="3"/>
  <c r="AL338" i="3"/>
  <c r="AL345" i="3"/>
  <c r="AL184" i="3" s="1"/>
  <c r="AL29" i="12"/>
  <c r="AL5" i="12" s="1"/>
  <c r="AL7" i="12" s="1"/>
  <c r="AL10" i="12" s="1"/>
  <c r="AL8" i="12" s="1"/>
  <c r="AL81" i="12"/>
  <c r="AL347" i="3"/>
  <c r="AL186" i="3" s="1"/>
  <c r="AL272" i="3" s="1"/>
  <c r="AL278" i="3" s="1"/>
  <c r="AL157" i="3"/>
  <c r="AL11" i="3" s="1"/>
  <c r="AL318" i="3"/>
  <c r="AL93" i="12" l="1"/>
  <c r="AL126" i="12"/>
  <c r="AL350" i="3"/>
  <c r="AL177" i="3"/>
  <c r="AL261" i="3"/>
  <c r="A51" i="6"/>
  <c r="S50" i="6"/>
  <c r="AL271" i="3"/>
  <c r="AL277" i="3" s="1"/>
  <c r="A52" i="6" l="1"/>
  <c r="S51" i="6"/>
  <c r="AL269" i="3"/>
  <c r="AL189" i="3"/>
  <c r="AL273" i="3" l="1"/>
  <c r="AL275" i="3"/>
  <c r="AL279" i="3" s="1"/>
  <c r="AM190" i="3"/>
  <c r="A53" i="6"/>
  <c r="S52" i="6"/>
  <c r="A54" i="6" l="1"/>
  <c r="S53" i="6"/>
  <c r="AM120" i="3"/>
  <c r="AM117" i="3"/>
  <c r="AM115" i="3"/>
  <c r="AM119" i="3"/>
  <c r="AM121" i="3"/>
  <c r="AM123" i="3"/>
  <c r="AM113" i="3"/>
  <c r="AM118" i="3"/>
  <c r="AM116" i="3"/>
  <c r="AM122" i="3"/>
  <c r="AM114" i="3"/>
  <c r="AM124" i="3"/>
  <c r="AM139" i="3" l="1"/>
  <c r="AM155" i="3"/>
  <c r="AM316" i="3" s="1"/>
  <c r="AM130" i="3"/>
  <c r="AM132" i="3"/>
  <c r="AM129" i="3"/>
  <c r="AM125" i="3"/>
  <c r="AM145" i="3"/>
  <c r="AM137" i="3"/>
  <c r="AM153" i="3" s="1"/>
  <c r="AM314" i="3" s="1"/>
  <c r="AM133" i="3"/>
  <c r="AM136" i="3"/>
  <c r="AM152" i="3" s="1"/>
  <c r="AM313" i="3" s="1"/>
  <c r="AM140" i="3"/>
  <c r="AM156" i="3"/>
  <c r="AM317" i="3" s="1"/>
  <c r="AM135" i="3"/>
  <c r="AM151" i="3" s="1"/>
  <c r="AM312" i="3" s="1"/>
  <c r="AM138" i="3"/>
  <c r="AM154" i="3" s="1"/>
  <c r="AM134" i="3"/>
  <c r="AM131" i="3"/>
  <c r="AM21" i="12" l="1"/>
  <c r="AM85" i="12" s="1"/>
  <c r="AM130" i="12" s="1"/>
  <c r="AM294" i="3"/>
  <c r="AM149" i="3"/>
  <c r="AM310" i="3" s="1"/>
  <c r="AM25" i="12"/>
  <c r="AM89" i="12" s="1"/>
  <c r="AM134" i="12" s="1"/>
  <c r="AM298" i="3"/>
  <c r="AM346" i="3" s="1"/>
  <c r="AM185" i="3" s="1"/>
  <c r="AM22" i="12"/>
  <c r="AM86" i="12" s="1"/>
  <c r="AM131" i="12" s="1"/>
  <c r="AM295" i="3"/>
  <c r="AM28" i="12"/>
  <c r="AM92" i="12" s="1"/>
  <c r="AM137" i="12" s="1"/>
  <c r="AM301" i="3"/>
  <c r="AM349" i="3" s="1"/>
  <c r="AM188" i="3" s="1"/>
  <c r="AM17" i="12"/>
  <c r="AM290" i="3"/>
  <c r="AM141" i="3"/>
  <c r="AM315" i="3"/>
  <c r="AM260" i="3"/>
  <c r="AM20" i="12"/>
  <c r="AM84" i="12" s="1"/>
  <c r="AM129" i="12" s="1"/>
  <c r="AM293" i="3"/>
  <c r="AM148" i="3"/>
  <c r="AM309" i="3" s="1"/>
  <c r="AM18" i="12"/>
  <c r="AM82" i="12" s="1"/>
  <c r="AM127" i="12" s="1"/>
  <c r="AM291" i="3"/>
  <c r="AM26" i="12"/>
  <c r="AM90" i="12" s="1"/>
  <c r="AM135" i="12" s="1"/>
  <c r="AM299" i="3"/>
  <c r="AM306" i="3"/>
  <c r="AM19" i="12"/>
  <c r="AM83" i="12" s="1"/>
  <c r="AM128" i="12" s="1"/>
  <c r="AM292" i="3"/>
  <c r="AM146" i="3"/>
  <c r="AM307" i="3" s="1"/>
  <c r="AM297" i="3"/>
  <c r="AM345" i="3" s="1"/>
  <c r="AM184" i="3" s="1"/>
  <c r="AM24" i="12"/>
  <c r="AM88" i="12" s="1"/>
  <c r="AM133" i="12" s="1"/>
  <c r="AM147" i="3"/>
  <c r="AM308" i="3" s="1"/>
  <c r="AM23" i="12"/>
  <c r="AM87" i="12" s="1"/>
  <c r="AM132" i="12" s="1"/>
  <c r="AM296" i="3"/>
  <c r="AM344" i="3" s="1"/>
  <c r="AM183" i="3" s="1"/>
  <c r="AM259" i="3"/>
  <c r="AM150" i="3"/>
  <c r="AM311" i="3" s="1"/>
  <c r="AM27" i="12"/>
  <c r="AM91" i="12" s="1"/>
  <c r="AM136" i="12" s="1"/>
  <c r="AM300" i="3"/>
  <c r="AM348" i="3" s="1"/>
  <c r="AM187" i="3" s="1"/>
  <c r="AM339" i="3" l="1"/>
  <c r="AM178" i="3" s="1"/>
  <c r="AM271" i="3"/>
  <c r="AM277" i="3" s="1"/>
  <c r="AM257" i="3"/>
  <c r="AM258" i="3"/>
  <c r="AM343" i="3"/>
  <c r="AM182" i="3" s="1"/>
  <c r="AM340" i="3"/>
  <c r="AM179" i="3" s="1"/>
  <c r="AM341" i="3"/>
  <c r="AM180" i="3" s="1"/>
  <c r="AM302" i="3"/>
  <c r="AM338" i="3"/>
  <c r="AM157" i="3"/>
  <c r="AM11" i="3" s="1"/>
  <c r="AM29" i="12"/>
  <c r="AM5" i="12" s="1"/>
  <c r="AM7" i="12" s="1"/>
  <c r="AM10" i="12" s="1"/>
  <c r="AM8" i="12" s="1"/>
  <c r="AM81" i="12"/>
  <c r="AM318" i="3"/>
  <c r="AM342" i="3"/>
  <c r="AM181" i="3" s="1"/>
  <c r="AM347" i="3"/>
  <c r="AM186" i="3" s="1"/>
  <c r="AM272" i="3" s="1"/>
  <c r="AM278" i="3" s="1"/>
  <c r="AM261" i="3" l="1"/>
  <c r="AM93" i="12"/>
  <c r="AM126" i="12"/>
  <c r="AM350" i="3"/>
  <c r="AM177" i="3"/>
  <c r="AM270" i="3"/>
  <c r="AM276" i="3" s="1"/>
  <c r="AM189" i="3" l="1"/>
  <c r="AM269" i="3"/>
  <c r="AM273" i="3" l="1"/>
  <c r="AM275" i="3"/>
  <c r="AM279" i="3" s="1"/>
  <c r="AN190" i="3"/>
  <c r="AN117" i="3" l="1"/>
  <c r="AN120" i="3"/>
  <c r="AN121" i="3"/>
  <c r="AN113" i="3"/>
  <c r="AN115" i="3"/>
  <c r="AN119" i="3"/>
  <c r="AN116" i="3"/>
  <c r="AN118" i="3"/>
  <c r="AN123" i="3"/>
  <c r="AN122" i="3"/>
  <c r="AN114" i="3"/>
  <c r="AN124" i="3"/>
  <c r="AN132" i="3" l="1"/>
  <c r="AN138" i="3"/>
  <c r="AN135" i="3"/>
  <c r="AN130" i="3"/>
  <c r="AN146" i="3" s="1"/>
  <c r="AN307" i="3" s="1"/>
  <c r="AN131" i="3"/>
  <c r="AN147" i="3"/>
  <c r="AN308" i="3" s="1"/>
  <c r="AN140" i="3"/>
  <c r="AN156" i="3" s="1"/>
  <c r="AN317" i="3" s="1"/>
  <c r="AN139" i="3"/>
  <c r="AN155" i="3" s="1"/>
  <c r="AN316" i="3" s="1"/>
  <c r="AN134" i="3"/>
  <c r="AN150" i="3"/>
  <c r="AN311" i="3" s="1"/>
  <c r="AN129" i="3"/>
  <c r="AN125" i="3"/>
  <c r="AN145" i="3"/>
  <c r="AN137" i="3"/>
  <c r="AN136" i="3"/>
  <c r="AN133" i="3"/>
  <c r="AN298" i="3" l="1"/>
  <c r="AN25" i="12"/>
  <c r="AN89" i="12" s="1"/>
  <c r="AN134" i="12" s="1"/>
  <c r="AN28" i="12"/>
  <c r="AN92" i="12" s="1"/>
  <c r="AN137" i="12" s="1"/>
  <c r="AN301" i="3"/>
  <c r="AN349" i="3" s="1"/>
  <c r="AN188" i="3" s="1"/>
  <c r="AN26" i="12"/>
  <c r="AN90" i="12" s="1"/>
  <c r="AN135" i="12" s="1"/>
  <c r="AN299" i="3"/>
  <c r="AN153" i="3"/>
  <c r="AN314" i="3" s="1"/>
  <c r="AN17" i="12"/>
  <c r="AN290" i="3"/>
  <c r="AN257" i="3"/>
  <c r="AN141" i="3"/>
  <c r="AN27" i="12"/>
  <c r="AN91" i="12" s="1"/>
  <c r="AN136" i="12" s="1"/>
  <c r="AN300" i="3"/>
  <c r="AN348" i="3" s="1"/>
  <c r="AN187" i="3" s="1"/>
  <c r="AN19" i="12"/>
  <c r="AN83" i="12" s="1"/>
  <c r="AN128" i="12" s="1"/>
  <c r="AN292" i="3"/>
  <c r="AN340" i="3" s="1"/>
  <c r="AN179" i="3" s="1"/>
  <c r="AN21" i="12"/>
  <c r="AN85" i="12" s="1"/>
  <c r="AN130" i="12" s="1"/>
  <c r="AN294" i="3"/>
  <c r="AN154" i="3"/>
  <c r="AN297" i="3"/>
  <c r="AN24" i="12"/>
  <c r="AN88" i="12" s="1"/>
  <c r="AN133" i="12" s="1"/>
  <c r="AN306" i="3"/>
  <c r="AN18" i="12"/>
  <c r="AN82" i="12" s="1"/>
  <c r="AN127" i="12" s="1"/>
  <c r="AN291" i="3"/>
  <c r="AN339" i="3" s="1"/>
  <c r="AN178" i="3" s="1"/>
  <c r="AN149" i="3"/>
  <c r="AN310" i="3" s="1"/>
  <c r="AN20" i="12"/>
  <c r="AN84" i="12" s="1"/>
  <c r="AN129" i="12" s="1"/>
  <c r="AN293" i="3"/>
  <c r="AN22" i="12"/>
  <c r="AN86" i="12" s="1"/>
  <c r="AN131" i="12" s="1"/>
  <c r="AN295" i="3"/>
  <c r="AN343" i="3" s="1"/>
  <c r="AN182" i="3" s="1"/>
  <c r="AN23" i="12"/>
  <c r="AN87" i="12" s="1"/>
  <c r="AN132" i="12" s="1"/>
  <c r="AN296" i="3"/>
  <c r="AN151" i="3"/>
  <c r="AN312" i="3" s="1"/>
  <c r="AN152" i="3"/>
  <c r="AN313" i="3" s="1"/>
  <c r="AN148" i="3"/>
  <c r="AN309" i="3" s="1"/>
  <c r="AN259" i="3" l="1"/>
  <c r="AN345" i="3"/>
  <c r="AN184" i="3" s="1"/>
  <c r="AN157" i="3"/>
  <c r="AN342" i="3"/>
  <c r="AN181" i="3" s="1"/>
  <c r="AN29" i="12"/>
  <c r="AN5" i="12" s="1"/>
  <c r="AN7" i="12" s="1"/>
  <c r="AN10" i="12" s="1"/>
  <c r="AN8" i="12" s="1"/>
  <c r="AN81" i="12"/>
  <c r="AN344" i="3"/>
  <c r="AN183" i="3" s="1"/>
  <c r="AN315" i="3"/>
  <c r="AN347" i="3" s="1"/>
  <c r="AN186" i="3" s="1"/>
  <c r="AN272" i="3" s="1"/>
  <c r="AN260" i="3"/>
  <c r="AN302" i="3"/>
  <c r="AN338" i="3"/>
  <c r="AN341" i="3"/>
  <c r="AN180" i="3" s="1"/>
  <c r="AN270" i="3" s="1"/>
  <c r="AN11" i="3"/>
  <c r="AN258" i="3"/>
  <c r="AN276" i="3" s="1"/>
  <c r="AN346" i="3"/>
  <c r="AN185" i="3" s="1"/>
  <c r="AN318" i="3" l="1"/>
  <c r="AN278" i="3"/>
  <c r="AN350" i="3"/>
  <c r="AN177" i="3"/>
  <c r="AN271" i="3"/>
  <c r="AN277" i="3" s="1"/>
  <c r="AN261" i="3"/>
  <c r="AN93" i="12"/>
  <c r="AN126" i="12"/>
  <c r="AN269" i="3" l="1"/>
  <c r="AN189" i="3"/>
  <c r="AO190" i="3" l="1"/>
  <c r="AN273" i="3"/>
  <c r="AN275" i="3"/>
  <c r="AN279" i="3" s="1"/>
  <c r="AO115" i="3" l="1"/>
  <c r="AO123" i="3"/>
  <c r="AO119" i="3"/>
  <c r="AO120" i="3"/>
  <c r="AO113" i="3"/>
  <c r="AO121" i="3"/>
  <c r="AO117" i="3"/>
  <c r="AO116" i="3"/>
  <c r="AO118" i="3"/>
  <c r="AO122" i="3"/>
  <c r="AO124" i="3"/>
  <c r="AO114" i="3"/>
  <c r="AO129" i="3" l="1"/>
  <c r="AO125" i="3"/>
  <c r="AO145" i="3"/>
  <c r="AO134" i="3"/>
  <c r="AO150" i="3"/>
  <c r="AO311" i="3" s="1"/>
  <c r="AO137" i="3"/>
  <c r="AO136" i="3"/>
  <c r="AO135" i="3"/>
  <c r="AO151" i="3" s="1"/>
  <c r="AO312" i="3" s="1"/>
  <c r="AO130" i="3"/>
  <c r="AO138" i="3"/>
  <c r="AO133" i="3"/>
  <c r="AO149" i="3" s="1"/>
  <c r="AO310" i="3" s="1"/>
  <c r="AO139" i="3"/>
  <c r="AO155" i="3" s="1"/>
  <c r="AO316" i="3" s="1"/>
  <c r="AO140" i="3"/>
  <c r="AO156" i="3"/>
  <c r="AO317" i="3" s="1"/>
  <c r="AO132" i="3"/>
  <c r="AO148" i="3" s="1"/>
  <c r="AO309" i="3" s="1"/>
  <c r="AO131" i="3"/>
  <c r="AO18" i="12" l="1"/>
  <c r="AO82" i="12" s="1"/>
  <c r="AO127" i="12" s="1"/>
  <c r="AO291" i="3"/>
  <c r="AO21" i="12"/>
  <c r="AO85" i="12" s="1"/>
  <c r="AO130" i="12" s="1"/>
  <c r="AO294" i="3"/>
  <c r="AO342" i="3" s="1"/>
  <c r="AO181" i="3" s="1"/>
  <c r="AO26" i="12"/>
  <c r="AO90" i="12" s="1"/>
  <c r="AO135" i="12" s="1"/>
  <c r="AO299" i="3"/>
  <c r="AO24" i="12"/>
  <c r="AO88" i="12" s="1"/>
  <c r="AO133" i="12" s="1"/>
  <c r="AO297" i="3"/>
  <c r="AO345" i="3" s="1"/>
  <c r="AO184" i="3" s="1"/>
  <c r="AO25" i="12"/>
  <c r="AO89" i="12" s="1"/>
  <c r="AO134" i="12" s="1"/>
  <c r="AO298" i="3"/>
  <c r="AO19" i="12"/>
  <c r="AO83" i="12" s="1"/>
  <c r="AO128" i="12" s="1"/>
  <c r="AO292" i="3"/>
  <c r="AO306" i="3"/>
  <c r="AO27" i="12"/>
  <c r="AO91" i="12" s="1"/>
  <c r="AO136" i="12" s="1"/>
  <c r="AO300" i="3"/>
  <c r="AO348" i="3" s="1"/>
  <c r="AO187" i="3" s="1"/>
  <c r="AO154" i="3"/>
  <c r="AO146" i="3"/>
  <c r="AO307" i="3" s="1"/>
  <c r="AO153" i="3"/>
  <c r="AO314" i="3" s="1"/>
  <c r="AO147" i="3"/>
  <c r="AO308" i="3" s="1"/>
  <c r="AO28" i="12"/>
  <c r="AO92" i="12" s="1"/>
  <c r="AO137" i="12" s="1"/>
  <c r="AO301" i="3"/>
  <c r="AO349" i="3" s="1"/>
  <c r="AO188" i="3" s="1"/>
  <c r="AO23" i="12"/>
  <c r="AO87" i="12" s="1"/>
  <c r="AO132" i="12" s="1"/>
  <c r="AO296" i="3"/>
  <c r="AO344" i="3" s="1"/>
  <c r="AO183" i="3" s="1"/>
  <c r="AO152" i="3"/>
  <c r="AO313" i="3" s="1"/>
  <c r="AO22" i="12"/>
  <c r="AO86" i="12" s="1"/>
  <c r="AO131" i="12" s="1"/>
  <c r="AO295" i="3"/>
  <c r="AO343" i="3" s="1"/>
  <c r="AO182" i="3" s="1"/>
  <c r="AO20" i="12"/>
  <c r="AO84" i="12" s="1"/>
  <c r="AO129" i="12" s="1"/>
  <c r="AO293" i="3"/>
  <c r="AO341" i="3" s="1"/>
  <c r="AO180" i="3" s="1"/>
  <c r="AO258" i="3"/>
  <c r="AO17" i="12"/>
  <c r="AO290" i="3"/>
  <c r="AO141" i="3"/>
  <c r="AO340" i="3" l="1"/>
  <c r="AO179" i="3" s="1"/>
  <c r="AO270" i="3"/>
  <c r="AO276" i="3" s="1"/>
  <c r="AO315" i="3"/>
  <c r="AO260" i="3"/>
  <c r="AO346" i="3"/>
  <c r="AO185" i="3" s="1"/>
  <c r="AO302" i="3"/>
  <c r="AO338" i="3"/>
  <c r="AO29" i="12"/>
  <c r="AO5" i="12" s="1"/>
  <c r="AO7" i="12" s="1"/>
  <c r="AO10" i="12" s="1"/>
  <c r="AO8" i="12" s="1"/>
  <c r="AO81" i="12"/>
  <c r="AO157" i="3"/>
  <c r="AO11" i="3" s="1"/>
  <c r="AO318" i="3"/>
  <c r="AO257" i="3"/>
  <c r="AO347" i="3"/>
  <c r="AO186" i="3" s="1"/>
  <c r="AO272" i="3" s="1"/>
  <c r="AO271" i="3"/>
  <c r="AO259" i="3"/>
  <c r="AO339" i="3"/>
  <c r="AO178" i="3" s="1"/>
  <c r="AO277" i="3" l="1"/>
  <c r="AO261" i="3"/>
  <c r="AO350" i="3"/>
  <c r="AO177" i="3"/>
  <c r="AO278" i="3"/>
  <c r="AO93" i="12"/>
  <c r="AO126" i="12"/>
  <c r="AO269" i="3" l="1"/>
  <c r="AO189" i="3"/>
  <c r="AP190" i="3" l="1"/>
  <c r="AO273" i="3"/>
  <c r="AO275" i="3"/>
  <c r="AO279" i="3" s="1"/>
  <c r="AP115" i="3" l="1"/>
  <c r="AP113" i="3"/>
  <c r="AP120" i="3"/>
  <c r="AP119" i="3"/>
  <c r="AP121" i="3"/>
  <c r="AP123" i="3"/>
  <c r="AP117" i="3"/>
  <c r="AP116" i="3"/>
  <c r="AP118" i="3"/>
  <c r="AP122" i="3"/>
  <c r="AP114" i="3"/>
  <c r="AP124" i="3"/>
  <c r="AP138" i="3" l="1"/>
  <c r="AP132" i="3"/>
  <c r="AP148" i="3"/>
  <c r="AP309" i="3" s="1"/>
  <c r="AP135" i="3"/>
  <c r="AP151" i="3"/>
  <c r="AP312" i="3" s="1"/>
  <c r="AP130" i="3"/>
  <c r="AP146" i="3" s="1"/>
  <c r="AP307" i="3" s="1"/>
  <c r="AP134" i="3"/>
  <c r="AP150" i="3" s="1"/>
  <c r="AP311" i="3" s="1"/>
  <c r="AP137" i="3"/>
  <c r="AP153" i="3" s="1"/>
  <c r="AP314" i="3" s="1"/>
  <c r="AP136" i="3"/>
  <c r="AP152" i="3"/>
  <c r="AP313" i="3" s="1"/>
  <c r="AP140" i="3"/>
  <c r="AP156" i="3" s="1"/>
  <c r="AP317" i="3" s="1"/>
  <c r="AP139" i="3"/>
  <c r="AP155" i="3"/>
  <c r="AP316" i="3" s="1"/>
  <c r="AP129" i="3"/>
  <c r="AP145" i="3" s="1"/>
  <c r="AP125" i="3"/>
  <c r="AP133" i="3"/>
  <c r="AP149" i="3" s="1"/>
  <c r="AP310" i="3" s="1"/>
  <c r="AP131" i="3"/>
  <c r="AP147" i="3" s="1"/>
  <c r="AP308" i="3" s="1"/>
  <c r="AP17" i="12" l="1"/>
  <c r="AP257" i="3"/>
  <c r="AP290" i="3"/>
  <c r="AP141" i="3"/>
  <c r="AP293" i="3"/>
  <c r="AP341" i="3" s="1"/>
  <c r="AP180" i="3" s="1"/>
  <c r="AP20" i="12"/>
  <c r="AP84" i="12" s="1"/>
  <c r="AP129" i="12" s="1"/>
  <c r="AP258" i="3"/>
  <c r="AP306" i="3"/>
  <c r="AP27" i="12"/>
  <c r="AP91" i="12" s="1"/>
  <c r="AP136" i="12" s="1"/>
  <c r="AP300" i="3"/>
  <c r="AP348" i="3" s="1"/>
  <c r="AP187" i="3" s="1"/>
  <c r="AP25" i="12"/>
  <c r="AP89" i="12" s="1"/>
  <c r="AP134" i="12" s="1"/>
  <c r="AP298" i="3"/>
  <c r="AP346" i="3" s="1"/>
  <c r="AP185" i="3" s="1"/>
  <c r="AP23" i="12"/>
  <c r="AP87" i="12" s="1"/>
  <c r="AP132" i="12" s="1"/>
  <c r="AP259" i="3"/>
  <c r="AP296" i="3"/>
  <c r="AP344" i="3" s="1"/>
  <c r="AP183" i="3" s="1"/>
  <c r="AP26" i="12"/>
  <c r="AP90" i="12" s="1"/>
  <c r="AP135" i="12" s="1"/>
  <c r="AP299" i="3"/>
  <c r="AP28" i="12"/>
  <c r="AP92" i="12" s="1"/>
  <c r="AP137" i="12" s="1"/>
  <c r="AP301" i="3"/>
  <c r="AP349" i="3" s="1"/>
  <c r="AP188" i="3" s="1"/>
  <c r="AP24" i="12"/>
  <c r="AP88" i="12" s="1"/>
  <c r="AP133" i="12" s="1"/>
  <c r="AP297" i="3"/>
  <c r="AP345" i="3" s="1"/>
  <c r="AP184" i="3" s="1"/>
  <c r="AP22" i="12"/>
  <c r="AP86" i="12" s="1"/>
  <c r="AP131" i="12" s="1"/>
  <c r="AP295" i="3"/>
  <c r="AP343" i="3" s="1"/>
  <c r="AP182" i="3" s="1"/>
  <c r="AP18" i="12"/>
  <c r="AP82" i="12" s="1"/>
  <c r="AP127" i="12" s="1"/>
  <c r="AP291" i="3"/>
  <c r="AP339" i="3" s="1"/>
  <c r="AP178" i="3" s="1"/>
  <c r="AP19" i="12"/>
  <c r="AP83" i="12" s="1"/>
  <c r="AP128" i="12" s="1"/>
  <c r="AP292" i="3"/>
  <c r="AP340" i="3" s="1"/>
  <c r="AP179" i="3" s="1"/>
  <c r="AP21" i="12"/>
  <c r="AP85" i="12" s="1"/>
  <c r="AP130" i="12" s="1"/>
  <c r="AP294" i="3"/>
  <c r="AP342" i="3" s="1"/>
  <c r="AP181" i="3" s="1"/>
  <c r="AP154" i="3"/>
  <c r="AP260" i="3" l="1"/>
  <c r="AP315" i="3"/>
  <c r="AP318" i="3" s="1"/>
  <c r="AP271" i="3"/>
  <c r="AP277" i="3" s="1"/>
  <c r="AP302" i="3"/>
  <c r="AP338" i="3"/>
  <c r="AP270" i="3"/>
  <c r="AP276" i="3" s="1"/>
  <c r="AP261" i="3"/>
  <c r="AP157" i="3"/>
  <c r="AP11" i="3" s="1"/>
  <c r="AP29" i="12"/>
  <c r="AP5" i="12" s="1"/>
  <c r="AP7" i="12" s="1"/>
  <c r="AP10" i="12" s="1"/>
  <c r="AP8" i="12" s="1"/>
  <c r="AP81" i="12"/>
  <c r="AP347" i="3" l="1"/>
  <c r="AP186" i="3" s="1"/>
  <c r="AP272" i="3" s="1"/>
  <c r="AP278" i="3" s="1"/>
  <c r="AP93" i="12"/>
  <c r="AP126" i="12"/>
  <c r="AP177" i="3"/>
  <c r="AP350" i="3" l="1"/>
  <c r="AP269" i="3"/>
  <c r="AP189" i="3"/>
  <c r="AQ190" i="3" l="1"/>
  <c r="AP273" i="3"/>
  <c r="AP275" i="3"/>
  <c r="AP279" i="3" s="1"/>
  <c r="AQ119" i="3" l="1"/>
  <c r="AQ113" i="3"/>
  <c r="AQ116" i="3"/>
  <c r="AQ123" i="3"/>
  <c r="AQ120" i="3"/>
  <c r="AQ115" i="3"/>
  <c r="AQ121" i="3"/>
  <c r="AQ117" i="3"/>
  <c r="AQ118" i="3"/>
  <c r="AQ122" i="3"/>
  <c r="AQ114" i="3"/>
  <c r="AQ124" i="3"/>
  <c r="AQ130" i="3" l="1"/>
  <c r="AQ133" i="3"/>
  <c r="AQ132" i="3"/>
  <c r="AQ138" i="3"/>
  <c r="AQ137" i="3"/>
  <c r="AQ153" i="3" s="1"/>
  <c r="AQ314" i="3" s="1"/>
  <c r="AQ136" i="3"/>
  <c r="AQ129" i="3"/>
  <c r="AQ145" i="3" s="1"/>
  <c r="AQ125" i="3"/>
  <c r="AQ140" i="3"/>
  <c r="AQ156" i="3" s="1"/>
  <c r="AQ317" i="3" s="1"/>
  <c r="AQ134" i="3"/>
  <c r="AQ150" i="3"/>
  <c r="AQ311" i="3" s="1"/>
  <c r="AQ131" i="3"/>
  <c r="AQ147" i="3" s="1"/>
  <c r="AQ308" i="3" s="1"/>
  <c r="AQ139" i="3"/>
  <c r="AQ135" i="3"/>
  <c r="AQ151" i="3" s="1"/>
  <c r="AQ312" i="3" s="1"/>
  <c r="AQ27" i="12" l="1"/>
  <c r="AQ91" i="12" s="1"/>
  <c r="AQ136" i="12" s="1"/>
  <c r="AQ300" i="3"/>
  <c r="AQ306" i="3"/>
  <c r="AQ19" i="12"/>
  <c r="AQ83" i="12" s="1"/>
  <c r="AQ128" i="12" s="1"/>
  <c r="AQ292" i="3"/>
  <c r="AQ340" i="3" s="1"/>
  <c r="AQ179" i="3" s="1"/>
  <c r="AQ24" i="12"/>
  <c r="AQ88" i="12" s="1"/>
  <c r="AQ133" i="12" s="1"/>
  <c r="AQ297" i="3"/>
  <c r="AQ26" i="12"/>
  <c r="AQ90" i="12" s="1"/>
  <c r="AQ135" i="12" s="1"/>
  <c r="AQ299" i="3"/>
  <c r="AQ18" i="12"/>
  <c r="AQ82" i="12" s="1"/>
  <c r="AQ127" i="12" s="1"/>
  <c r="AQ291" i="3"/>
  <c r="AQ22" i="12"/>
  <c r="AQ86" i="12" s="1"/>
  <c r="AQ131" i="12" s="1"/>
  <c r="AQ295" i="3"/>
  <c r="AQ343" i="3" s="1"/>
  <c r="AQ182" i="3" s="1"/>
  <c r="AQ28" i="12"/>
  <c r="AQ92" i="12" s="1"/>
  <c r="AQ137" i="12" s="1"/>
  <c r="AQ301" i="3"/>
  <c r="AQ349" i="3" s="1"/>
  <c r="AQ188" i="3" s="1"/>
  <c r="AQ17" i="12"/>
  <c r="AQ290" i="3"/>
  <c r="AQ257" i="3"/>
  <c r="AQ141" i="3"/>
  <c r="AQ152" i="3"/>
  <c r="AQ313" i="3" s="1"/>
  <c r="AQ25" i="12"/>
  <c r="AQ89" i="12" s="1"/>
  <c r="AQ134" i="12" s="1"/>
  <c r="AQ298" i="3"/>
  <c r="AQ346" i="3" s="1"/>
  <c r="AQ185" i="3" s="1"/>
  <c r="AQ154" i="3"/>
  <c r="AQ20" i="12"/>
  <c r="AQ84" i="12" s="1"/>
  <c r="AQ129" i="12" s="1"/>
  <c r="AQ293" i="3"/>
  <c r="AQ148" i="3"/>
  <c r="AQ309" i="3" s="1"/>
  <c r="AQ21" i="12"/>
  <c r="AQ85" i="12" s="1"/>
  <c r="AQ130" i="12" s="1"/>
  <c r="AQ294" i="3"/>
  <c r="AQ23" i="12"/>
  <c r="AQ87" i="12" s="1"/>
  <c r="AQ132" i="12" s="1"/>
  <c r="AQ296" i="3"/>
  <c r="AQ344" i="3" s="1"/>
  <c r="AQ183" i="3" s="1"/>
  <c r="AQ149" i="3"/>
  <c r="AQ310" i="3" s="1"/>
  <c r="AQ155" i="3"/>
  <c r="AQ316" i="3" s="1"/>
  <c r="AQ146" i="3"/>
  <c r="AQ307" i="3" s="1"/>
  <c r="AQ29" i="12" l="1"/>
  <c r="AQ5" i="12" s="1"/>
  <c r="AQ7" i="12" s="1"/>
  <c r="AQ10" i="12" s="1"/>
  <c r="AQ8" i="12" s="1"/>
  <c r="AQ81" i="12"/>
  <c r="AQ345" i="3"/>
  <c r="AQ184" i="3" s="1"/>
  <c r="AQ157" i="3"/>
  <c r="AQ11" i="3" s="1"/>
  <c r="AQ302" i="3"/>
  <c r="AQ338" i="3"/>
  <c r="AQ339" i="3"/>
  <c r="AQ178" i="3" s="1"/>
  <c r="AQ259" i="3"/>
  <c r="AQ342" i="3"/>
  <c r="AQ181" i="3" s="1"/>
  <c r="AQ341" i="3"/>
  <c r="AQ180" i="3" s="1"/>
  <c r="AQ270" i="3" s="1"/>
  <c r="AQ315" i="3"/>
  <c r="AQ347" i="3" s="1"/>
  <c r="AQ186" i="3" s="1"/>
  <c r="AQ260" i="3"/>
  <c r="AQ348" i="3"/>
  <c r="AQ187" i="3" s="1"/>
  <c r="AQ271" i="3"/>
  <c r="AQ258" i="3"/>
  <c r="AQ276" i="3" s="1"/>
  <c r="AQ272" i="3" l="1"/>
  <c r="AQ278" i="3"/>
  <c r="AQ318" i="3"/>
  <c r="AQ261" i="3"/>
  <c r="AQ93" i="12"/>
  <c r="AQ126" i="12"/>
  <c r="AQ277" i="3"/>
  <c r="AQ350" i="3"/>
  <c r="AQ177" i="3"/>
  <c r="AQ269" i="3" l="1"/>
  <c r="AQ189" i="3"/>
  <c r="AR190" i="3" l="1"/>
  <c r="AQ273" i="3"/>
  <c r="AQ275" i="3"/>
  <c r="AQ279" i="3" s="1"/>
  <c r="AR113" i="3" l="1"/>
  <c r="AR119" i="3"/>
  <c r="AR116" i="3"/>
  <c r="AR123" i="3"/>
  <c r="AR121" i="3"/>
  <c r="AR120" i="3"/>
  <c r="AR115" i="3"/>
  <c r="AR118" i="3"/>
  <c r="AR117" i="3"/>
  <c r="AR122" i="3"/>
  <c r="AR114" i="3"/>
  <c r="AR124" i="3"/>
  <c r="AR130" i="3" l="1"/>
  <c r="AR146" i="3"/>
  <c r="AR307" i="3" s="1"/>
  <c r="AR133" i="3"/>
  <c r="AR137" i="3"/>
  <c r="AR140" i="3"/>
  <c r="AR138" i="3"/>
  <c r="AR134" i="3"/>
  <c r="AR150" i="3" s="1"/>
  <c r="AR311" i="3" s="1"/>
  <c r="AR131" i="3"/>
  <c r="AR136" i="3"/>
  <c r="AR139" i="3"/>
  <c r="AR155" i="3"/>
  <c r="AR316" i="3" s="1"/>
  <c r="AR132" i="3"/>
  <c r="AR135" i="3"/>
  <c r="AR151" i="3" s="1"/>
  <c r="AR312" i="3" s="1"/>
  <c r="AR125" i="3"/>
  <c r="AR129" i="3"/>
  <c r="AR24" i="12" l="1"/>
  <c r="AR88" i="12" s="1"/>
  <c r="AR133" i="12" s="1"/>
  <c r="AR297" i="3"/>
  <c r="AR20" i="12"/>
  <c r="AR84" i="12" s="1"/>
  <c r="AR129" i="12" s="1"/>
  <c r="AR293" i="3"/>
  <c r="AR152" i="3"/>
  <c r="AR313" i="3" s="1"/>
  <c r="AR19" i="12"/>
  <c r="AR83" i="12" s="1"/>
  <c r="AR128" i="12" s="1"/>
  <c r="AR292" i="3"/>
  <c r="AR26" i="12"/>
  <c r="AR90" i="12" s="1"/>
  <c r="AR135" i="12" s="1"/>
  <c r="AR299" i="3"/>
  <c r="AR25" i="12"/>
  <c r="AR89" i="12" s="1"/>
  <c r="AR134" i="12" s="1"/>
  <c r="AR298" i="3"/>
  <c r="AR296" i="3"/>
  <c r="AR344" i="3" s="1"/>
  <c r="AR183" i="3" s="1"/>
  <c r="AR23" i="12"/>
  <c r="AR87" i="12" s="1"/>
  <c r="AR132" i="12" s="1"/>
  <c r="AR148" i="3"/>
  <c r="AR309" i="3" s="1"/>
  <c r="AR27" i="12"/>
  <c r="AR91" i="12" s="1"/>
  <c r="AR136" i="12" s="1"/>
  <c r="AR300" i="3"/>
  <c r="AR348" i="3" s="1"/>
  <c r="AR187" i="3" s="1"/>
  <c r="AR147" i="3"/>
  <c r="AR308" i="3" s="1"/>
  <c r="AR22" i="12"/>
  <c r="AR86" i="12" s="1"/>
  <c r="AR131" i="12" s="1"/>
  <c r="AR295" i="3"/>
  <c r="AR343" i="3" s="1"/>
  <c r="AR182" i="3" s="1"/>
  <c r="AR28" i="12"/>
  <c r="AR92" i="12" s="1"/>
  <c r="AR137" i="12" s="1"/>
  <c r="AR301" i="3"/>
  <c r="AR154" i="3"/>
  <c r="AR156" i="3"/>
  <c r="AR317" i="3" s="1"/>
  <c r="AR153" i="3"/>
  <c r="AR314" i="3" s="1"/>
  <c r="AR21" i="12"/>
  <c r="AR85" i="12" s="1"/>
  <c r="AR130" i="12" s="1"/>
  <c r="AR294" i="3"/>
  <c r="AR17" i="12"/>
  <c r="AR290" i="3"/>
  <c r="AR141" i="3"/>
  <c r="AR149" i="3"/>
  <c r="AR310" i="3" s="1"/>
  <c r="AR145" i="3"/>
  <c r="AR18" i="12"/>
  <c r="AR82" i="12" s="1"/>
  <c r="AR127" i="12" s="1"/>
  <c r="AR291" i="3"/>
  <c r="AR339" i="3" s="1"/>
  <c r="AR178" i="3" s="1"/>
  <c r="AR257" i="3" l="1"/>
  <c r="AR346" i="3"/>
  <c r="AR185" i="3" s="1"/>
  <c r="AR259" i="3"/>
  <c r="AR302" i="3"/>
  <c r="AR29" i="12"/>
  <c r="AR5" i="12" s="1"/>
  <c r="AR7" i="12" s="1"/>
  <c r="AR10" i="12" s="1"/>
  <c r="AR8" i="12" s="1"/>
  <c r="AR81" i="12"/>
  <c r="AR342" i="3"/>
  <c r="AR181" i="3" s="1"/>
  <c r="AR341" i="3"/>
  <c r="AR180" i="3" s="1"/>
  <c r="AR306" i="3"/>
  <c r="AR157" i="3"/>
  <c r="AR11" i="3" s="1"/>
  <c r="AR260" i="3"/>
  <c r="AR315" i="3"/>
  <c r="AR347" i="3" s="1"/>
  <c r="AR186" i="3" s="1"/>
  <c r="AR345" i="3"/>
  <c r="AR184" i="3" s="1"/>
  <c r="AR271" i="3" s="1"/>
  <c r="AR277" i="3" s="1"/>
  <c r="AR340" i="3"/>
  <c r="AR179" i="3" s="1"/>
  <c r="AR258" i="3"/>
  <c r="AR349" i="3"/>
  <c r="AR188" i="3" s="1"/>
  <c r="AR270" i="3" l="1"/>
  <c r="AR272" i="3"/>
  <c r="AR278" i="3"/>
  <c r="AR276" i="3"/>
  <c r="AR318" i="3"/>
  <c r="AR93" i="12"/>
  <c r="AR126" i="12"/>
  <c r="AR338" i="3"/>
  <c r="AR261" i="3"/>
  <c r="AR350" i="3" l="1"/>
  <c r="AR177" i="3"/>
  <c r="AR269" i="3" l="1"/>
  <c r="AR189" i="3"/>
  <c r="AS190" i="3" l="1"/>
  <c r="AR273" i="3"/>
  <c r="AR275" i="3"/>
  <c r="AR279" i="3" s="1"/>
  <c r="AS119" i="3" l="1"/>
  <c r="AS121" i="3"/>
  <c r="AS116" i="3"/>
  <c r="AS113" i="3"/>
  <c r="AS123" i="3"/>
  <c r="AS120" i="3"/>
  <c r="AS117" i="3"/>
  <c r="AS118" i="3"/>
  <c r="AS115" i="3"/>
  <c r="AS122" i="3"/>
  <c r="AS124" i="3"/>
  <c r="AS114" i="3"/>
  <c r="AS130" i="3" l="1"/>
  <c r="AS134" i="3"/>
  <c r="AS140" i="3"/>
  <c r="AS138" i="3"/>
  <c r="AS133" i="3"/>
  <c r="AS137" i="3"/>
  <c r="AS153" i="3" s="1"/>
  <c r="AS314" i="3" s="1"/>
  <c r="AS131" i="3"/>
  <c r="AS136" i="3"/>
  <c r="AS152" i="3" s="1"/>
  <c r="AS313" i="3" s="1"/>
  <c r="AS139" i="3"/>
  <c r="AS155" i="3" s="1"/>
  <c r="AS316" i="3" s="1"/>
  <c r="AS129" i="3"/>
  <c r="AS145" i="3" s="1"/>
  <c r="AS125" i="3"/>
  <c r="AS132" i="3"/>
  <c r="AS148" i="3" s="1"/>
  <c r="AS309" i="3" s="1"/>
  <c r="AS135" i="3"/>
  <c r="AS151" i="3" s="1"/>
  <c r="AS312" i="3" s="1"/>
  <c r="AS306" i="3" l="1"/>
  <c r="AS21" i="12"/>
  <c r="AS85" i="12" s="1"/>
  <c r="AS130" i="12" s="1"/>
  <c r="AS294" i="3"/>
  <c r="AS22" i="12"/>
  <c r="AS86" i="12" s="1"/>
  <c r="AS131" i="12" s="1"/>
  <c r="AS295" i="3"/>
  <c r="AS27" i="12"/>
  <c r="AS91" i="12" s="1"/>
  <c r="AS136" i="12" s="1"/>
  <c r="AS300" i="3"/>
  <c r="AS348" i="3" s="1"/>
  <c r="AS187" i="3" s="1"/>
  <c r="AS19" i="12"/>
  <c r="AS83" i="12" s="1"/>
  <c r="AS128" i="12" s="1"/>
  <c r="AS292" i="3"/>
  <c r="AS150" i="3"/>
  <c r="AS311" i="3" s="1"/>
  <c r="AS17" i="12"/>
  <c r="AS290" i="3"/>
  <c r="AS141" i="3"/>
  <c r="AS24" i="12"/>
  <c r="AS88" i="12" s="1"/>
  <c r="AS133" i="12" s="1"/>
  <c r="AS297" i="3"/>
  <c r="AS345" i="3" s="1"/>
  <c r="AS184" i="3" s="1"/>
  <c r="AS25" i="12"/>
  <c r="AS89" i="12" s="1"/>
  <c r="AS134" i="12" s="1"/>
  <c r="AS298" i="3"/>
  <c r="AS346" i="3" s="1"/>
  <c r="AS185" i="3" s="1"/>
  <c r="AS26" i="12"/>
  <c r="AS90" i="12" s="1"/>
  <c r="AS135" i="12" s="1"/>
  <c r="AS299" i="3"/>
  <c r="AS28" i="12"/>
  <c r="AS92" i="12" s="1"/>
  <c r="AS137" i="12" s="1"/>
  <c r="AS301" i="3"/>
  <c r="AS18" i="12"/>
  <c r="AS82" i="12" s="1"/>
  <c r="AS127" i="12" s="1"/>
  <c r="AS291" i="3"/>
  <c r="AS147" i="3"/>
  <c r="AS308" i="3" s="1"/>
  <c r="AS149" i="3"/>
  <c r="AS310" i="3" s="1"/>
  <c r="AS154" i="3"/>
  <c r="AS156" i="3"/>
  <c r="AS317" i="3" s="1"/>
  <c r="AS23" i="12"/>
  <c r="AS87" i="12" s="1"/>
  <c r="AS132" i="12" s="1"/>
  <c r="AS259" i="3"/>
  <c r="AS296" i="3"/>
  <c r="AS344" i="3" s="1"/>
  <c r="AS183" i="3" s="1"/>
  <c r="AS20" i="12"/>
  <c r="AS84" i="12" s="1"/>
  <c r="AS129" i="12" s="1"/>
  <c r="AS293" i="3"/>
  <c r="AS341" i="3" s="1"/>
  <c r="AS180" i="3" s="1"/>
  <c r="AS146" i="3"/>
  <c r="AS307" i="3" s="1"/>
  <c r="AS258" i="3" l="1"/>
  <c r="AS340" i="3"/>
  <c r="AS179" i="3" s="1"/>
  <c r="AS302" i="3"/>
  <c r="AS338" i="3"/>
  <c r="AS257" i="3"/>
  <c r="AS343" i="3"/>
  <c r="AS182" i="3" s="1"/>
  <c r="AS260" i="3"/>
  <c r="AS315" i="3"/>
  <c r="AS347" i="3" s="1"/>
  <c r="AS186" i="3" s="1"/>
  <c r="AS271" i="3"/>
  <c r="AS277" i="3" s="1"/>
  <c r="AS157" i="3"/>
  <c r="AS11" i="3" s="1"/>
  <c r="AS29" i="12"/>
  <c r="AS5" i="12" s="1"/>
  <c r="AS7" i="12" s="1"/>
  <c r="AS10" i="12" s="1"/>
  <c r="AS8" i="12" s="1"/>
  <c r="AS81" i="12"/>
  <c r="AS342" i="3"/>
  <c r="AS181" i="3" s="1"/>
  <c r="AS270" i="3" s="1"/>
  <c r="AS276" i="3" s="1"/>
  <c r="AS339" i="3"/>
  <c r="AS178" i="3" s="1"/>
  <c r="AS349" i="3"/>
  <c r="AS188" i="3" s="1"/>
  <c r="AS318" i="3"/>
  <c r="AS272" i="3" l="1"/>
  <c r="AS93" i="12"/>
  <c r="AS126" i="12"/>
  <c r="AS278" i="3"/>
  <c r="AS350" i="3"/>
  <c r="AS177" i="3"/>
  <c r="AS261" i="3"/>
  <c r="AS269" i="3" l="1"/>
  <c r="AS189" i="3"/>
  <c r="AT190" i="3" l="1"/>
  <c r="AS273" i="3"/>
  <c r="AS275" i="3"/>
  <c r="AS279" i="3" s="1"/>
  <c r="AT123" i="3" l="1"/>
  <c r="AT121" i="3"/>
  <c r="AT116" i="3"/>
  <c r="AT113" i="3"/>
  <c r="AT119" i="3"/>
  <c r="AT115" i="3"/>
  <c r="AT117" i="3"/>
  <c r="AT120" i="3"/>
  <c r="AT118" i="3"/>
  <c r="AT122" i="3"/>
  <c r="AT124" i="3"/>
  <c r="AT114" i="3"/>
  <c r="AT138" i="3" l="1"/>
  <c r="AT140" i="3"/>
  <c r="AT134" i="3"/>
  <c r="AT135" i="3"/>
  <c r="AT130" i="3"/>
  <c r="AT146" i="3" s="1"/>
  <c r="AT307" i="3" s="1"/>
  <c r="AT136" i="3"/>
  <c r="AT152" i="3" s="1"/>
  <c r="AT313" i="3" s="1"/>
  <c r="AT133" i="3"/>
  <c r="AT149" i="3" s="1"/>
  <c r="AT310" i="3" s="1"/>
  <c r="AT131" i="3"/>
  <c r="AT147" i="3" s="1"/>
  <c r="AT308" i="3" s="1"/>
  <c r="AT129" i="3"/>
  <c r="AT125" i="3"/>
  <c r="AT132" i="3"/>
  <c r="AT148" i="3" s="1"/>
  <c r="AT309" i="3" s="1"/>
  <c r="AT137" i="3"/>
  <c r="AT153" i="3" s="1"/>
  <c r="AT314" i="3" s="1"/>
  <c r="AT139" i="3"/>
  <c r="AT290" i="3" l="1"/>
  <c r="AT17" i="12"/>
  <c r="AT141" i="3"/>
  <c r="AT145" i="3"/>
  <c r="AT28" i="12"/>
  <c r="AT92" i="12" s="1"/>
  <c r="AT137" i="12" s="1"/>
  <c r="AT301" i="3"/>
  <c r="AT20" i="12"/>
  <c r="AT84" i="12" s="1"/>
  <c r="AT129" i="12" s="1"/>
  <c r="AT293" i="3"/>
  <c r="AT341" i="3" s="1"/>
  <c r="AT180" i="3" s="1"/>
  <c r="AT21" i="12"/>
  <c r="AT85" i="12" s="1"/>
  <c r="AT130" i="12" s="1"/>
  <c r="AT294" i="3"/>
  <c r="AT342" i="3" s="1"/>
  <c r="AT181" i="3" s="1"/>
  <c r="AT24" i="12"/>
  <c r="AT88" i="12" s="1"/>
  <c r="AT133" i="12" s="1"/>
  <c r="AT297" i="3"/>
  <c r="AT345" i="3" s="1"/>
  <c r="AT184" i="3" s="1"/>
  <c r="AT23" i="12"/>
  <c r="AT87" i="12" s="1"/>
  <c r="AT132" i="12" s="1"/>
  <c r="AT259" i="3"/>
  <c r="AT296" i="3"/>
  <c r="AT344" i="3" s="1"/>
  <c r="AT183" i="3" s="1"/>
  <c r="AT271" i="3" s="1"/>
  <c r="AT27" i="12"/>
  <c r="AT91" i="12" s="1"/>
  <c r="AT136" i="12" s="1"/>
  <c r="AT300" i="3"/>
  <c r="AT26" i="12"/>
  <c r="AT90" i="12" s="1"/>
  <c r="AT135" i="12" s="1"/>
  <c r="AT299" i="3"/>
  <c r="AT19" i="12"/>
  <c r="AT83" i="12" s="1"/>
  <c r="AT128" i="12" s="1"/>
  <c r="AT292" i="3"/>
  <c r="AT340" i="3" s="1"/>
  <c r="AT179" i="3" s="1"/>
  <c r="AT291" i="3"/>
  <c r="AT339" i="3" s="1"/>
  <c r="AT178" i="3" s="1"/>
  <c r="AT18" i="12"/>
  <c r="AT82" i="12" s="1"/>
  <c r="AT127" i="12" s="1"/>
  <c r="AT151" i="3"/>
  <c r="AT312" i="3" s="1"/>
  <c r="AT22" i="12"/>
  <c r="AT86" i="12" s="1"/>
  <c r="AT131" i="12" s="1"/>
  <c r="AT295" i="3"/>
  <c r="AT150" i="3"/>
  <c r="AT311" i="3" s="1"/>
  <c r="AT156" i="3"/>
  <c r="AT317" i="3" s="1"/>
  <c r="AT155" i="3"/>
  <c r="AT316" i="3" s="1"/>
  <c r="AT25" i="12"/>
  <c r="AT89" i="12" s="1"/>
  <c r="AT134" i="12" s="1"/>
  <c r="AT298" i="3"/>
  <c r="AT346" i="3" s="1"/>
  <c r="AT185" i="3" s="1"/>
  <c r="AT154" i="3"/>
  <c r="AT343" i="3" l="1"/>
  <c r="AT182" i="3" s="1"/>
  <c r="AT348" i="3"/>
  <c r="AT187" i="3" s="1"/>
  <c r="AT258" i="3"/>
  <c r="AT277" i="3"/>
  <c r="AT260" i="3"/>
  <c r="AT315" i="3"/>
  <c r="AT347" i="3" s="1"/>
  <c r="AT186" i="3" s="1"/>
  <c r="AT81" i="12"/>
  <c r="AT29" i="12"/>
  <c r="AT5" i="12" s="1"/>
  <c r="AT7" i="12" s="1"/>
  <c r="AT10" i="12" s="1"/>
  <c r="AT8" i="12" s="1"/>
  <c r="AT270" i="3"/>
  <c r="AT349" i="3"/>
  <c r="AT188" i="3" s="1"/>
  <c r="AT302" i="3"/>
  <c r="AT306" i="3"/>
  <c r="AT157" i="3"/>
  <c r="AT11" i="3" s="1"/>
  <c r="AT257" i="3"/>
  <c r="AT272" i="3" l="1"/>
  <c r="AT318" i="3"/>
  <c r="AT276" i="3"/>
  <c r="AT261" i="3"/>
  <c r="AT93" i="12"/>
  <c r="AT126" i="12"/>
  <c r="AT338" i="3"/>
  <c r="AT278" i="3"/>
  <c r="AT350" i="3" l="1"/>
  <c r="AT177" i="3"/>
  <c r="AT189" i="3" l="1"/>
  <c r="AT269" i="3"/>
  <c r="AT273" i="3" l="1"/>
  <c r="AT275" i="3"/>
  <c r="AT279" i="3" s="1"/>
  <c r="AU190" i="3"/>
  <c r="AU116" i="3" l="1"/>
  <c r="AU123" i="3"/>
  <c r="AU121" i="3"/>
  <c r="AU119" i="3"/>
  <c r="AU113" i="3"/>
  <c r="AU120" i="3"/>
  <c r="AU117" i="3"/>
  <c r="AU115" i="3"/>
  <c r="AU118" i="3"/>
  <c r="AU122" i="3"/>
  <c r="AU114" i="3"/>
  <c r="AU124" i="3"/>
  <c r="AU131" i="3" l="1"/>
  <c r="AU147" i="3" s="1"/>
  <c r="AU308" i="3" s="1"/>
  <c r="AU140" i="3"/>
  <c r="AU156" i="3" s="1"/>
  <c r="AU317" i="3" s="1"/>
  <c r="AU138" i="3"/>
  <c r="AU154" i="3" s="1"/>
  <c r="AU133" i="3"/>
  <c r="AU149" i="3" s="1"/>
  <c r="AU310" i="3" s="1"/>
  <c r="AU139" i="3"/>
  <c r="AU155" i="3" s="1"/>
  <c r="AU316" i="3" s="1"/>
  <c r="AU130" i="3"/>
  <c r="AU146" i="3" s="1"/>
  <c r="AU307" i="3" s="1"/>
  <c r="AU134" i="3"/>
  <c r="AU136" i="3"/>
  <c r="AU152" i="3" s="1"/>
  <c r="AU313" i="3" s="1"/>
  <c r="AU129" i="3"/>
  <c r="AU125" i="3"/>
  <c r="AU135" i="3"/>
  <c r="AU137" i="3"/>
  <c r="AU132" i="3"/>
  <c r="AU260" i="3" l="1"/>
  <c r="AU315" i="3"/>
  <c r="AU22" i="12"/>
  <c r="AU86" i="12" s="1"/>
  <c r="AU131" i="12" s="1"/>
  <c r="AU295" i="3"/>
  <c r="AU296" i="3"/>
  <c r="AU23" i="12"/>
  <c r="AU87" i="12" s="1"/>
  <c r="AU132" i="12" s="1"/>
  <c r="AU25" i="12"/>
  <c r="AU89" i="12" s="1"/>
  <c r="AU134" i="12" s="1"/>
  <c r="AU298" i="3"/>
  <c r="AU17" i="12"/>
  <c r="AU290" i="3"/>
  <c r="AU141" i="3"/>
  <c r="AU24" i="12"/>
  <c r="AU88" i="12" s="1"/>
  <c r="AU133" i="12" s="1"/>
  <c r="AU297" i="3"/>
  <c r="AU345" i="3" s="1"/>
  <c r="AU184" i="3" s="1"/>
  <c r="AU291" i="3"/>
  <c r="AU339" i="3" s="1"/>
  <c r="AU178" i="3" s="1"/>
  <c r="AU18" i="12"/>
  <c r="AU82" i="12" s="1"/>
  <c r="AU127" i="12" s="1"/>
  <c r="AU20" i="12"/>
  <c r="AU84" i="12" s="1"/>
  <c r="AU129" i="12" s="1"/>
  <c r="AU293" i="3"/>
  <c r="AU151" i="3"/>
  <c r="AU312" i="3" s="1"/>
  <c r="AU145" i="3"/>
  <c r="AU257" i="3" s="1"/>
  <c r="AU150" i="3"/>
  <c r="AU311" i="3" s="1"/>
  <c r="AU27" i="12"/>
  <c r="AU91" i="12" s="1"/>
  <c r="AU136" i="12" s="1"/>
  <c r="AU300" i="3"/>
  <c r="AU348" i="3" s="1"/>
  <c r="AU187" i="3" s="1"/>
  <c r="AU21" i="12"/>
  <c r="AU85" i="12" s="1"/>
  <c r="AU130" i="12" s="1"/>
  <c r="AU294" i="3"/>
  <c r="AU342" i="3" s="1"/>
  <c r="AU181" i="3" s="1"/>
  <c r="AU299" i="3"/>
  <c r="AU347" i="3" s="1"/>
  <c r="AU186" i="3" s="1"/>
  <c r="AU26" i="12"/>
  <c r="AU90" i="12" s="1"/>
  <c r="AU135" i="12" s="1"/>
  <c r="AU28" i="12"/>
  <c r="AU92" i="12" s="1"/>
  <c r="AU137" i="12" s="1"/>
  <c r="AU301" i="3"/>
  <c r="AU349" i="3" s="1"/>
  <c r="AU188" i="3" s="1"/>
  <c r="AU148" i="3"/>
  <c r="AU309" i="3" s="1"/>
  <c r="AU153" i="3"/>
  <c r="AU314" i="3" s="1"/>
  <c r="AU19" i="12"/>
  <c r="AU83" i="12" s="1"/>
  <c r="AU128" i="12" s="1"/>
  <c r="AU292" i="3"/>
  <c r="AU340" i="3" s="1"/>
  <c r="AU179" i="3" s="1"/>
  <c r="AU343" i="3" l="1"/>
  <c r="AU182" i="3" s="1"/>
  <c r="AU258" i="3"/>
  <c r="AU341" i="3"/>
  <c r="AU180" i="3" s="1"/>
  <c r="AU270" i="3" s="1"/>
  <c r="AU344" i="3"/>
  <c r="AU183" i="3" s="1"/>
  <c r="AU306" i="3"/>
  <c r="AU318" i="3" s="1"/>
  <c r="AU157" i="3"/>
  <c r="AU11" i="3" s="1"/>
  <c r="AU81" i="12"/>
  <c r="AU29" i="12"/>
  <c r="AU5" i="12" s="1"/>
  <c r="AU7" i="12" s="1"/>
  <c r="AU10" i="12" s="1"/>
  <c r="AU8" i="12" s="1"/>
  <c r="AU276" i="3"/>
  <c r="AU302" i="3"/>
  <c r="AU346" i="3"/>
  <c r="AU185" i="3" s="1"/>
  <c r="AU272" i="3"/>
  <c r="AU278" i="3" s="1"/>
  <c r="AU259" i="3"/>
  <c r="AU261" i="3" s="1"/>
  <c r="AU338" i="3" l="1"/>
  <c r="AU350" i="3"/>
  <c r="AU177" i="3"/>
  <c r="AU93" i="12"/>
  <c r="AU126" i="12"/>
  <c r="AU271" i="3"/>
  <c r="AU277" i="3" s="1"/>
  <c r="AU269" i="3" l="1"/>
  <c r="AU189" i="3"/>
  <c r="AV190" i="3" l="1"/>
  <c r="AU273" i="3"/>
  <c r="AU275" i="3"/>
  <c r="AU279" i="3" s="1"/>
  <c r="AV116" i="3" l="1"/>
  <c r="AV121" i="3"/>
  <c r="AV123" i="3"/>
  <c r="AV113" i="3"/>
  <c r="AV119" i="3"/>
  <c r="AV120" i="3"/>
  <c r="AV117" i="3"/>
  <c r="AV118" i="3"/>
  <c r="AV115" i="3"/>
  <c r="AV122" i="3"/>
  <c r="AV114" i="3"/>
  <c r="AV124" i="3"/>
  <c r="AV131" i="3" l="1"/>
  <c r="AV147" i="3"/>
  <c r="AV308" i="3" s="1"/>
  <c r="AV130" i="3"/>
  <c r="AV146" i="3" s="1"/>
  <c r="AV307" i="3" s="1"/>
  <c r="AV134" i="3"/>
  <c r="AV135" i="3"/>
  <c r="AV151" i="3" s="1"/>
  <c r="AV312" i="3" s="1"/>
  <c r="AV140" i="3"/>
  <c r="AV156" i="3" s="1"/>
  <c r="AV317" i="3" s="1"/>
  <c r="AV138" i="3"/>
  <c r="AV133" i="3"/>
  <c r="AV136" i="3"/>
  <c r="AV129" i="3"/>
  <c r="AV125" i="3"/>
  <c r="AV139" i="3"/>
  <c r="AV155" i="3" s="1"/>
  <c r="AV316" i="3" s="1"/>
  <c r="AV137" i="3"/>
  <c r="AV132" i="3"/>
  <c r="AV148" i="3" s="1"/>
  <c r="AV309" i="3" s="1"/>
  <c r="AV21" i="12" l="1"/>
  <c r="AV85" i="12" s="1"/>
  <c r="AV130" i="12" s="1"/>
  <c r="AV294" i="3"/>
  <c r="AV25" i="12"/>
  <c r="AV89" i="12" s="1"/>
  <c r="AV134" i="12" s="1"/>
  <c r="AV298" i="3"/>
  <c r="AV17" i="12"/>
  <c r="AV290" i="3"/>
  <c r="AV141" i="3"/>
  <c r="AV145" i="3"/>
  <c r="AV149" i="3"/>
  <c r="AV310" i="3" s="1"/>
  <c r="AV27" i="12"/>
  <c r="AV91" i="12" s="1"/>
  <c r="AV136" i="12" s="1"/>
  <c r="AV300" i="3"/>
  <c r="AV348" i="3" s="1"/>
  <c r="AV187" i="3" s="1"/>
  <c r="AV24" i="12"/>
  <c r="AV88" i="12" s="1"/>
  <c r="AV133" i="12" s="1"/>
  <c r="AV297" i="3"/>
  <c r="AV299" i="3"/>
  <c r="AV26" i="12"/>
  <c r="AV90" i="12" s="1"/>
  <c r="AV135" i="12" s="1"/>
  <c r="AV23" i="12"/>
  <c r="AV87" i="12" s="1"/>
  <c r="AV132" i="12" s="1"/>
  <c r="AV296" i="3"/>
  <c r="AV344" i="3" s="1"/>
  <c r="AV183" i="3" s="1"/>
  <c r="AV152" i="3"/>
  <c r="AV313" i="3" s="1"/>
  <c r="AV154" i="3"/>
  <c r="AV28" i="12"/>
  <c r="AV92" i="12" s="1"/>
  <c r="AV137" i="12" s="1"/>
  <c r="AV301" i="3"/>
  <c r="AV349" i="3" s="1"/>
  <c r="AV188" i="3" s="1"/>
  <c r="AV22" i="12"/>
  <c r="AV86" i="12" s="1"/>
  <c r="AV131" i="12" s="1"/>
  <c r="AV295" i="3"/>
  <c r="AV150" i="3"/>
  <c r="AV311" i="3" s="1"/>
  <c r="AV291" i="3"/>
  <c r="AV339" i="3" s="1"/>
  <c r="AV178" i="3" s="1"/>
  <c r="AV18" i="12"/>
  <c r="AV82" i="12" s="1"/>
  <c r="AV127" i="12" s="1"/>
  <c r="AV293" i="3"/>
  <c r="AV341" i="3" s="1"/>
  <c r="AV180" i="3" s="1"/>
  <c r="AV20" i="12"/>
  <c r="AV84" i="12" s="1"/>
  <c r="AV129" i="12" s="1"/>
  <c r="AV153" i="3"/>
  <c r="AV314" i="3" s="1"/>
  <c r="AV19" i="12"/>
  <c r="AV83" i="12" s="1"/>
  <c r="AV128" i="12" s="1"/>
  <c r="AV292" i="3"/>
  <c r="AV340" i="3" s="1"/>
  <c r="AV179" i="3" s="1"/>
  <c r="AV259" i="3" l="1"/>
  <c r="AV260" i="3"/>
  <c r="AV315" i="3"/>
  <c r="AV347" i="3" s="1"/>
  <c r="AV186" i="3" s="1"/>
  <c r="AV272" i="3" s="1"/>
  <c r="AV81" i="12"/>
  <c r="AV29" i="12"/>
  <c r="AV5" i="12" s="1"/>
  <c r="AV7" i="12" s="1"/>
  <c r="AV10" i="12" s="1"/>
  <c r="AV8" i="12" s="1"/>
  <c r="AV345" i="3"/>
  <c r="AV184" i="3" s="1"/>
  <c r="AV346" i="3"/>
  <c r="AV185" i="3" s="1"/>
  <c r="AV302" i="3"/>
  <c r="AV342" i="3"/>
  <c r="AV181" i="3" s="1"/>
  <c r="AV258" i="3"/>
  <c r="AV306" i="3"/>
  <c r="AV318" i="3" s="1"/>
  <c r="AV157" i="3"/>
  <c r="AV11" i="3" s="1"/>
  <c r="AV257" i="3"/>
  <c r="AV343" i="3"/>
  <c r="AV182" i="3" s="1"/>
  <c r="AV271" i="3" l="1"/>
  <c r="AV277" i="3" s="1"/>
  <c r="AV270" i="3"/>
  <c r="AV261" i="3"/>
  <c r="AV276" i="3"/>
  <c r="AV338" i="3"/>
  <c r="AV93" i="12"/>
  <c r="AV126" i="12"/>
  <c r="AV278" i="3"/>
  <c r="AV350" i="3" l="1"/>
  <c r="AV177" i="3"/>
  <c r="AV269" i="3" l="1"/>
  <c r="AV189" i="3"/>
  <c r="AW190" i="3" l="1"/>
  <c r="AV273" i="3"/>
  <c r="AV275" i="3"/>
  <c r="AV279" i="3" s="1"/>
  <c r="AW121" i="3" l="1"/>
  <c r="AW116" i="3"/>
  <c r="AW120" i="3"/>
  <c r="AW119" i="3"/>
  <c r="AW123" i="3"/>
  <c r="AW113" i="3"/>
  <c r="AW117" i="3"/>
  <c r="AW115" i="3"/>
  <c r="AW118" i="3"/>
  <c r="AW122" i="3"/>
  <c r="AW114" i="3"/>
  <c r="AW124" i="3"/>
  <c r="AW129" i="3" l="1"/>
  <c r="AW125" i="3"/>
  <c r="AW145" i="3"/>
  <c r="AW140" i="3"/>
  <c r="AW138" i="3"/>
  <c r="AW154" i="3" s="1"/>
  <c r="AW131" i="3"/>
  <c r="AW147" i="3" s="1"/>
  <c r="AW308" i="3" s="1"/>
  <c r="AW139" i="3"/>
  <c r="AW132" i="3"/>
  <c r="AW148" i="3" s="1"/>
  <c r="AW309" i="3" s="1"/>
  <c r="AW130" i="3"/>
  <c r="AW146" i="3" s="1"/>
  <c r="AW307" i="3" s="1"/>
  <c r="AW134" i="3"/>
  <c r="AW133" i="3"/>
  <c r="AW149" i="3" s="1"/>
  <c r="AW310" i="3" s="1"/>
  <c r="AW135" i="3"/>
  <c r="AW136" i="3"/>
  <c r="AW137" i="3"/>
  <c r="AW315" i="3" l="1"/>
  <c r="AW24" i="12"/>
  <c r="AW88" i="12" s="1"/>
  <c r="AW133" i="12" s="1"/>
  <c r="AW297" i="3"/>
  <c r="AW23" i="12"/>
  <c r="AW87" i="12" s="1"/>
  <c r="AW132" i="12" s="1"/>
  <c r="AW296" i="3"/>
  <c r="AW22" i="12"/>
  <c r="AW86" i="12" s="1"/>
  <c r="AW131" i="12" s="1"/>
  <c r="AW295" i="3"/>
  <c r="AW27" i="12"/>
  <c r="AW91" i="12" s="1"/>
  <c r="AW136" i="12" s="1"/>
  <c r="AW300" i="3"/>
  <c r="AW25" i="12"/>
  <c r="AW89" i="12" s="1"/>
  <c r="AW134" i="12" s="1"/>
  <c r="AW298" i="3"/>
  <c r="AW21" i="12"/>
  <c r="AW85" i="12" s="1"/>
  <c r="AW130" i="12" s="1"/>
  <c r="AW294" i="3"/>
  <c r="AW342" i="3" s="1"/>
  <c r="AW181" i="3" s="1"/>
  <c r="AW291" i="3"/>
  <c r="AW339" i="3" s="1"/>
  <c r="AW178" i="3" s="1"/>
  <c r="AW18" i="12"/>
  <c r="AW82" i="12" s="1"/>
  <c r="AW127" i="12" s="1"/>
  <c r="AW20" i="12"/>
  <c r="AW84" i="12" s="1"/>
  <c r="AW129" i="12" s="1"/>
  <c r="AW293" i="3"/>
  <c r="AW341" i="3" s="1"/>
  <c r="AW180" i="3" s="1"/>
  <c r="AW155" i="3"/>
  <c r="AW316" i="3" s="1"/>
  <c r="AW299" i="3"/>
  <c r="AW347" i="3" s="1"/>
  <c r="AW186" i="3" s="1"/>
  <c r="AW26" i="12"/>
  <c r="AW90" i="12" s="1"/>
  <c r="AW135" i="12" s="1"/>
  <c r="AW153" i="3"/>
  <c r="AW314" i="3" s="1"/>
  <c r="AW151" i="3"/>
  <c r="AW312" i="3" s="1"/>
  <c r="AW150" i="3"/>
  <c r="AW311" i="3" s="1"/>
  <c r="AW19" i="12"/>
  <c r="AW83" i="12" s="1"/>
  <c r="AW128" i="12" s="1"/>
  <c r="AW292" i="3"/>
  <c r="AW340" i="3" s="1"/>
  <c r="AW179" i="3" s="1"/>
  <c r="AW28" i="12"/>
  <c r="AW92" i="12" s="1"/>
  <c r="AW137" i="12" s="1"/>
  <c r="AW301" i="3"/>
  <c r="AW156" i="3"/>
  <c r="AW317" i="3" s="1"/>
  <c r="AW306" i="3"/>
  <c r="AW152" i="3"/>
  <c r="AW313" i="3" s="1"/>
  <c r="AW17" i="12"/>
  <c r="AW290" i="3"/>
  <c r="AW141" i="3"/>
  <c r="AW257" i="3"/>
  <c r="AW344" i="3" l="1"/>
  <c r="AW183" i="3" s="1"/>
  <c r="AW343" i="3"/>
  <c r="AW182" i="3" s="1"/>
  <c r="AW346" i="3"/>
  <c r="AW185" i="3" s="1"/>
  <c r="AW270" i="3"/>
  <c r="AW258" i="3"/>
  <c r="AW276" i="3" s="1"/>
  <c r="AW157" i="3"/>
  <c r="AW11" i="3" s="1"/>
  <c r="AW302" i="3"/>
  <c r="AW338" i="3"/>
  <c r="AW81" i="12"/>
  <c r="AW29" i="12"/>
  <c r="AW5" i="12" s="1"/>
  <c r="AW7" i="12" s="1"/>
  <c r="AW10" i="12" s="1"/>
  <c r="AW8" i="12" s="1"/>
  <c r="AW345" i="3"/>
  <c r="AW184" i="3" s="1"/>
  <c r="AW318" i="3"/>
  <c r="AW259" i="3"/>
  <c r="AW260" i="3"/>
  <c r="AW348" i="3"/>
  <c r="AW187" i="3" s="1"/>
  <c r="AW349" i="3"/>
  <c r="AW188" i="3" s="1"/>
  <c r="AW271" i="3"/>
  <c r="AW272" i="3" l="1"/>
  <c r="AW261" i="3"/>
  <c r="AW278" i="3"/>
  <c r="AW350" i="3"/>
  <c r="AW177" i="3"/>
  <c r="AW277" i="3"/>
  <c r="AW93" i="12"/>
  <c r="AW126" i="12"/>
  <c r="AW269" i="3" l="1"/>
  <c r="AW189" i="3"/>
  <c r="AX190" i="3" l="1"/>
  <c r="AW273" i="3"/>
  <c r="AW275" i="3"/>
  <c r="AW279" i="3" s="1"/>
  <c r="AX116" i="3" l="1"/>
  <c r="AX121" i="3"/>
  <c r="AX123" i="3"/>
  <c r="AX119" i="3"/>
  <c r="AX120" i="3"/>
  <c r="AX113" i="3"/>
  <c r="AX117" i="3"/>
  <c r="AX118" i="3"/>
  <c r="AX115" i="3"/>
  <c r="AX122" i="3"/>
  <c r="AX114" i="3"/>
  <c r="AX124" i="3"/>
  <c r="AX134" i="3" l="1"/>
  <c r="AX140" i="3"/>
  <c r="AX156" i="3" s="1"/>
  <c r="AX317" i="3" s="1"/>
  <c r="AX138" i="3"/>
  <c r="AX154" i="3" s="1"/>
  <c r="AX129" i="3"/>
  <c r="AX125" i="3"/>
  <c r="AX145" i="3"/>
  <c r="AX137" i="3"/>
  <c r="AX153" i="3" s="1"/>
  <c r="AX314" i="3" s="1"/>
  <c r="AX130" i="3"/>
  <c r="AX146" i="3" s="1"/>
  <c r="AX307" i="3" s="1"/>
  <c r="AX131" i="3"/>
  <c r="AX147" i="3" s="1"/>
  <c r="AX308" i="3" s="1"/>
  <c r="AX133" i="3"/>
  <c r="AX149" i="3" s="1"/>
  <c r="AX310" i="3" s="1"/>
  <c r="AX136" i="3"/>
  <c r="AX152" i="3"/>
  <c r="AX313" i="3" s="1"/>
  <c r="AX135" i="3"/>
  <c r="AX139" i="3"/>
  <c r="AX155" i="3" s="1"/>
  <c r="AX316" i="3" s="1"/>
  <c r="AX132" i="3"/>
  <c r="AX260" i="3" l="1"/>
  <c r="AX315" i="3"/>
  <c r="AX23" i="12"/>
  <c r="AX87" i="12" s="1"/>
  <c r="AX132" i="12" s="1"/>
  <c r="AX296" i="3"/>
  <c r="AX21" i="12"/>
  <c r="AX85" i="12" s="1"/>
  <c r="AX130" i="12" s="1"/>
  <c r="AX294" i="3"/>
  <c r="AX342" i="3" s="1"/>
  <c r="AX181" i="3" s="1"/>
  <c r="AX291" i="3"/>
  <c r="AX339" i="3" s="1"/>
  <c r="AX178" i="3" s="1"/>
  <c r="AX18" i="12"/>
  <c r="AX82" i="12" s="1"/>
  <c r="AX127" i="12" s="1"/>
  <c r="AX25" i="12"/>
  <c r="AX89" i="12" s="1"/>
  <c r="AX134" i="12" s="1"/>
  <c r="AX298" i="3"/>
  <c r="AX346" i="3" s="1"/>
  <c r="AX185" i="3" s="1"/>
  <c r="AX20" i="12"/>
  <c r="AX84" i="12" s="1"/>
  <c r="AX129" i="12" s="1"/>
  <c r="AX293" i="3"/>
  <c r="AX24" i="12"/>
  <c r="AX88" i="12" s="1"/>
  <c r="AX133" i="12" s="1"/>
  <c r="AX297" i="3"/>
  <c r="AX345" i="3" s="1"/>
  <c r="AX184" i="3" s="1"/>
  <c r="AX19" i="12"/>
  <c r="AX83" i="12" s="1"/>
  <c r="AX128" i="12" s="1"/>
  <c r="AX292" i="3"/>
  <c r="AX340" i="3" s="1"/>
  <c r="AX179" i="3" s="1"/>
  <c r="AX306" i="3"/>
  <c r="AX17" i="12"/>
  <c r="AX290" i="3"/>
  <c r="AX141" i="3"/>
  <c r="AX257" i="3"/>
  <c r="AX148" i="3"/>
  <c r="AX309" i="3" s="1"/>
  <c r="AX22" i="12"/>
  <c r="AX86" i="12" s="1"/>
  <c r="AX131" i="12" s="1"/>
  <c r="AX295" i="3"/>
  <c r="AX151" i="3"/>
  <c r="AX312" i="3" s="1"/>
  <c r="AX26" i="12"/>
  <c r="AX90" i="12" s="1"/>
  <c r="AX135" i="12" s="1"/>
  <c r="AX299" i="3"/>
  <c r="AX347" i="3" s="1"/>
  <c r="AX186" i="3" s="1"/>
  <c r="AX28" i="12"/>
  <c r="AX92" i="12" s="1"/>
  <c r="AX137" i="12" s="1"/>
  <c r="AX301" i="3"/>
  <c r="AX349" i="3" s="1"/>
  <c r="AX188" i="3" s="1"/>
  <c r="AX27" i="12"/>
  <c r="AX91" i="12" s="1"/>
  <c r="AX136" i="12" s="1"/>
  <c r="AX300" i="3"/>
  <c r="AX348" i="3" s="1"/>
  <c r="AX187" i="3" s="1"/>
  <c r="AX150" i="3"/>
  <c r="AX311" i="3" s="1"/>
  <c r="AX258" i="3" l="1"/>
  <c r="AX157" i="3"/>
  <c r="AX341" i="3"/>
  <c r="AX180" i="3" s="1"/>
  <c r="AX318" i="3"/>
  <c r="AX302" i="3"/>
  <c r="AX338" i="3"/>
  <c r="AX81" i="12"/>
  <c r="AX29" i="12"/>
  <c r="AX5" i="12" s="1"/>
  <c r="AX7" i="12" s="1"/>
  <c r="AX10" i="12" s="1"/>
  <c r="AX8" i="12" s="1"/>
  <c r="AX272" i="3"/>
  <c r="AX259" i="3"/>
  <c r="AX261" i="3" s="1"/>
  <c r="AX343" i="3"/>
  <c r="AX182" i="3" s="1"/>
  <c r="AX344" i="3"/>
  <c r="AX183" i="3" s="1"/>
  <c r="AX271" i="3" s="1"/>
  <c r="AX11" i="3"/>
  <c r="AX278" i="3"/>
  <c r="AX270" i="3" l="1"/>
  <c r="AX276" i="3" s="1"/>
  <c r="AX93" i="12"/>
  <c r="AX126" i="12"/>
  <c r="AX277" i="3"/>
  <c r="AX350" i="3"/>
  <c r="AX177" i="3"/>
  <c r="AX189" i="3" l="1"/>
  <c r="AX269" i="3"/>
  <c r="AX273" i="3" l="1"/>
  <c r="AX275" i="3"/>
  <c r="AX279" i="3" s="1"/>
  <c r="AY190" i="3"/>
  <c r="AY121" i="3" l="1"/>
  <c r="AY116" i="3"/>
  <c r="AY123" i="3"/>
  <c r="AY120" i="3"/>
  <c r="AY113" i="3"/>
  <c r="AY118" i="3"/>
  <c r="AY117" i="3"/>
  <c r="AY119" i="3"/>
  <c r="AY115" i="3"/>
  <c r="AY114" i="3"/>
  <c r="AY124" i="3"/>
  <c r="AY122" i="3"/>
  <c r="AY140" i="3" l="1"/>
  <c r="AY138" i="3"/>
  <c r="AY154" i="3" s="1"/>
  <c r="AY131" i="3"/>
  <c r="AY147" i="3"/>
  <c r="AY308" i="3" s="1"/>
  <c r="AY133" i="3"/>
  <c r="AY132" i="3"/>
  <c r="AY130" i="3"/>
  <c r="AY146" i="3" s="1"/>
  <c r="AY307" i="3" s="1"/>
  <c r="AY135" i="3"/>
  <c r="AY134" i="3"/>
  <c r="AY129" i="3"/>
  <c r="AY145" i="3" s="1"/>
  <c r="AY125" i="3"/>
  <c r="AY136" i="3"/>
  <c r="AY152" i="3"/>
  <c r="AY313" i="3" s="1"/>
  <c r="AY139" i="3"/>
  <c r="AY137" i="3"/>
  <c r="AY153" i="3" s="1"/>
  <c r="AY314" i="3" s="1"/>
  <c r="AY24" i="12" l="1"/>
  <c r="AY88" i="12" s="1"/>
  <c r="AY133" i="12" s="1"/>
  <c r="AY297" i="3"/>
  <c r="AY345" i="3" s="1"/>
  <c r="AY184" i="3" s="1"/>
  <c r="AY22" i="12"/>
  <c r="AY86" i="12" s="1"/>
  <c r="AY131" i="12" s="1"/>
  <c r="AY295" i="3"/>
  <c r="AY18" i="12"/>
  <c r="AY82" i="12" s="1"/>
  <c r="AY127" i="12" s="1"/>
  <c r="AY291" i="3"/>
  <c r="AY339" i="3" s="1"/>
  <c r="AY178" i="3" s="1"/>
  <c r="AY306" i="3"/>
  <c r="AY150" i="3"/>
  <c r="AY311" i="3" s="1"/>
  <c r="AY23" i="12"/>
  <c r="AY87" i="12" s="1"/>
  <c r="AY132" i="12" s="1"/>
  <c r="AY296" i="3"/>
  <c r="AY20" i="12"/>
  <c r="AY84" i="12" s="1"/>
  <c r="AY129" i="12" s="1"/>
  <c r="AY293" i="3"/>
  <c r="AY21" i="12"/>
  <c r="AY85" i="12" s="1"/>
  <c r="AY130" i="12" s="1"/>
  <c r="AY294" i="3"/>
  <c r="AY149" i="3"/>
  <c r="AY310" i="3" s="1"/>
  <c r="AY19" i="12"/>
  <c r="AY83" i="12" s="1"/>
  <c r="AY128" i="12" s="1"/>
  <c r="AY292" i="3"/>
  <c r="AY340" i="3" s="1"/>
  <c r="AY179" i="3" s="1"/>
  <c r="AY25" i="12"/>
  <c r="AY89" i="12" s="1"/>
  <c r="AY134" i="12" s="1"/>
  <c r="AY298" i="3"/>
  <c r="AY346" i="3" s="1"/>
  <c r="AY185" i="3" s="1"/>
  <c r="AY28" i="12"/>
  <c r="AY92" i="12" s="1"/>
  <c r="AY137" i="12" s="1"/>
  <c r="AY301" i="3"/>
  <c r="AY27" i="12"/>
  <c r="AY91" i="12" s="1"/>
  <c r="AY136" i="12" s="1"/>
  <c r="AY300" i="3"/>
  <c r="AY17" i="12"/>
  <c r="AY290" i="3"/>
  <c r="AY257" i="3"/>
  <c r="AY141" i="3"/>
  <c r="AY151" i="3"/>
  <c r="AY312" i="3" s="1"/>
  <c r="AY148" i="3"/>
  <c r="AY309" i="3" s="1"/>
  <c r="AY315" i="3"/>
  <c r="AY26" i="12"/>
  <c r="AY90" i="12" s="1"/>
  <c r="AY135" i="12" s="1"/>
  <c r="AY299" i="3"/>
  <c r="AY155" i="3"/>
  <c r="AY316" i="3" s="1"/>
  <c r="AY156" i="3"/>
  <c r="AY317" i="3" s="1"/>
  <c r="AY344" i="3" l="1"/>
  <c r="AY183" i="3" s="1"/>
  <c r="AY259" i="3"/>
  <c r="AY341" i="3"/>
  <c r="AY180" i="3" s="1"/>
  <c r="AY347" i="3"/>
  <c r="AY186" i="3" s="1"/>
  <c r="AY258" i="3"/>
  <c r="AY260" i="3"/>
  <c r="AY342" i="3"/>
  <c r="AY181" i="3" s="1"/>
  <c r="AY157" i="3"/>
  <c r="AY11" i="3" s="1"/>
  <c r="AY348" i="3"/>
  <c r="AY187" i="3" s="1"/>
  <c r="AY343" i="3"/>
  <c r="AY182" i="3" s="1"/>
  <c r="AY302" i="3"/>
  <c r="AY338" i="3"/>
  <c r="AY349" i="3"/>
  <c r="AY188" i="3" s="1"/>
  <c r="AY271" i="3"/>
  <c r="AY277" i="3" s="1"/>
  <c r="AY318" i="3"/>
  <c r="AY81" i="12"/>
  <c r="AY29" i="12"/>
  <c r="AY5" i="12" s="1"/>
  <c r="AY7" i="12" s="1"/>
  <c r="AY10" i="12" s="1"/>
  <c r="AY8" i="12" s="1"/>
  <c r="AY272" i="3" l="1"/>
  <c r="AY261" i="3"/>
  <c r="AY270" i="3"/>
  <c r="AY93" i="12"/>
  <c r="AY126" i="12"/>
  <c r="AY350" i="3"/>
  <c r="AY177" i="3"/>
  <c r="AY278" i="3"/>
  <c r="AY276" i="3"/>
  <c r="AY269" i="3" l="1"/>
  <c r="AY189" i="3"/>
  <c r="AZ190" i="3" l="1"/>
  <c r="AY273" i="3"/>
  <c r="AY275" i="3"/>
  <c r="AY279" i="3" s="1"/>
  <c r="AZ116" i="3" l="1"/>
  <c r="AZ121" i="3"/>
  <c r="AZ113" i="3"/>
  <c r="AZ123" i="3"/>
  <c r="AZ120" i="3"/>
  <c r="AZ117" i="3"/>
  <c r="AZ119" i="3"/>
  <c r="AZ118" i="3"/>
  <c r="AZ115" i="3"/>
  <c r="AZ114" i="3"/>
  <c r="AZ122" i="3"/>
  <c r="AZ124" i="3"/>
  <c r="AZ130" i="3" l="1"/>
  <c r="AZ140" i="3"/>
  <c r="AZ131" i="3"/>
  <c r="AZ147" i="3" s="1"/>
  <c r="AZ308" i="3" s="1"/>
  <c r="AZ133" i="3"/>
  <c r="AZ149" i="3" s="1"/>
  <c r="AZ310" i="3" s="1"/>
  <c r="AZ138" i="3"/>
  <c r="AZ134" i="3"/>
  <c r="AZ135" i="3"/>
  <c r="AZ151" i="3" s="1"/>
  <c r="AZ312" i="3" s="1"/>
  <c r="AZ136" i="3"/>
  <c r="AZ139" i="3"/>
  <c r="AZ155" i="3" s="1"/>
  <c r="AZ316" i="3" s="1"/>
  <c r="AZ129" i="3"/>
  <c r="AZ125" i="3"/>
  <c r="AZ137" i="3"/>
  <c r="AZ132" i="3"/>
  <c r="AZ148" i="3" s="1"/>
  <c r="AZ309" i="3" s="1"/>
  <c r="AZ17" i="12" l="1"/>
  <c r="AZ290" i="3"/>
  <c r="AZ141" i="3"/>
  <c r="AZ25" i="12"/>
  <c r="AZ89" i="12" s="1"/>
  <c r="AZ134" i="12" s="1"/>
  <c r="AZ298" i="3"/>
  <c r="AZ22" i="12"/>
  <c r="AZ86" i="12" s="1"/>
  <c r="AZ131" i="12" s="1"/>
  <c r="AZ295" i="3"/>
  <c r="AZ26" i="12"/>
  <c r="AZ90" i="12" s="1"/>
  <c r="AZ135" i="12" s="1"/>
  <c r="AZ299" i="3"/>
  <c r="AZ145" i="3"/>
  <c r="AZ24" i="12"/>
  <c r="AZ88" i="12" s="1"/>
  <c r="AZ133" i="12" s="1"/>
  <c r="AZ297" i="3"/>
  <c r="AZ23" i="12"/>
  <c r="AZ87" i="12" s="1"/>
  <c r="AZ132" i="12" s="1"/>
  <c r="AZ296" i="3"/>
  <c r="AZ344" i="3" s="1"/>
  <c r="AZ183" i="3" s="1"/>
  <c r="AZ154" i="3"/>
  <c r="AZ21" i="12"/>
  <c r="AZ85" i="12" s="1"/>
  <c r="AZ130" i="12" s="1"/>
  <c r="AZ294" i="3"/>
  <c r="AZ342" i="3" s="1"/>
  <c r="AZ181" i="3" s="1"/>
  <c r="AZ18" i="12"/>
  <c r="AZ82" i="12" s="1"/>
  <c r="AZ127" i="12" s="1"/>
  <c r="AZ291" i="3"/>
  <c r="AZ339" i="3" s="1"/>
  <c r="AZ178" i="3" s="1"/>
  <c r="AZ27" i="12"/>
  <c r="AZ91" i="12" s="1"/>
  <c r="AZ136" i="12" s="1"/>
  <c r="AZ300" i="3"/>
  <c r="AZ348" i="3" s="1"/>
  <c r="AZ187" i="3" s="1"/>
  <c r="AZ152" i="3"/>
  <c r="AZ313" i="3" s="1"/>
  <c r="AZ150" i="3"/>
  <c r="AZ311" i="3" s="1"/>
  <c r="AZ19" i="12"/>
  <c r="AZ83" i="12" s="1"/>
  <c r="AZ128" i="12" s="1"/>
  <c r="AZ292" i="3"/>
  <c r="AZ340" i="3" s="1"/>
  <c r="AZ179" i="3" s="1"/>
  <c r="AZ28" i="12"/>
  <c r="AZ92" i="12" s="1"/>
  <c r="AZ137" i="12" s="1"/>
  <c r="AZ301" i="3"/>
  <c r="AZ156" i="3"/>
  <c r="AZ317" i="3" s="1"/>
  <c r="AZ20" i="12"/>
  <c r="AZ84" i="12" s="1"/>
  <c r="AZ129" i="12" s="1"/>
  <c r="AZ293" i="3"/>
  <c r="AZ341" i="3" s="1"/>
  <c r="AZ180" i="3" s="1"/>
  <c r="AZ153" i="3"/>
  <c r="AZ314" i="3" s="1"/>
  <c r="AZ146" i="3"/>
  <c r="AZ307" i="3" s="1"/>
  <c r="AZ259" i="3" l="1"/>
  <c r="AZ343" i="3"/>
  <c r="AZ182" i="3" s="1"/>
  <c r="AZ270" i="3" s="1"/>
  <c r="AZ258" i="3"/>
  <c r="AZ257" i="3"/>
  <c r="AZ345" i="3"/>
  <c r="AZ184" i="3" s="1"/>
  <c r="AZ260" i="3"/>
  <c r="AZ315" i="3"/>
  <c r="AZ347" i="3" s="1"/>
  <c r="AZ186" i="3" s="1"/>
  <c r="AZ349" i="3"/>
  <c r="AZ188" i="3" s="1"/>
  <c r="AZ346" i="3"/>
  <c r="AZ185" i="3" s="1"/>
  <c r="AZ302" i="3"/>
  <c r="AZ306" i="3"/>
  <c r="AZ157" i="3"/>
  <c r="AZ11" i="3" s="1"/>
  <c r="AZ81" i="12"/>
  <c r="AZ29" i="12"/>
  <c r="AZ5" i="12" s="1"/>
  <c r="AZ7" i="12" s="1"/>
  <c r="AZ10" i="12" s="1"/>
  <c r="AZ8" i="12" s="1"/>
  <c r="AZ276" i="3" l="1"/>
  <c r="AZ272" i="3"/>
  <c r="AZ278" i="3" s="1"/>
  <c r="AZ271" i="3"/>
  <c r="AZ277" i="3" s="1"/>
  <c r="AZ318" i="3"/>
  <c r="AZ93" i="12"/>
  <c r="AZ126" i="12"/>
  <c r="AZ338" i="3"/>
  <c r="AZ261" i="3"/>
  <c r="AZ350" i="3" l="1"/>
  <c r="AZ177" i="3"/>
  <c r="AZ189" i="3" l="1"/>
  <c r="AZ269" i="3"/>
  <c r="AZ273" i="3" l="1"/>
  <c r="AZ275" i="3"/>
  <c r="AZ279" i="3" s="1"/>
  <c r="BA190" i="3"/>
  <c r="BA121" i="3" l="1"/>
  <c r="BA116" i="3"/>
  <c r="BA113" i="3"/>
  <c r="BA123" i="3"/>
  <c r="BA118" i="3"/>
  <c r="BA120" i="3"/>
  <c r="BA117" i="3"/>
  <c r="BA119" i="3"/>
  <c r="BA115" i="3"/>
  <c r="BA114" i="3"/>
  <c r="BA122" i="3"/>
  <c r="BA124" i="3"/>
  <c r="BA135" i="3" l="1"/>
  <c r="BA130" i="3"/>
  <c r="BA291" i="3" s="1"/>
  <c r="BA136" i="3"/>
  <c r="BA297" i="3" s="1"/>
  <c r="BA132" i="3"/>
  <c r="BA140" i="3"/>
  <c r="BA301" i="3" s="1"/>
  <c r="BA138" i="3"/>
  <c r="BA299" i="3" s="1"/>
  <c r="BA131" i="3"/>
  <c r="BA292" i="3" s="1"/>
  <c r="BA133" i="3"/>
  <c r="BA294" i="3" s="1"/>
  <c r="BA134" i="3"/>
  <c r="BA295" i="3" s="1"/>
  <c r="BA139" i="3"/>
  <c r="BA300" i="3" s="1"/>
  <c r="BA129" i="3"/>
  <c r="BA125" i="3"/>
  <c r="BA137" i="3"/>
  <c r="BA298" i="3" s="1"/>
  <c r="BA154" i="3" l="1"/>
  <c r="BA315" i="3" s="1"/>
  <c r="BA347" i="3" s="1"/>
  <c r="BA186" i="3" s="1"/>
  <c r="BA155" i="3"/>
  <c r="BA316" i="3" s="1"/>
  <c r="BA348" i="3" s="1"/>
  <c r="BA187" i="3" s="1"/>
  <c r="BA149" i="3"/>
  <c r="BA310" i="3" s="1"/>
  <c r="BA342" i="3" s="1"/>
  <c r="BA181" i="3" s="1"/>
  <c r="BA146" i="3"/>
  <c r="BA307" i="3" s="1"/>
  <c r="BA339" i="3" s="1"/>
  <c r="BA178" i="3" s="1"/>
  <c r="BA150" i="3"/>
  <c r="BA311" i="3" s="1"/>
  <c r="BA343" i="3" s="1"/>
  <c r="BA182" i="3" s="1"/>
  <c r="BA147" i="3"/>
  <c r="BA308" i="3" s="1"/>
  <c r="BA340" i="3" s="1"/>
  <c r="BA179" i="3" s="1"/>
  <c r="BA156" i="3"/>
  <c r="BA317" i="3" s="1"/>
  <c r="BA349" i="3" s="1"/>
  <c r="BA188" i="3" s="1"/>
  <c r="BA153" i="3"/>
  <c r="BA314" i="3" s="1"/>
  <c r="BA346" i="3" s="1"/>
  <c r="BA185" i="3" s="1"/>
  <c r="BA296" i="3"/>
  <c r="BA290" i="3"/>
  <c r="BA141" i="3"/>
  <c r="BA293" i="3"/>
  <c r="BA148" i="3"/>
  <c r="BA309" i="3" s="1"/>
  <c r="BA152" i="3"/>
  <c r="BA313" i="3" s="1"/>
  <c r="BA345" i="3" s="1"/>
  <c r="BA184" i="3" s="1"/>
  <c r="BA145" i="3"/>
  <c r="BA151" i="3"/>
  <c r="BA312" i="3" s="1"/>
  <c r="BA260" i="3" l="1"/>
  <c r="BA257" i="3"/>
  <c r="BA344" i="3"/>
  <c r="BA183" i="3" s="1"/>
  <c r="BA271" i="3" s="1"/>
  <c r="BA259" i="3"/>
  <c r="BA272" i="3"/>
  <c r="BA302" i="3"/>
  <c r="BA306" i="3"/>
  <c r="BA318" i="3" s="1"/>
  <c r="BA157" i="3"/>
  <c r="BA341" i="3"/>
  <c r="BA180" i="3" s="1"/>
  <c r="BA270" i="3" s="1"/>
  <c r="BA11" i="3"/>
  <c r="BA258" i="3"/>
  <c r="BA276" i="3" l="1"/>
  <c r="BA277" i="3"/>
  <c r="BA278" i="3"/>
  <c r="BA338" i="3"/>
  <c r="BA261" i="3"/>
  <c r="BA177" i="3" l="1"/>
  <c r="BA350" i="3"/>
  <c r="BA189" i="3" l="1"/>
  <c r="BA269" i="3"/>
  <c r="BA273" i="3" l="1"/>
  <c r="BA275" i="3"/>
  <c r="BA279" i="3" s="1"/>
  <c r="BB190" i="3"/>
  <c r="BB116" i="3" l="1"/>
  <c r="BB121" i="3"/>
  <c r="BB123" i="3"/>
  <c r="BB118" i="3"/>
  <c r="BB120" i="3"/>
  <c r="BB113" i="3"/>
  <c r="BB117" i="3"/>
  <c r="BB119" i="3"/>
  <c r="BB122" i="3"/>
  <c r="BB115" i="3"/>
  <c r="BB114" i="3"/>
  <c r="BB124" i="3"/>
  <c r="BB130" i="3" l="1"/>
  <c r="BB291" i="3" s="1"/>
  <c r="BB140" i="3"/>
  <c r="BB301" i="3" s="1"/>
  <c r="BB131" i="3"/>
  <c r="BB292" i="3" s="1"/>
  <c r="BB138" i="3"/>
  <c r="BB299" i="3" s="1"/>
  <c r="BB154" i="3"/>
  <c r="BB135" i="3"/>
  <c r="BB133" i="3"/>
  <c r="BB294" i="3" s="1"/>
  <c r="BB149" i="3"/>
  <c r="BB310" i="3" s="1"/>
  <c r="BB125" i="3"/>
  <c r="BB129" i="3"/>
  <c r="BB145" i="3" s="1"/>
  <c r="BB136" i="3"/>
  <c r="BB297" i="3" s="1"/>
  <c r="BB134" i="3"/>
  <c r="BB295" i="3" s="1"/>
  <c r="BB139" i="3"/>
  <c r="BB300" i="3" s="1"/>
  <c r="BB137" i="3"/>
  <c r="BB298" i="3" s="1"/>
  <c r="BB132" i="3"/>
  <c r="BB148" i="3" s="1"/>
  <c r="BB309" i="3" s="1"/>
  <c r="BB150" i="3" l="1"/>
  <c r="BB311" i="3" s="1"/>
  <c r="BB343" i="3" s="1"/>
  <c r="BB182" i="3" s="1"/>
  <c r="BB306" i="3"/>
  <c r="BB152" i="3"/>
  <c r="BB313" i="3" s="1"/>
  <c r="BB296" i="3"/>
  <c r="BB151" i="3"/>
  <c r="BB312" i="3" s="1"/>
  <c r="BB345" i="3"/>
  <c r="BB184" i="3" s="1"/>
  <c r="BB290" i="3"/>
  <c r="BB141" i="3"/>
  <c r="BB315" i="3"/>
  <c r="BB342" i="3"/>
  <c r="BB181" i="3" s="1"/>
  <c r="BB347" i="3"/>
  <c r="BB186" i="3" s="1"/>
  <c r="BB147" i="3"/>
  <c r="BB308" i="3" s="1"/>
  <c r="BB340" i="3" s="1"/>
  <c r="BB179" i="3" s="1"/>
  <c r="BB155" i="3"/>
  <c r="BB316" i="3" s="1"/>
  <c r="BB348" i="3" s="1"/>
  <c r="BB187" i="3" s="1"/>
  <c r="BB156" i="3"/>
  <c r="BB317" i="3" s="1"/>
  <c r="BB349" i="3" s="1"/>
  <c r="BB188" i="3" s="1"/>
  <c r="BB293" i="3"/>
  <c r="BB341" i="3" s="1"/>
  <c r="BB180" i="3" s="1"/>
  <c r="BB258" i="3"/>
  <c r="BB153" i="3"/>
  <c r="BB314" i="3" s="1"/>
  <c r="BB346" i="3" s="1"/>
  <c r="BB185" i="3" s="1"/>
  <c r="BB146" i="3"/>
  <c r="BB307" i="3" s="1"/>
  <c r="BB339" i="3" s="1"/>
  <c r="BB178" i="3" s="1"/>
  <c r="BB272" i="3" l="1"/>
  <c r="BB260" i="3"/>
  <c r="BB278" i="3" s="1"/>
  <c r="BB257" i="3"/>
  <c r="BB259" i="3"/>
  <c r="BB302" i="3"/>
  <c r="BB338" i="3"/>
  <c r="BB344" i="3"/>
  <c r="BB183" i="3" s="1"/>
  <c r="BB271" i="3" s="1"/>
  <c r="BB157" i="3"/>
  <c r="BB11" i="3" s="1"/>
  <c r="BB270" i="3"/>
  <c r="BB276" i="3" s="1"/>
  <c r="BB318" i="3"/>
  <c r="BB177" i="3" l="1"/>
  <c r="BB350" i="3"/>
  <c r="BB277" i="3"/>
  <c r="BB261" i="3"/>
  <c r="BB269" i="3" l="1"/>
  <c r="BB189" i="3"/>
  <c r="BC190" i="3" l="1"/>
  <c r="BB273" i="3"/>
  <c r="BB275" i="3"/>
  <c r="BB279" i="3" s="1"/>
  <c r="BC116" i="3" l="1"/>
  <c r="BC121" i="3"/>
  <c r="BC123" i="3"/>
  <c r="BC120" i="3"/>
  <c r="BC118" i="3"/>
  <c r="BC113" i="3"/>
  <c r="BC117" i="3"/>
  <c r="BC122" i="3"/>
  <c r="BC119" i="3"/>
  <c r="BC115" i="3"/>
  <c r="BC114" i="3"/>
  <c r="BC124" i="3"/>
  <c r="BC135" i="3" l="1"/>
  <c r="BC125" i="3"/>
  <c r="BC129" i="3"/>
  <c r="BC134" i="3"/>
  <c r="BC295" i="3" s="1"/>
  <c r="BC133" i="3"/>
  <c r="BC294" i="3" s="1"/>
  <c r="BC149" i="3"/>
  <c r="BC310" i="3" s="1"/>
  <c r="BC136" i="3"/>
  <c r="BC297" i="3" s="1"/>
  <c r="BC152" i="3"/>
  <c r="BC313" i="3" s="1"/>
  <c r="BC140" i="3"/>
  <c r="BC301" i="3" s="1"/>
  <c r="BC131" i="3"/>
  <c r="BC292" i="3" s="1"/>
  <c r="BC138" i="3"/>
  <c r="BC299" i="3" s="1"/>
  <c r="BC139" i="3"/>
  <c r="BC300" i="3" s="1"/>
  <c r="BC155" i="3"/>
  <c r="BC316" i="3" s="1"/>
  <c r="BC130" i="3"/>
  <c r="BC291" i="3" s="1"/>
  <c r="BC137" i="3"/>
  <c r="BC298" i="3" s="1"/>
  <c r="BC132" i="3"/>
  <c r="BC148" i="3" s="1"/>
  <c r="BC309" i="3" s="1"/>
  <c r="BC154" i="3" l="1"/>
  <c r="BC147" i="3"/>
  <c r="BC308" i="3" s="1"/>
  <c r="BC345" i="3"/>
  <c r="BC184" i="3" s="1"/>
  <c r="BC150" i="3"/>
  <c r="BC311" i="3" s="1"/>
  <c r="BC348" i="3"/>
  <c r="BC187" i="3" s="1"/>
  <c r="BC290" i="3"/>
  <c r="BC141" i="3"/>
  <c r="BC146" i="3"/>
  <c r="BC307" i="3" s="1"/>
  <c r="BC339" i="3" s="1"/>
  <c r="BC178" i="3" s="1"/>
  <c r="BC156" i="3"/>
  <c r="BC317" i="3" s="1"/>
  <c r="BC349" i="3" s="1"/>
  <c r="BC188" i="3" s="1"/>
  <c r="BC342" i="3"/>
  <c r="BC181" i="3" s="1"/>
  <c r="BC145" i="3"/>
  <c r="BC340" i="3"/>
  <c r="BC179" i="3" s="1"/>
  <c r="BC343" i="3"/>
  <c r="BC182" i="3" s="1"/>
  <c r="BC258" i="3"/>
  <c r="BC293" i="3"/>
  <c r="BC341" i="3" s="1"/>
  <c r="BC180" i="3" s="1"/>
  <c r="BC270" i="3" s="1"/>
  <c r="BC296" i="3"/>
  <c r="BC315" i="3"/>
  <c r="BC347" i="3" s="1"/>
  <c r="BC186" i="3" s="1"/>
  <c r="BC153" i="3"/>
  <c r="BC314" i="3" s="1"/>
  <c r="BC346" i="3" s="1"/>
  <c r="BC185" i="3" s="1"/>
  <c r="BC151" i="3"/>
  <c r="BC312" i="3" s="1"/>
  <c r="BC259" i="3" l="1"/>
  <c r="BC272" i="3"/>
  <c r="BC260" i="3"/>
  <c r="BC344" i="3"/>
  <c r="BC183" i="3" s="1"/>
  <c r="BC271" i="3" s="1"/>
  <c r="BC306" i="3"/>
  <c r="BC318" i="3" s="1"/>
  <c r="BC157" i="3"/>
  <c r="BC11" i="3" s="1"/>
  <c r="BC278" i="3"/>
  <c r="BC257" i="3"/>
  <c r="BC276" i="3"/>
  <c r="BC302" i="3"/>
  <c r="BC277" i="3" l="1"/>
  <c r="BC338" i="3"/>
  <c r="BC177" i="3" s="1"/>
  <c r="BC350" i="3"/>
  <c r="BC261" i="3"/>
  <c r="BC269" i="3" l="1"/>
  <c r="BC189" i="3"/>
  <c r="BD190" i="3" l="1"/>
  <c r="BC273" i="3"/>
  <c r="BC275" i="3"/>
  <c r="BC279" i="3" s="1"/>
  <c r="BD116" i="3" l="1"/>
  <c r="BD121" i="3"/>
  <c r="BD123" i="3"/>
  <c r="BD120" i="3"/>
  <c r="BD113" i="3"/>
  <c r="BD117" i="3"/>
  <c r="BD118" i="3"/>
  <c r="BD122" i="3"/>
  <c r="BD119" i="3"/>
  <c r="BD124" i="3"/>
  <c r="BD114" i="3"/>
  <c r="BD115" i="3"/>
  <c r="BD131" i="3" l="1"/>
  <c r="BD292" i="3" s="1"/>
  <c r="BD140" i="3"/>
  <c r="BD301" i="3" s="1"/>
  <c r="BD138" i="3"/>
  <c r="BD299" i="3" s="1"/>
  <c r="BD154" i="3"/>
  <c r="BD137" i="3"/>
  <c r="BD298" i="3" s="1"/>
  <c r="BD130" i="3"/>
  <c r="BD291" i="3" s="1"/>
  <c r="BD135" i="3"/>
  <c r="BD134" i="3"/>
  <c r="BD295" i="3" s="1"/>
  <c r="BD133" i="3"/>
  <c r="BD294" i="3" s="1"/>
  <c r="BD149" i="3"/>
  <c r="BD310" i="3" s="1"/>
  <c r="BD125" i="3"/>
  <c r="BD129" i="3"/>
  <c r="BD145" i="3" s="1"/>
  <c r="BD136" i="3"/>
  <c r="BD297" i="3" s="1"/>
  <c r="BD139" i="3"/>
  <c r="BD300" i="3" s="1"/>
  <c r="BD132" i="3"/>
  <c r="BD306" i="3" l="1"/>
  <c r="BD342" i="3"/>
  <c r="BD181" i="3" s="1"/>
  <c r="BD290" i="3"/>
  <c r="BD141" i="3"/>
  <c r="BD152" i="3"/>
  <c r="BD313" i="3" s="1"/>
  <c r="BD345" i="3" s="1"/>
  <c r="BD184" i="3" s="1"/>
  <c r="BD150" i="3"/>
  <c r="BD311" i="3" s="1"/>
  <c r="BD343" i="3" s="1"/>
  <c r="BD182" i="3" s="1"/>
  <c r="BD296" i="3"/>
  <c r="BD151" i="3"/>
  <c r="BD312" i="3" s="1"/>
  <c r="BD146" i="3"/>
  <c r="BD307" i="3" s="1"/>
  <c r="BD339" i="3" s="1"/>
  <c r="BD178" i="3" s="1"/>
  <c r="BD153" i="3"/>
  <c r="BD314" i="3" s="1"/>
  <c r="BD346" i="3" s="1"/>
  <c r="BD185" i="3" s="1"/>
  <c r="BD315" i="3"/>
  <c r="BD347" i="3" s="1"/>
  <c r="BD186" i="3" s="1"/>
  <c r="BD156" i="3"/>
  <c r="BD317" i="3" s="1"/>
  <c r="BD349" i="3" s="1"/>
  <c r="BD188" i="3" s="1"/>
  <c r="BD293" i="3"/>
  <c r="BD148" i="3"/>
  <c r="BD309" i="3" s="1"/>
  <c r="BD155" i="3"/>
  <c r="BD316" i="3" s="1"/>
  <c r="BD348" i="3" s="1"/>
  <c r="BD187" i="3" s="1"/>
  <c r="BD147" i="3"/>
  <c r="BD308" i="3" s="1"/>
  <c r="BD340" i="3" s="1"/>
  <c r="BD179" i="3" s="1"/>
  <c r="BD259" i="3" l="1"/>
  <c r="BD260" i="3"/>
  <c r="BD341" i="3"/>
  <c r="BD180" i="3" s="1"/>
  <c r="BD272" i="3"/>
  <c r="BD278" i="3" s="1"/>
  <c r="BD344" i="3"/>
  <c r="BD183" i="3" s="1"/>
  <c r="BD271" i="3" s="1"/>
  <c r="BD277" i="3" s="1"/>
  <c r="BD270" i="3"/>
  <c r="BD302" i="3"/>
  <c r="BD338" i="3"/>
  <c r="BD157" i="3"/>
  <c r="BD11" i="3" s="1"/>
  <c r="BD257" i="3"/>
  <c r="BD258" i="3"/>
  <c r="BD318" i="3"/>
  <c r="BD276" i="3" l="1"/>
  <c r="BD261" i="3"/>
  <c r="BD350" i="3"/>
  <c r="BD177" i="3"/>
  <c r="BD269" i="3" l="1"/>
  <c r="BD189" i="3"/>
  <c r="BE190" i="3" l="1"/>
  <c r="BD273" i="3"/>
  <c r="BD275" i="3"/>
  <c r="BD279" i="3" s="1"/>
  <c r="BE116" i="3" l="1"/>
  <c r="BE123" i="3"/>
  <c r="BE121" i="3"/>
  <c r="BE120" i="3"/>
  <c r="BE117" i="3"/>
  <c r="BE118" i="3"/>
  <c r="BE113" i="3"/>
  <c r="BE122" i="3"/>
  <c r="BE119" i="3"/>
  <c r="BE115" i="3"/>
  <c r="BE114" i="3"/>
  <c r="BE124" i="3"/>
  <c r="BE125" i="3" l="1"/>
  <c r="BE129" i="3"/>
  <c r="BE140" i="3"/>
  <c r="BE301" i="3" s="1"/>
  <c r="BE131" i="3"/>
  <c r="BE292" i="3" s="1"/>
  <c r="BE133" i="3"/>
  <c r="BE294" i="3" s="1"/>
  <c r="BE149" i="3"/>
  <c r="BE310" i="3" s="1"/>
  <c r="BE130" i="3"/>
  <c r="BE291" i="3" s="1"/>
  <c r="BE146" i="3"/>
  <c r="BE307" i="3" s="1"/>
  <c r="BE135" i="3"/>
  <c r="BE151" i="3" s="1"/>
  <c r="BE312" i="3" s="1"/>
  <c r="BE138" i="3"/>
  <c r="BE299" i="3" s="1"/>
  <c r="BE134" i="3"/>
  <c r="BE295" i="3" s="1"/>
  <c r="BE136" i="3"/>
  <c r="BE297" i="3" s="1"/>
  <c r="BE137" i="3"/>
  <c r="BE298" i="3" s="1"/>
  <c r="BE139" i="3"/>
  <c r="BE300" i="3" s="1"/>
  <c r="BE132" i="3"/>
  <c r="BE148" i="3" s="1"/>
  <c r="BE309" i="3" s="1"/>
  <c r="BE150" i="3" l="1"/>
  <c r="BE311" i="3" s="1"/>
  <c r="BE152" i="3"/>
  <c r="BE313" i="3" s="1"/>
  <c r="BE345" i="3" s="1"/>
  <c r="BE184" i="3" s="1"/>
  <c r="BE153" i="3"/>
  <c r="BE314" i="3" s="1"/>
  <c r="BE346" i="3" s="1"/>
  <c r="BE185" i="3" s="1"/>
  <c r="BE343" i="3"/>
  <c r="BE182" i="3" s="1"/>
  <c r="BE290" i="3"/>
  <c r="BE141" i="3"/>
  <c r="BE154" i="3"/>
  <c r="BE296" i="3"/>
  <c r="BE344" i="3" s="1"/>
  <c r="BE183" i="3" s="1"/>
  <c r="BE339" i="3"/>
  <c r="BE178" i="3" s="1"/>
  <c r="BE342" i="3"/>
  <c r="BE181" i="3" s="1"/>
  <c r="BE147" i="3"/>
  <c r="BE308" i="3" s="1"/>
  <c r="BE340" i="3" s="1"/>
  <c r="BE179" i="3" s="1"/>
  <c r="BE156" i="3"/>
  <c r="BE317" i="3" s="1"/>
  <c r="BE349" i="3" s="1"/>
  <c r="BE188" i="3" s="1"/>
  <c r="BE258" i="3"/>
  <c r="BE293" i="3"/>
  <c r="BE341" i="3" s="1"/>
  <c r="BE180" i="3" s="1"/>
  <c r="BE145" i="3"/>
  <c r="BE155" i="3"/>
  <c r="BE316" i="3" s="1"/>
  <c r="BE348" i="3" s="1"/>
  <c r="BE187" i="3" s="1"/>
  <c r="BE271" i="3" l="1"/>
  <c r="BE270" i="3"/>
  <c r="BE276" i="3" s="1"/>
  <c r="BE259" i="3"/>
  <c r="BE302" i="3"/>
  <c r="BE306" i="3"/>
  <c r="BE157" i="3"/>
  <c r="BE11" i="3" s="1"/>
  <c r="BE315" i="3"/>
  <c r="BE347" i="3" s="1"/>
  <c r="BE186" i="3" s="1"/>
  <c r="BE272" i="3" s="1"/>
  <c r="BE260" i="3"/>
  <c r="BE257" i="3"/>
  <c r="BE277" i="3" l="1"/>
  <c r="BE261" i="3"/>
  <c r="BE278" i="3"/>
  <c r="BE318" i="3"/>
  <c r="BE338" i="3"/>
  <c r="BE350" i="3" l="1"/>
  <c r="BE177" i="3"/>
  <c r="BE269" i="3" l="1"/>
  <c r="BE189" i="3"/>
  <c r="BF190" i="3" s="1"/>
  <c r="BF116" i="3" l="1"/>
  <c r="BF123" i="3"/>
  <c r="BF121" i="3"/>
  <c r="BF113" i="3"/>
  <c r="BF117" i="3"/>
  <c r="BF120" i="3"/>
  <c r="BF118" i="3"/>
  <c r="BF122" i="3"/>
  <c r="BF119" i="3"/>
  <c r="BF115" i="3"/>
  <c r="BF124" i="3"/>
  <c r="BF114" i="3"/>
  <c r="BE273" i="3"/>
  <c r="BE275" i="3"/>
  <c r="BE279" i="3" s="1"/>
  <c r="BF140" i="3" l="1"/>
  <c r="BF301" i="3" s="1"/>
  <c r="BF131" i="3"/>
  <c r="BF292" i="3" s="1"/>
  <c r="BF139" i="3"/>
  <c r="BF300" i="3" s="1"/>
  <c r="BF130" i="3"/>
  <c r="BF291" i="3" s="1"/>
  <c r="BF135" i="3"/>
  <c r="BF151" i="3" s="1"/>
  <c r="BF312" i="3" s="1"/>
  <c r="BF138" i="3"/>
  <c r="BF299" i="3" s="1"/>
  <c r="BF134" i="3"/>
  <c r="BF295" i="3" s="1"/>
  <c r="BF136" i="3"/>
  <c r="BF297" i="3" s="1"/>
  <c r="BF133" i="3"/>
  <c r="BF294" i="3" s="1"/>
  <c r="BF125" i="3"/>
  <c r="BF129" i="3"/>
  <c r="BF145" i="3" s="1"/>
  <c r="BF137" i="3"/>
  <c r="BF298" i="3" s="1"/>
  <c r="BF132" i="3"/>
  <c r="BF152" i="3" l="1"/>
  <c r="BF313" i="3" s="1"/>
  <c r="BF149" i="3"/>
  <c r="BF310" i="3" s="1"/>
  <c r="BF342" i="3" s="1"/>
  <c r="BF181" i="3" s="1"/>
  <c r="BF155" i="3"/>
  <c r="BF316" i="3" s="1"/>
  <c r="BF348" i="3" s="1"/>
  <c r="BF187" i="3" s="1"/>
  <c r="BF306" i="3"/>
  <c r="BF141" i="3"/>
  <c r="BF290" i="3"/>
  <c r="BF345" i="3"/>
  <c r="BF184" i="3" s="1"/>
  <c r="BF147" i="3"/>
  <c r="BF308" i="3" s="1"/>
  <c r="BF154" i="3"/>
  <c r="BF296" i="3"/>
  <c r="BF344" i="3" s="1"/>
  <c r="BF183" i="3" s="1"/>
  <c r="BF150" i="3"/>
  <c r="BF311" i="3" s="1"/>
  <c r="BF343" i="3" s="1"/>
  <c r="BF182" i="3" s="1"/>
  <c r="BF146" i="3"/>
  <c r="BF307" i="3" s="1"/>
  <c r="BF339" i="3" s="1"/>
  <c r="BF178" i="3" s="1"/>
  <c r="BF340" i="3"/>
  <c r="BF179" i="3" s="1"/>
  <c r="BF293" i="3"/>
  <c r="BF148" i="3"/>
  <c r="BF309" i="3" s="1"/>
  <c r="BF153" i="3"/>
  <c r="BF314" i="3" s="1"/>
  <c r="BF346" i="3" s="1"/>
  <c r="BF185" i="3" s="1"/>
  <c r="BF156" i="3"/>
  <c r="BF317" i="3" s="1"/>
  <c r="BF349" i="3" s="1"/>
  <c r="BF188" i="3" s="1"/>
  <c r="BF259" i="3" l="1"/>
  <c r="BF271" i="3"/>
  <c r="BF341" i="3"/>
  <c r="BF180" i="3" s="1"/>
  <c r="BF270" i="3" s="1"/>
  <c r="BF258" i="3"/>
  <c r="BF315" i="3"/>
  <c r="BF347" i="3" s="1"/>
  <c r="BF186" i="3" s="1"/>
  <c r="BF272" i="3" s="1"/>
  <c r="BF260" i="3"/>
  <c r="BF302" i="3"/>
  <c r="BF338" i="3"/>
  <c r="BF257" i="3"/>
  <c r="BF157" i="3"/>
  <c r="BF11" i="3"/>
  <c r="BF318" i="3"/>
  <c r="BF277" i="3" l="1"/>
  <c r="BF276" i="3"/>
  <c r="BF278" i="3"/>
  <c r="BF261" i="3"/>
  <c r="BF350" i="3"/>
  <c r="BF177" i="3"/>
  <c r="BF269" i="3" l="1"/>
  <c r="BF189" i="3"/>
  <c r="BF273" i="3" l="1"/>
  <c r="BF275" i="3"/>
  <c r="BF27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<sst xmlns="http://schemas.openxmlformats.org/spreadsheetml/2006/main" count="2191" uniqueCount="408">
  <si>
    <t>U.S. CORN PROCESSING</t>
  </si>
  <si>
    <t>(million bushels)</t>
  </si>
  <si>
    <t>TOTAL CORN GRIND</t>
  </si>
  <si>
    <t xml:space="preserve">  Dry Mill</t>
  </si>
  <si>
    <t xml:space="preserve">  Wet Mill</t>
  </si>
  <si>
    <t xml:space="preserve">    For Ethanol</t>
  </si>
  <si>
    <t xml:space="preserve">    For Other Products</t>
  </si>
  <si>
    <t>Bold numbers are The Jacobsen forecasts and estimates</t>
  </si>
  <si>
    <t>TOTAL CORN GRIND FOR ETHANOL</t>
  </si>
  <si>
    <t>Bold numbers are Fastmarkets forecasts and estimates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</si>
  <si>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</si>
  <si>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</si>
  <si>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</si>
  <si>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</si>
  <si>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</si>
  <si>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</si>
  <si>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</si>
  <si>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</si>
  <si>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</si>
  <si>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</si>
  <si>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</si>
  <si>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</si>
  <si>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Total</t>
  </si>
  <si>
    <t>DRY MILL</t>
  </si>
  <si>
    <t>TOTAL WET MILL</t>
  </si>
  <si>
    <t>WET MILL FOR ETHANOL</t>
  </si>
  <si>
    <t>WET MILL FOR OTHER PRODUCTS</t>
  </si>
  <si>
    <t>CORN OIL PRODUCTION</t>
  </si>
  <si>
    <t>(000 tonnes)</t>
  </si>
  <si>
    <t>Corn Oil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</si>
  <si>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</si>
  <si>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</si>
  <si>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</si>
  <si>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</si>
  <si>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</si>
  <si>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</si>
  <si>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</si>
  <si>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</si>
  <si>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</si>
  <si>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</si>
  <si>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</si>
  <si>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Corn Gluten Meal</t>
  </si>
  <si>
    <t>CORN GLUTEN MEAL PRODUCTION</t>
  </si>
  <si>
    <t>Wet Mill for Ethanol</t>
  </si>
  <si>
    <t>Wet Mill for Other</t>
  </si>
  <si>
    <t>DDGs</t>
  </si>
  <si>
    <t>CORN GLUTEN FEED PRODUCTION</t>
  </si>
  <si>
    <t>WHEAT MIDS PRODUCTION</t>
  </si>
  <si>
    <t>WET CORN GLUTEN FEED PRODUCTION</t>
  </si>
  <si>
    <t>DISTILLERS' DRIED GRAINS (DDG) PRODUCTION</t>
  </si>
  <si>
    <t>DISTILLERS DRIED GRAINS WITH SOLUBLES (DDGS) PRODUCTION</t>
  </si>
  <si>
    <t>GDP Growth</t>
  </si>
  <si>
    <t>WHEAT GROUND FOR FLOUR</t>
  </si>
  <si>
    <t>Population Growth</t>
  </si>
  <si>
    <t>(000 bushels)</t>
  </si>
  <si>
    <t>WHEAT MIDDLINGS PRODUCTION</t>
  </si>
  <si>
    <t>WHEAT GROUND FOR FLOUR BY QUARTER</t>
  </si>
  <si>
    <t>Jan/Mar</t>
  </si>
  <si>
    <t>Apr/Jun</t>
  </si>
  <si>
    <t>Jul/Sep</t>
  </si>
  <si>
    <t>Oct/Dec</t>
  </si>
  <si>
    <t>WHEAT MIDDLINGS PRODUCTION BY QUARTER</t>
  </si>
  <si>
    <t>(tonnes)</t>
  </si>
  <si>
    <t>WHEAT MIDDLINGS YIELD BY QUARTER</t>
  </si>
  <si>
    <t>(lbs/bu)</t>
  </si>
  <si>
    <t>US ETHANOL SUPPLY AND DEMAND (September - August, Million Gallons)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</si>
  <si>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</si>
  <si>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</si>
  <si>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</si>
  <si>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</si>
  <si>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</si>
  <si>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</si>
  <si>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</si>
  <si>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</si>
  <si>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</si>
  <si>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</si>
  <si>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</si>
  <si>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</si>
  <si>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</si>
  <si>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</si>
  <si>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</si>
  <si>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</si>
  <si>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</si>
  <si>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</si>
  <si>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</si>
  <si>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</si>
  <si>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</si>
  <si>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</si>
  <si>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</si>
  <si>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</si>
  <si>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</si>
  <si>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</si>
  <si>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</si>
  <si>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</si>
  <si>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</si>
  <si>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</si>
  <si>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</si>
  <si>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</si>
  <si>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</si>
  <si>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</si>
  <si>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</si>
  <si>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</si>
  <si>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</si>
  <si>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</si>
  <si>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</si>
  <si>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</si>
  <si>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</si>
  <si>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</si>
  <si>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</si>
  <si>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36/37</t>
  </si>
  <si>
    <t>37/38</t>
  </si>
  <si>
    <t>38/39</t>
  </si>
  <si>
    <t>39/40</t>
  </si>
  <si>
    <t>40/41</t>
  </si>
  <si>
    <t>41/42</t>
  </si>
  <si>
    <t>42/43</t>
  </si>
  <si>
    <t>43/44</t>
  </si>
  <si>
    <t>44/45</t>
  </si>
  <si>
    <t>45/46</t>
  </si>
  <si>
    <t>42/47</t>
  </si>
  <si>
    <t>42/48</t>
  </si>
  <si>
    <t>42/49</t>
  </si>
  <si>
    <t>42/50</t>
  </si>
  <si>
    <t>Beginning Stocks (September 1)</t>
  </si>
  <si>
    <t>Production</t>
  </si>
  <si>
    <t>Imports</t>
  </si>
  <si>
    <t xml:space="preserve">    Total Supply</t>
  </si>
  <si>
    <t>Domestic Usage</t>
  </si>
  <si>
    <t>Exports</t>
  </si>
  <si>
    <t xml:space="preserve">    Total Use</t>
  </si>
  <si>
    <t>Ending Stocks (August 31)</t>
  </si>
  <si>
    <t>Corn Used in Ethanol Production</t>
  </si>
  <si>
    <t>Sorghum Used in Ethanol Production</t>
  </si>
  <si>
    <t>ETHANOL PRODUCTION (1,000 Barrels)</t>
  </si>
  <si>
    <t>Red numbers implied by weekly ethanol data</t>
  </si>
  <si>
    <t>Link back to EMTS Forecast once month is complete</t>
  </si>
  <si>
    <t>Black bold numbers from EMTS Forecast</t>
  </si>
  <si>
    <t>Switch to EIA data after monthly report</t>
  </si>
  <si>
    <t xml:space="preserve">    Total</t>
  </si>
  <si>
    <t>ETHANOL PRODUCTION (Million Gallons)</t>
  </si>
  <si>
    <t>PRODUCTION PER DAY</t>
  </si>
  <si>
    <t>5-Yr Avg</t>
  </si>
  <si>
    <t>Delta</t>
  </si>
  <si>
    <t xml:space="preserve">  Average</t>
  </si>
  <si>
    <t>ETHANOL IMPORTS (Million Gallons)</t>
  </si>
  <si>
    <t>Blue numbers are Census trade data</t>
  </si>
  <si>
    <t>Ethanol Production</t>
  </si>
  <si>
    <t>EMTS Production</t>
  </si>
  <si>
    <t>ETHANOL EXPORTS (Million Gallons)</t>
  </si>
  <si>
    <t>Delta to EPA</t>
  </si>
  <si>
    <t>ETHANOL DOMESTIC USAGE (Million Gallons)</t>
  </si>
  <si>
    <t>Domestic Ethanol Use</t>
  </si>
  <si>
    <t>ETHANOL END-OF-MONTH STOCKS (Million Gallons)</t>
  </si>
  <si>
    <t>MONTHLY FEEDSTOCK USAGE IN ETHANOL PRODUCTION (Million Bushels)</t>
  </si>
  <si>
    <t>CORN - TOTAL GRIND (Million Bushels)</t>
  </si>
  <si>
    <t>Change from 5-yr</t>
  </si>
  <si>
    <t>Cumulative</t>
  </si>
  <si>
    <t>Yr/Yr</t>
  </si>
  <si>
    <t>Change from 3-yr</t>
  </si>
  <si>
    <t>CORN FOR ETHANOL - DRY MILL (Million Bushels)</t>
  </si>
  <si>
    <t>CORN FOR ETHANOL - WET MILL (Million Bushels)</t>
  </si>
  <si>
    <t>SORGHUM (Million Bushels)</t>
  </si>
  <si>
    <t>EIA Data (millionbushels)</t>
  </si>
  <si>
    <t>EIA Data (million pounds)</t>
  </si>
  <si>
    <t>OTHER GRAINS (Million Bushels)</t>
  </si>
  <si>
    <t>BLENDED ETHANOL CONVERSION RATE (Gallons per Bushel)</t>
  </si>
  <si>
    <t>CORN PERCENT OF TOTAL FEEDSTOCKS</t>
  </si>
  <si>
    <t>DRY MILL PERCENT OF CORN GRIND</t>
  </si>
  <si>
    <t>WET MILL PERCENT OF CORN GRIND</t>
  </si>
  <si>
    <t>FEEDSTOCKS USED IN ETHANOL FOR FUEL PRODUCTION (Quarterly, Million Bushels)</t>
  </si>
  <si>
    <t>CORN</t>
  </si>
  <si>
    <t>September/November</t>
  </si>
  <si>
    <t>December/February</t>
  </si>
  <si>
    <t>March/May</t>
  </si>
  <si>
    <t>June/August</t>
  </si>
  <si>
    <t>SORGHUM</t>
  </si>
  <si>
    <t>OTHER GRAINS</t>
  </si>
  <si>
    <t>TOTAL FEEDSTOCKS</t>
  </si>
  <si>
    <t>ETHANOL YIELD</t>
  </si>
  <si>
    <t>ETHANOL PRODUCTION FROM DRY MILL (Million Gallons)</t>
  </si>
  <si>
    <t>ETHANOL PRODUCTION FROM WET MILL (Million Gallons)</t>
  </si>
  <si>
    <t>ETHANOL PRODUCTION FROM SORGHUM (Million Gallons)</t>
  </si>
  <si>
    <t>ETHANOL PRODUCTION FROM OTHER SOURCES (4.3 Gallons per Bushel)</t>
  </si>
  <si>
    <t>Ethanol Prices</t>
  </si>
  <si>
    <t>Q1</t>
  </si>
  <si>
    <t>Q2</t>
  </si>
  <si>
    <t>Q3</t>
  </si>
  <si>
    <t>Q4</t>
  </si>
  <si>
    <t>All Wet Mill</t>
  </si>
  <si>
    <r>
      <t>US Monthly Ethanol Supply and Demand</t>
    </r>
    <r>
      <rPr>
        <sz val="12"/>
        <color theme="1"/>
        <rFont val="Avenir Next LT Pro Demi"/>
        <family val="2"/>
      </rPr>
      <t xml:space="preserve"> (Thousand Barrels)</t>
    </r>
  </si>
  <si>
    <t>US Oxygenate Plant Production of Fuel Ethanol</t>
  </si>
  <si>
    <t>US Imports of Fuel Ethanol</t>
  </si>
  <si>
    <t xml:space="preserve">Census Ethanol Imports </t>
  </si>
  <si>
    <t>US Supply Adjustment of Fuel Ethanol</t>
  </si>
  <si>
    <t>US Refinery and Blender Net Input of Fuel Ethanol</t>
  </si>
  <si>
    <t>US Exports of Fuel Ethanol</t>
  </si>
  <si>
    <t>Census Ethanol Exports</t>
  </si>
  <si>
    <t>US Ending Stocks of Fuel Ethanol</t>
  </si>
  <si>
    <t>Net Input Check</t>
  </si>
  <si>
    <t>US Product Supplied of Finished Motor Gasoline</t>
  </si>
  <si>
    <t>Change from Previous Year</t>
  </si>
  <si>
    <t>Ethanol / Gasoline</t>
  </si>
  <si>
    <t>Ethanol Stocks / Use</t>
  </si>
  <si>
    <t>Annual Gasoline Consumption</t>
  </si>
  <si>
    <t>Implied by Weekly Ethanol Production (Thousand Barrels)</t>
  </si>
  <si>
    <t>Weekly as a Percent of Monthly</t>
  </si>
  <si>
    <t>Implied by Weekly Ethanol Production (Thousand Barrels per Day)</t>
  </si>
  <si>
    <t>Implied by Weekly Product Supplied of Finished Motor Gasoline (Thousand Barrels)</t>
  </si>
  <si>
    <t>Implied Weekly as a Percent of US Product Supplied of Finished Motor Gasoline</t>
  </si>
  <si>
    <t>Implied by Weekly Ethanol Stocks</t>
  </si>
  <si>
    <t>Weekly Ethanol Stocks as a Percent of Monthly Stocks</t>
  </si>
  <si>
    <t>Daily Ethanol Production Rate (Thousand Barrels per Day)</t>
  </si>
  <si>
    <t>Weekly Data Average Production Rate (Thousand Barrels per Day)</t>
  </si>
  <si>
    <t>Annual Ethanol Production Rate (Million Gallons)</t>
  </si>
  <si>
    <t>EIA Reported Annual Capacity</t>
  </si>
  <si>
    <t>Capacity Utilization</t>
  </si>
  <si>
    <t>Old Ethanol Import Numbers</t>
  </si>
  <si>
    <t>US Ethanol Imports - Census Bureau Jan Assessment</t>
  </si>
  <si>
    <t>Old Ethanol Export Numbers</t>
  </si>
  <si>
    <t>US Ethanol Exports - Census Bureau Jan Assessment</t>
  </si>
  <si>
    <t>http://www.eia.doe.gov/oil_gas/petroleum/data_publications/petroleum_supply_monthly/psm.html</t>
  </si>
  <si>
    <t>Spreadsheet:</t>
  </si>
  <si>
    <t>Ethanol Imports</t>
  </si>
  <si>
    <t>Ethanol Supply Adjustment</t>
  </si>
  <si>
    <t>Net Input of Ethanol</t>
  </si>
  <si>
    <t>Ethanol Exports</t>
  </si>
  <si>
    <t>Ethanol Ending Stocks</t>
  </si>
  <si>
    <t>Finished Gasoline Supply</t>
  </si>
  <si>
    <t>Sourcekey:</t>
  </si>
  <si>
    <t>M_EPOOXE_YOP_NUS_1</t>
  </si>
  <si>
    <t>MFEIMUS1</t>
  </si>
  <si>
    <t>HS Codes - 22071, 22072</t>
  </si>
  <si>
    <t>M_EPOOXE_VUA_NUS_MBBL</t>
  </si>
  <si>
    <t>MFERIUS1</t>
  </si>
  <si>
    <t>M_EPOOXE_EEX_NUS-Z00_MBBL</t>
  </si>
  <si>
    <t>MFESTUS1</t>
  </si>
  <si>
    <t>MGFUPUS1</t>
  </si>
  <si>
    <t>Seasonal</t>
  </si>
  <si>
    <t>Total</t>
  </si>
  <si>
    <t>Corn</t>
  </si>
  <si>
    <t>Sorghum</t>
  </si>
  <si>
    <t>Co-products and products</t>
  </si>
  <si>
    <t>Fats and Oils Report</t>
  </si>
  <si>
    <t>Total Corn Grind</t>
  </si>
  <si>
    <t>Beverage alcohol</t>
  </si>
  <si>
    <t>Fuel alcohol</t>
  </si>
  <si>
    <t>Dry mill</t>
  </si>
  <si>
    <t>Wet mill</t>
  </si>
  <si>
    <t>Industrial alcohol</t>
  </si>
  <si>
    <t>Wet mill products other than fuel</t>
  </si>
  <si>
    <t>Fuel alcohol production</t>
  </si>
  <si>
    <t>Condensed distillers solubles (CDS - syrup)</t>
  </si>
  <si>
    <t>Corn oil (DCO)</t>
  </si>
  <si>
    <t>Distillers dried grains (DDG)</t>
  </si>
  <si>
    <t>Distillers dried grains with solubles (DDGS)</t>
  </si>
  <si>
    <t>Distillers wet grains (DWG - 65% or more moisture)</t>
  </si>
  <si>
    <t>Modified distillers wet grains (DWG - 40% to 64% moisture)</t>
  </si>
  <si>
    <t>Corn germ meal</t>
  </si>
  <si>
    <t>Corn gluten feed</t>
  </si>
  <si>
    <t>Corn gluten meal</t>
  </si>
  <si>
    <t>Wet corn gluten feed (40% to 60% moisture)</t>
  </si>
  <si>
    <t>Corn Oil Production</t>
  </si>
  <si>
    <t>Crude Corn Oil Processed</t>
  </si>
  <si>
    <t>Refined Oil Produced</t>
  </si>
  <si>
    <t>Refining Loss</t>
  </si>
  <si>
    <t>Refined Oil Used in Processing</t>
  </si>
  <si>
    <t>Crude Corn Oil Stocks</t>
  </si>
  <si>
    <t>Refined Oil Stocks</t>
  </si>
  <si>
    <t>Corn oil production based on USDA estimate</t>
  </si>
  <si>
    <t>Dry mill corn oil production based on USDA and DCO</t>
  </si>
  <si>
    <t>Refined Production Month-over-Month</t>
  </si>
  <si>
    <t>Crude Corn Oil Stocks Month-over-Month</t>
  </si>
  <si>
    <t>Projected Month-over-Month Change</t>
  </si>
  <si>
    <t>Dry Mill Distillers Corn Oil Yield</t>
  </si>
  <si>
    <t>Corn Oil Yield</t>
  </si>
  <si>
    <t>(Million Bushels)</t>
  </si>
  <si>
    <t>(1,000 Hundred Weight)</t>
  </si>
  <si>
    <t>(1,000 Tons)</t>
  </si>
  <si>
    <t>(Million Pounds</t>
  </si>
  <si>
    <t xml:space="preserve">    Wet Mill for Ethanol</t>
  </si>
  <si>
    <t xml:space="preserve">    Wet Mill for Other Products</t>
  </si>
  <si>
    <t>Wet Mill</t>
  </si>
  <si>
    <t>Dry Mill</t>
  </si>
  <si>
    <r>
      <t>US Weekly Ethanol Supply and Demand</t>
    </r>
    <r>
      <rPr>
        <sz val="12"/>
        <color theme="1"/>
        <rFont val="Bahnschrift SemiBold"/>
        <family val="2"/>
      </rPr>
      <t xml:space="preserve"> (Thousand Barrels)</t>
    </r>
  </si>
  <si>
    <t>Date</t>
  </si>
  <si>
    <t>Oxygenate Plant Production of Fuel Ethanol</t>
  </si>
  <si>
    <t>Ending Stocks of Fuel Ethanol</t>
  </si>
  <si>
    <r>
      <t xml:space="preserve">Adjusted Net Production of Finished Motor Gasoline </t>
    </r>
    <r>
      <rPr>
        <sz val="8"/>
        <color theme="1"/>
        <rFont val="Bahnschrift Light"/>
        <family val="2"/>
      </rPr>
      <t>(Thousand Barrels per Day)</t>
    </r>
  </si>
  <si>
    <r>
      <t xml:space="preserve">Net Production of Finished Motor Gasoline </t>
    </r>
    <r>
      <rPr>
        <sz val="8"/>
        <color theme="1"/>
        <rFont val="Bahnschrift Light"/>
        <family val="2"/>
      </rPr>
      <t>(Thousand Barrels per Day)</t>
    </r>
  </si>
  <si>
    <r>
      <t xml:space="preserve">Net Production of Finished Reformulated Motor Gasoline </t>
    </r>
    <r>
      <rPr>
        <sz val="8"/>
        <color theme="1"/>
        <rFont val="Bahnschrift Light"/>
        <family val="2"/>
      </rPr>
      <t>(Thousand Barrels per Day)</t>
    </r>
  </si>
  <si>
    <r>
      <t xml:space="preserve">Net Production of Finished Reformulated Motor Gasoline with Ethanol </t>
    </r>
    <r>
      <rPr>
        <sz val="8"/>
        <color theme="1"/>
        <rFont val="Bahnschrift Light"/>
        <family val="2"/>
      </rPr>
      <t>(Thousand Barrels per Day)</t>
    </r>
  </si>
  <si>
    <t>Percent of Reformulated Gasoline Blended with Ethanol</t>
  </si>
  <si>
    <r>
      <t xml:space="preserve">Net Production of Finished Conventional Motor Gasoline </t>
    </r>
    <r>
      <rPr>
        <sz val="8"/>
        <color theme="1"/>
        <rFont val="Bahnschrift Light"/>
        <family val="2"/>
      </rPr>
      <t>(Thousand Barrels per Day)</t>
    </r>
  </si>
  <si>
    <r>
      <t xml:space="preserve">Net Production of Finished Conventional Motor Gasoline with Ethanol </t>
    </r>
    <r>
      <rPr>
        <sz val="8"/>
        <color theme="1"/>
        <rFont val="Bahnschrift Light"/>
        <family val="2"/>
      </rPr>
      <t>(Thousand Barrels per Day)</t>
    </r>
  </si>
  <si>
    <t>Percent of Conventional Gasoline Blended with Ethanol</t>
  </si>
  <si>
    <r>
      <t xml:space="preserve">Net Production of Finished Conventional Motor Gasoline Ed 55 and Lower </t>
    </r>
    <r>
      <rPr>
        <sz val="8"/>
        <color theme="1"/>
        <rFont val="Bahnschrift Light"/>
        <family val="2"/>
      </rPr>
      <t>(Thousand Barrels per Day)</t>
    </r>
  </si>
  <si>
    <r>
      <t xml:space="preserve">Product Supplied of Finished Motor Gasoline </t>
    </r>
    <r>
      <rPr>
        <sz val="8"/>
        <color theme="1"/>
        <rFont val="Bahnschrift Light"/>
        <family val="2"/>
      </rPr>
      <t>(Thousand Barrels per Day)</t>
    </r>
  </si>
  <si>
    <t>Gasoline Containing Ethanol Produced as a Percent of Total Finished Gasoline Produced</t>
  </si>
  <si>
    <r>
      <t xml:space="preserve">Implied Annual Ethanol Production </t>
    </r>
    <r>
      <rPr>
        <sz val="8"/>
        <color theme="1"/>
        <rFont val="Bahnschrift Light"/>
        <family val="2"/>
      </rPr>
      <t>(Million Gallons)</t>
    </r>
  </si>
  <si>
    <r>
      <t xml:space="preserve">Annual Production Implied by Monthly Data </t>
    </r>
    <r>
      <rPr>
        <sz val="8"/>
        <color theme="1"/>
        <rFont val="Bahnschrift Light"/>
        <family val="2"/>
      </rPr>
      <t>(Million Gallons)</t>
    </r>
  </si>
  <si>
    <r>
      <t xml:space="preserve">Imports of Ethanol </t>
    </r>
    <r>
      <rPr>
        <sz val="8"/>
        <color theme="1"/>
        <rFont val="Bahnschrift Light"/>
        <family val="2"/>
      </rPr>
      <t>(Thousand Barrels per Day)</t>
    </r>
  </si>
  <si>
    <r>
      <t xml:space="preserve">Net Input of Ethanol </t>
    </r>
    <r>
      <rPr>
        <sz val="8"/>
        <color theme="1"/>
        <rFont val="Bahnschrift Light"/>
        <family val="2"/>
      </rPr>
      <t>(Thousand Barrels per Day)</t>
    </r>
  </si>
  <si>
    <r>
      <t xml:space="preserve">Exports and Residual Use of Ethanol </t>
    </r>
    <r>
      <rPr>
        <sz val="8"/>
        <color theme="1"/>
        <rFont val="Bahnschrift Light"/>
        <family val="2"/>
      </rPr>
      <t>(Thousand Barrels per Day)</t>
    </r>
  </si>
  <si>
    <r>
      <t xml:space="preserve">Usage Implied by Stocks, Production and Imports </t>
    </r>
    <r>
      <rPr>
        <sz val="8"/>
        <color theme="1"/>
        <rFont val="Bahnschrift Light"/>
        <family val="2"/>
      </rPr>
      <t>(Thousand Barrels per Day)</t>
    </r>
  </si>
  <si>
    <t>Blend Rate</t>
  </si>
  <si>
    <t>Spreadsheet</t>
  </si>
  <si>
    <t>Ending Stocks</t>
  </si>
  <si>
    <t>Adjusted Net Production of Finished Gasoline</t>
  </si>
  <si>
    <t>Net Production of Finished Gasoline</t>
  </si>
  <si>
    <t>Net Produciton of Finished Reformulated Motor Gasoline</t>
  </si>
  <si>
    <t>Net Production of Reformulated Gasoline with Ethanol</t>
  </si>
  <si>
    <t>Net Production of Conventional Gasoline</t>
  </si>
  <si>
    <t>Net Production of Finished Conventional Gasoline with Ethanol</t>
  </si>
  <si>
    <t>Net Production of Finished Conventional Gasoline Ed 55 and Lower</t>
  </si>
  <si>
    <t>Product Supplied of Finished Motor Gasoline</t>
  </si>
  <si>
    <t>Weekly Ethanol Imports</t>
  </si>
  <si>
    <t>Net Input of Fuel Ethanol</t>
  </si>
  <si>
    <t>Sourcekey</t>
  </si>
  <si>
    <t>W_EPOOXE_YOP_NUS_MBBLD</t>
  </si>
  <si>
    <t>W_EPOOXE_SAE_NUS_MBBL</t>
  </si>
  <si>
    <t>WGFRPUS2</t>
  </si>
  <si>
    <t>W_EPM0F_YPR_NUS_MBBLD</t>
  </si>
  <si>
    <t>WGRRPUS2</t>
  </si>
  <si>
    <t>WG1TP_NUS_2</t>
  </si>
  <si>
    <t>WG4TP_NUS_2</t>
  </si>
  <si>
    <t>WG5TP_NUS_2</t>
  </si>
  <si>
    <t>W_EPM0CAL55_YPT_NUS_MBBLD</t>
  </si>
  <si>
    <t>WGFUPUS2</t>
  </si>
  <si>
    <t>W_EPOOXE_IM0_NUS-Z00_MBBLD</t>
  </si>
  <si>
    <t>W_EPOOXE_YIR_NUS_MBBLD</t>
  </si>
  <si>
    <t>US CORN GLUTEN MEAL COMPLEX SUPPLY AND DEMAND</t>
  </si>
  <si>
    <t>US CORN GLUTEN MEAL MEAL SUPPLY AND DEMAND (1,000 Tonnes)</t>
  </si>
  <si>
    <t>Carryin (September 1)</t>
  </si>
  <si>
    <t>Carryout (August 31)</t>
  </si>
  <si>
    <t>Average Price (50%, Dollars per Ton)</t>
  </si>
  <si>
    <t>Bold Numbers are The Jacobsen Forecasts and Estimates</t>
  </si>
  <si>
    <t>CORN GLUTEN MEAL PRODUCTION (1,000 Tonnes)</t>
  </si>
  <si>
    <t>CORN GLUTEN MEAL MEAL YIELD</t>
  </si>
  <si>
    <t xml:space="preserve">    Marketing-Year Average</t>
  </si>
  <si>
    <t>CORN GLUTEN MEAL IMPORTS (1,000 Tonnes)</t>
  </si>
  <si>
    <t>2303100020</t>
  </si>
  <si>
    <t>CORN GLUTEN MEAL EXPORTS (1,000 Tonnes)</t>
  </si>
  <si>
    <t>CORN GLUTEN MEAL MEAL DOMESTIC USAGE (1,000 Tonnes)</t>
  </si>
  <si>
    <t>CORN GLUTEN MEAL MEAL END-OF-MONTH STOCKS (1,000 Tonnes)</t>
  </si>
  <si>
    <t>CORN GLUTEN MEAL MEAL (Dollars per Tonne)</t>
  </si>
  <si>
    <t>US DISTILLERS' DRIED GRAINS COMPLEX SUPPLY AND DEMAND</t>
  </si>
  <si>
    <t xml:space="preserve">19/20 </t>
  </si>
  <si>
    <t xml:space="preserve">20/21 </t>
  </si>
  <si>
    <t>US DISTILLERS' DRIED GRAINS MEAL SUPPLY AND DEMAND (1,000 Tonnes)</t>
  </si>
  <si>
    <t>DISTILLERS' GRAINS PRODUCTION (1,000 Tonnes)</t>
  </si>
  <si>
    <t>DISTILLERS' DRIED GRAINS YIELD</t>
  </si>
  <si>
    <t>DISTILLERS' DRIED GRAINS IMPORTS (1,000 Tonnes)</t>
  </si>
  <si>
    <t>DISTILLERS' DRIED GRAINS EXPORTS (1,000 Tonnes)</t>
  </si>
  <si>
    <t>DISTILLERS' DRIED GRAINS MEAL DOMESTIC USAGE (1,000 Tonnes)</t>
  </si>
  <si>
    <t>DISTILLERS' DRIED GRAINS MEAL END-OF-MONTH STOCKS (1,000 Tonnes)</t>
  </si>
  <si>
    <t>DISTILLERS' DRIED GRAINS MEAL (Dollars per Tonne)</t>
  </si>
  <si>
    <t>US CORN GLUTEN FEED COMPLEX SUPPLY AND DEMAND</t>
  </si>
  <si>
    <t>US CORN GLUTEN FEED FEED SUPPLY AND DEMAND (1,000 Tonnes)</t>
  </si>
  <si>
    <t>CORN GLUTEN FEED PRODUCTION (1,000 Tonnes)</t>
  </si>
  <si>
    <t>CORN GLUTEN FEED FEED YIELD</t>
  </si>
  <si>
    <t>CORN GLUTEN FEED IMPORTS (1,000 Tonnes)</t>
  </si>
  <si>
    <t>CORN GLUTEN FEED EXPORTS (1,000 Tonnes)</t>
  </si>
  <si>
    <t>CORN GLUTEN FEED FEED DOMESTIC USAGE (1,000 Tonnes)</t>
  </si>
  <si>
    <t>CORN GLUTEN FEED FEED END-OF-MONTH STOCKS (1,000 Tonnes)</t>
  </si>
  <si>
    <t>CORN GLUTEN FEED FEED (Dollars per Tonne)</t>
  </si>
  <si>
    <t>UKRAINE SUNFLOWER COMPLEX SUPPLY AND DEMAND</t>
  </si>
  <si>
    <t>UKRAINE SUNFLOWER SUPPLY AND DEMAND (1,000 Hectares/1,000 Tonnes)</t>
  </si>
  <si>
    <t>Planted Area</t>
  </si>
  <si>
    <t>Harvested Area</t>
  </si>
  <si>
    <t>Harvested Percent</t>
  </si>
  <si>
    <r>
      <t xml:space="preserve">Yield </t>
    </r>
    <r>
      <rPr>
        <sz val="9"/>
        <color theme="1"/>
        <rFont val="Helvetica-Normal"/>
      </rPr>
      <t>(Tonnes per Hectare)</t>
    </r>
  </si>
  <si>
    <r>
      <t xml:space="preserve">Carryin </t>
    </r>
    <r>
      <rPr>
        <sz val="9"/>
        <color theme="1"/>
        <rFont val="Helvetica-Normal"/>
      </rPr>
      <t>(September 1)</t>
    </r>
  </si>
  <si>
    <t>Crush</t>
  </si>
  <si>
    <t>Seed</t>
  </si>
  <si>
    <t>Residual</t>
  </si>
  <si>
    <r>
      <t xml:space="preserve">Carryout </t>
    </r>
    <r>
      <rPr>
        <sz val="9"/>
        <color theme="1"/>
        <rFont val="Helvetica-Normal"/>
      </rPr>
      <t>(August 31)</t>
    </r>
  </si>
  <si>
    <t>Stocks-to-Usage</t>
  </si>
  <si>
    <r>
      <t xml:space="preserve">Average Price </t>
    </r>
    <r>
      <rPr>
        <sz val="9"/>
        <color theme="1"/>
        <rFont val="Helvetica-Normal"/>
      </rPr>
      <t>(Dollars per Ton)</t>
    </r>
  </si>
  <si>
    <t>UKRAINE SUNFLOWER MEAL SUPPLY AND DEMAND (1,000 Tonnes)</t>
  </si>
  <si>
    <r>
      <t xml:space="preserve">Crush </t>
    </r>
    <r>
      <rPr>
        <sz val="9"/>
        <color theme="1"/>
        <rFont val="Helvetica-Normal"/>
      </rPr>
      <t>(October - September)</t>
    </r>
  </si>
  <si>
    <r>
      <t xml:space="preserve">Average Price </t>
    </r>
    <r>
      <rPr>
        <sz val="9"/>
        <color theme="1"/>
        <rFont val="Helvetica-Normal"/>
      </rPr>
      <t>(50%, Dollars per Ton)</t>
    </r>
  </si>
  <si>
    <t>UKRAINE SUNFLOWER OIL SUPPLY AND DEMAND (1,000 Tonnes)</t>
  </si>
  <si>
    <r>
      <t xml:space="preserve">Carryin </t>
    </r>
    <r>
      <rPr>
        <sz val="9"/>
        <color theme="1"/>
        <rFont val="Helvetica-Normal"/>
      </rPr>
      <t>(October 1)</t>
    </r>
  </si>
  <si>
    <t xml:space="preserve">  Industrail Usage</t>
  </si>
  <si>
    <t xml:space="preserve">  Feed Usage</t>
  </si>
  <si>
    <t xml:space="preserve">  Food Usage</t>
  </si>
  <si>
    <r>
      <t xml:space="preserve">Carryout </t>
    </r>
    <r>
      <rPr>
        <sz val="9"/>
        <color theme="1"/>
        <rFont val="Helvetica-Normal"/>
      </rPr>
      <t>(September 30)</t>
    </r>
  </si>
  <si>
    <t>SUNFLOWER IMPORTS (1,000 Tonnes)</t>
  </si>
  <si>
    <t>SUNFLOWER EXPORTS (1,000 Tonnes)</t>
  </si>
  <si>
    <t>SUNFLOWER CRUSH (1,000 Tonnes)</t>
  </si>
  <si>
    <t>SUNFLOWER MEAL PRODUCTION (Pellets, 1,000 Tonnes)</t>
  </si>
  <si>
    <t>SUNFLOWER MEAL YIELD</t>
  </si>
  <si>
    <t>SUNFLOWER MEAL IMPORTS (1,000 Tonnes)</t>
  </si>
  <si>
    <t>SUNFLOWER MEAL EXPORTS (1,000 Tonnes)</t>
  </si>
  <si>
    <t>SUNFLOWER MEAL DOMESTIC USAGE (1,000 Tonnes)</t>
  </si>
  <si>
    <t>SUNFLOWER MEAL END-OF-MONTH STOCKS (1,000 Tonnes)</t>
  </si>
  <si>
    <t>SUNFLOWER MEAL (Dollars per Tonne)</t>
  </si>
  <si>
    <t>SUNFLOWER OIL PRODUCTION (1,000 Tonnes)</t>
  </si>
  <si>
    <t>SUNFLOWER OIL YIELD</t>
  </si>
  <si>
    <t>SUNFLOWER MEAL AND OIL YIELD</t>
  </si>
  <si>
    <t>SUNFLOWER OIL IMPORTS (1,000 Tonnes)</t>
  </si>
  <si>
    <t>SUNFLOWER OIL EXPORTS (1,000 Tonnes)</t>
  </si>
  <si>
    <t>SUNFLOWER OIL DOMESTIC USAGE (1,000 Tonnes)</t>
  </si>
  <si>
    <t>SUNFLOWER OIL END-OF-MONTH STOCKS (1,000 Tonnes)</t>
  </si>
  <si>
    <t>SUNFLOWER OIL (Dollars per Tonne)</t>
  </si>
  <si>
    <t>vs. last year</t>
  </si>
  <si>
    <t>vs. five-year</t>
  </si>
  <si>
    <t>vs. oly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</si>
</sst>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0_);[Red]\(0\)"/>
    <numFmt numFmtId="165" formatCode="m/d/yy\ &quot;at&quot;\ h:mm\ AM/PM"/>
    <numFmt numFmtId="166" formatCode="[$-409]d\-mmm\-yy;@"/>
    <numFmt numFmtId="167" formatCode="[$-409]mmm\-yy;@"/>
    <numFmt numFmtId="168" formatCode="_(* #,##0_);_(* \(#,##0\);_(* &quot;-&quot;??_);_(@_)"/>
    <numFmt numFmtId="169" formatCode="#,##0.0_);[Red]\(#,##0.0\)"/>
    <numFmt numFmtId="170" formatCode="0.0%"/>
    <numFmt numFmtId="171" formatCode="0.00_);[Red]\(0.00\)"/>
    <numFmt numFmtId="172" formatCode="0.000_);[Red]\(0.000\)"/>
    <numFmt numFmtId="173" formatCode="#,##0.000_);[Red]\(#,##0.000\)"/>
  </numFmts>
  <fonts count="7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Helvetica"/>
      <family val="2"/>
    </font>
    <font>
      <sz val="8"/>
      <color theme="1"/>
      <name val="Helvetica-Normal"/>
    </font>
    <font>
      <sz val="10"/>
      <name val="MS Sans Serif"/>
      <family val="2"/>
    </font>
    <font>
      <b/>
      <sz val="11"/>
      <name val="Arial Narrow"/>
      <family val="2"/>
    </font>
    <font>
      <sz val="10"/>
      <color theme="1"/>
      <name val="Helvetica-Normal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Helvetica-Normal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Helvetica"/>
      <family val="2"/>
    </font>
    <font>
      <sz val="11"/>
      <color theme="1"/>
      <name val="Helvetica"/>
      <family val="2"/>
    </font>
    <font>
      <b/>
      <sz val="8"/>
      <color theme="1"/>
      <name val="Arial Narrow"/>
      <family val="2"/>
    </font>
    <font>
      <b/>
      <sz val="9"/>
      <color theme="1"/>
      <name val="Helvetica"/>
      <family val="2"/>
    </font>
    <font>
      <sz val="11"/>
      <color theme="1"/>
      <name val="Arial Narrow"/>
      <family val="2"/>
    </font>
    <font>
      <b/>
      <sz val="14"/>
      <color rgb="FF6F0791"/>
      <name val="Arial Narrow"/>
      <family val="2"/>
    </font>
    <font>
      <sz val="11"/>
      <color rgb="FF6F0791"/>
      <name val="Aptos Narrow"/>
      <family val="2"/>
      <scheme val="minor"/>
    </font>
    <font>
      <b/>
      <sz val="10"/>
      <color theme="1"/>
      <name val="Helvetica-Normal"/>
    </font>
    <font>
      <b/>
      <sz val="10"/>
      <color theme="4"/>
      <name val="Arial Narrow"/>
      <family val="2"/>
    </font>
    <font>
      <sz val="8"/>
      <color rgb="FF6F0791"/>
      <name val="Avenir Next LT Pro Demi"/>
      <family val="2"/>
    </font>
    <font>
      <sz val="8"/>
      <color theme="1"/>
      <name val="Avenir Next LT Pro Demi"/>
      <family val="2"/>
    </font>
    <font>
      <b/>
      <sz val="8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color rgb="FF6F0791"/>
      <name val="Avenir Next LT Pro Demi"/>
      <family val="2"/>
    </font>
    <font>
      <sz val="8"/>
      <name val="Avenir Next LT Pro Demi"/>
      <family val="2"/>
    </font>
    <font>
      <sz val="8"/>
      <color theme="2" tint="-0.499984740745262"/>
      <name val="Avenir Next LT Pro Demi"/>
      <family val="2"/>
    </font>
    <font>
      <b/>
      <sz val="8"/>
      <color rgb="FFFF0000"/>
      <name val="Avenir Next LT Pro Demi"/>
      <family val="2"/>
    </font>
    <font>
      <sz val="8"/>
      <color theme="4" tint="-0.249977111117893"/>
      <name val="Avenir Next LT Pro Demi"/>
      <family val="2"/>
    </font>
    <font>
      <b/>
      <sz val="8"/>
      <color rgb="FF8C8C8C"/>
      <name val="Avenir Next LT Pro Demi"/>
      <family val="2"/>
    </font>
    <font>
      <sz val="8"/>
      <color rgb="FF8C8C8C"/>
      <name val="Avenir Next LT Pro Demi"/>
      <family val="2"/>
    </font>
    <font>
      <u/>
      <sz val="11"/>
      <color theme="10"/>
      <name val="Aptos Narrow"/>
      <family val="2"/>
      <scheme val="minor"/>
    </font>
    <font>
      <sz val="18"/>
      <color theme="1"/>
      <name val="Avenir Next LT Pro Demi"/>
      <family val="2"/>
    </font>
    <font>
      <sz val="12"/>
      <color theme="1"/>
      <name val="Avenir Next LT Pro Demi"/>
      <family val="2"/>
    </font>
    <font>
      <sz val="11"/>
      <color theme="1"/>
      <name val="Avenir Next LT Pro Demi"/>
      <family val="2"/>
    </font>
    <font>
      <sz val="10"/>
      <color theme="1"/>
      <name val="Avenir Next LT Pro Demi"/>
      <family val="2"/>
    </font>
    <font>
      <b/>
      <sz val="10"/>
      <name val="Avenir Next LT Pro Demi"/>
      <family val="2"/>
    </font>
    <font>
      <b/>
      <sz val="10"/>
      <color theme="1"/>
      <name val="Avenir Next LT Pro Demi"/>
      <family val="2"/>
    </font>
    <font>
      <b/>
      <u/>
      <sz val="8"/>
      <color theme="10"/>
      <name val="Avenir Next LT Pro Demi"/>
      <family val="2"/>
    </font>
    <font>
      <b/>
      <sz val="9"/>
      <color theme="1"/>
      <name val="Avenir Next LT Pro Demi"/>
      <family val="2"/>
    </font>
    <font>
      <sz val="9"/>
      <color theme="1"/>
      <name val="Avenir Next LT Pro Demi"/>
      <family val="2"/>
    </font>
    <font>
      <u/>
      <sz val="8"/>
      <color theme="4"/>
      <name val="Avenir Next LT Pro Demi"/>
      <family val="2"/>
    </font>
    <font>
      <b/>
      <sz val="9"/>
      <color rgb="FF6F0791"/>
      <name val="Avenir Next LT Pro Demi"/>
      <family val="2"/>
    </font>
    <font>
      <sz val="9"/>
      <color rgb="FFFF0000"/>
      <name val="Avenir Next LT Pro Demi"/>
      <family val="2"/>
    </font>
    <font>
      <sz val="12"/>
      <color theme="1"/>
      <name val="Brown"/>
    </font>
    <font>
      <sz val="12"/>
      <color theme="0"/>
      <name val="Brown"/>
    </font>
    <font>
      <sz val="11"/>
      <color theme="1"/>
      <name val="Brown"/>
    </font>
    <font>
      <sz val="9"/>
      <color theme="1"/>
      <name val="Helvetica-Normal"/>
    </font>
    <font>
      <sz val="9"/>
      <color theme="1"/>
      <name val="Brown"/>
    </font>
    <font>
      <b/>
      <sz val="9"/>
      <color theme="1"/>
      <name val="Brown"/>
    </font>
    <font>
      <b/>
      <sz val="9"/>
      <color rgb="FFFF0000"/>
      <name val="Brown"/>
    </font>
    <font>
      <sz val="9"/>
      <name val="Brown"/>
    </font>
    <font>
      <b/>
      <sz val="9"/>
      <color rgb="FF6F0791"/>
      <name val="Brown"/>
    </font>
    <font>
      <sz val="18"/>
      <color theme="1"/>
      <name val="Bahnschrift SemiBold"/>
      <family val="2"/>
    </font>
    <font>
      <sz val="12"/>
      <color theme="1"/>
      <name val="Bahnschrift SemiBold"/>
      <family val="2"/>
    </font>
    <font>
      <sz val="11"/>
      <name val="Bahnschrift Light"/>
      <family val="2"/>
    </font>
    <font>
      <sz val="10"/>
      <color theme="1"/>
      <name val="Bahnschrift Light"/>
      <family val="2"/>
    </font>
    <font>
      <sz val="8"/>
      <color theme="1"/>
      <name val="Bahnschrift Light"/>
      <family val="2"/>
    </font>
    <font>
      <u/>
      <sz val="11"/>
      <color theme="4"/>
      <name val="Bahnschrift Light"/>
      <family val="2"/>
    </font>
    <font>
      <sz val="10"/>
      <color theme="1"/>
      <name val="Bahnschrift SemiLight"/>
      <family val="2"/>
    </font>
    <font>
      <sz val="10"/>
      <color theme="1"/>
      <name val="Arial"/>
      <family val="2"/>
    </font>
    <font>
      <u/>
      <sz val="8"/>
      <color theme="10"/>
      <name val="Avenir Next LT Pro Demi"/>
      <family val="2"/>
    </font>
    <font>
      <sz val="9"/>
      <name val="Avenir Next LT Pro Demi"/>
      <family val="2"/>
    </font>
    <font>
      <b/>
      <sz val="8"/>
      <color rgb="FF8E9A44"/>
      <name val="Avenir Next LT Pro Demi"/>
      <family val="2"/>
    </font>
    <font>
      <b/>
      <sz val="11"/>
      <color theme="1"/>
      <name val="Helvetica-Norm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u/>
      <sz val="10"/>
      <color theme="10"/>
      <name val="Helvetica-Normal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ptos Narrow"/>
      <family val="2"/>
      <scheme val="minor"/>
    </font>
    <font>
      <b/>
      <sz val="9"/>
      <color theme="1"/>
      <name val="Helvetica-Normal"/>
    </font>
    <font>
      <b/>
      <sz val="10"/>
      <color rgb="FF8E9A44"/>
      <name val="Arial Narrow"/>
      <family val="2"/>
    </font>
    <font>
      <sz val="8"/>
      <color rgb="FFFFC000"/>
      <name val="Avenir Next LT Pro Demi"/>
      <family val="2"/>
    </font>
    <font>
      <b/>
      <sz val="9"/>
      <color rgb="FF69C129"/>
      <name val="Avenir Next LT Pro Demi"/>
      <family val="2"/>
    </font>
    <font>
      <sz val="9"/>
      <color rgb="FF69C129"/>
      <name val="Avenir Next LT Pro Demi"/>
      <family val="2"/>
    </font>
  </fonts>
  <fills count="12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E9A44"/>
        <bgColor indexed="64"/>
      </patternFill>
    </fill>
    <fill>
      <patternFill patternType="solid">
        <fgColor rgb="FF649A44"/>
        <bgColor indexed="64"/>
      </patternFill>
    </fill>
    <fill>
      <patternFill patternType="solid">
        <fgColor rgb="FF9A8A44"/>
        <bgColor indexed="64"/>
      </patternFill>
    </fill>
    <fill>
      <patternFill patternType="solid">
        <fgColor rgb="FF33516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ck">
        <color rgb="FF6F0791"/>
      </top>
      <bottom/>
      <diagonal/>
    </border>
    <border>
      <left/>
      <right/>
      <top/>
      <bottom style="medium">
        <color rgb="FF8C8C8C"/>
      </bottom>
      <diagonal/>
    </border>
    <border>
      <left/>
      <right/>
      <top style="thin">
        <color rgb="FF6F0791"/>
      </top>
      <bottom/>
      <diagonal/>
    </border>
    <border>
      <left/>
      <right/>
      <top style="medium">
        <color rgb="FF8C8C8C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thin">
        <color rgb="FF6F0791"/>
      </top>
      <bottom style="medium">
        <color rgb="FF8C8C8C"/>
      </bottom>
      <diagonal/>
    </border>
    <border>
      <left style="medium">
        <color rgb="FF335163"/>
      </left>
      <right/>
      <top/>
      <bottom/>
      <diagonal/>
    </border>
    <border>
      <left/>
      <right/>
      <top style="medium">
        <color rgb="FF8E9A44"/>
      </top>
      <bottom/>
      <diagonal/>
    </border>
    <border>
      <left style="medium">
        <color rgb="FF335163"/>
      </left>
      <right/>
      <top style="medium">
        <color rgb="FF8E9A44"/>
      </top>
      <bottom/>
      <diagonal/>
    </border>
    <border>
      <left/>
      <right/>
      <top/>
      <bottom style="thin">
        <color rgb="FF8E9A44"/>
      </bottom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8E9A44"/>
      </top>
      <bottom style="medium">
        <color rgb="FF8E9A44"/>
      </bottom>
      <diagonal/>
    </border>
    <border>
      <left/>
      <right/>
      <top/>
      <bottom style="medium">
        <color rgb="FF8E9A44"/>
      </bottom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medium">
        <color rgb="FF3351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335163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/>
    <xf numFmtId="40" fontId="5" fillId="0" borderId="0" applyFont="0" applyFill="0" applyBorder="0" applyAlignment="0" applyProtection="0"/>
    <xf numFmtId="40" fontId="5" fillId="0" borderId="0" applyFont="0" applyFill="0" applyBorder="0" applyAlignment="0" applyProtection="0"/>
  </cellStyleXfs>
  <cellXfs count="303">
    <xf numFmtId="0" fontId="0" fillId="0" borderId="0" xfId="0"/>
    <xf numFmtId="0" fontId="3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4" fillId="3" borderId="2" xfId="0" applyFont="1" applyFill="1" applyBorder="1" applyAlignment="1">
      <alignment horizontal="right"/>
    </xf>
    <xf numFmtId="164" fontId="6" fillId="3" borderId="2" xfId="3" quotePrefix="1" applyNumberFormat="1" applyFont="1" applyFill="1" applyBorder="1" applyAlignment="1" applyProtection="1">
      <alignment horizontal="center"/>
    </xf>
    <xf numFmtId="0" fontId="7" fillId="3" borderId="0" xfId="0" applyFont="1" applyFill="1" applyAlignment="1">
      <alignment horizontal="left"/>
    </xf>
    <xf numFmtId="38" fontId="8" fillId="3" borderId="0" xfId="0" applyNumberFormat="1" applyFont="1" applyFill="1" applyAlignment="1">
      <alignment horizontal="center"/>
    </xf>
    <xf numFmtId="38" fontId="9" fillId="3" borderId="0" xfId="0" applyNumberFormat="1" applyFont="1" applyFill="1" applyAlignment="1">
      <alignment horizontal="center"/>
    </xf>
    <xf numFmtId="0" fontId="10" fillId="3" borderId="3" xfId="0" applyFont="1" applyFill="1" applyBorder="1"/>
    <xf numFmtId="38" fontId="11" fillId="3" borderId="3" xfId="0" applyNumberFormat="1" applyFont="1" applyFill="1" applyBorder="1" applyAlignment="1">
      <alignment horizontal="center"/>
    </xf>
    <xf numFmtId="38" fontId="12" fillId="3" borderId="3" xfId="0" applyNumberFormat="1" applyFont="1" applyFill="1" applyBorder="1" applyAlignment="1">
      <alignment horizontal="center"/>
    </xf>
    <xf numFmtId="0" fontId="10" fillId="3" borderId="0" xfId="0" applyFont="1" applyFill="1"/>
    <xf numFmtId="38" fontId="11" fillId="3" borderId="0" xfId="0" applyNumberFormat="1" applyFont="1" applyFill="1" applyAlignment="1">
      <alignment horizontal="center"/>
    </xf>
    <xf numFmtId="38" fontId="12" fillId="3" borderId="0" xfId="0" applyNumberFormat="1" applyFont="1" applyFill="1" applyAlignment="1">
      <alignment horizontal="center"/>
    </xf>
    <xf numFmtId="0" fontId="13" fillId="3" borderId="4" xfId="0" applyFont="1" applyFill="1" applyBorder="1"/>
    <xf numFmtId="38" fontId="0" fillId="3" borderId="4" xfId="0" applyNumberFormat="1" applyFill="1" applyBorder="1"/>
    <xf numFmtId="38" fontId="2" fillId="3" borderId="4" xfId="0" applyNumberFormat="1" applyFont="1" applyFill="1" applyBorder="1"/>
    <xf numFmtId="0" fontId="14" fillId="3" borderId="0" xfId="0" applyFont="1" applyFill="1"/>
    <xf numFmtId="0" fontId="14" fillId="3" borderId="5" xfId="0" applyFont="1" applyFill="1" applyBorder="1"/>
    <xf numFmtId="164" fontId="6" fillId="3" borderId="5" xfId="3" quotePrefix="1" applyNumberFormat="1" applyFont="1" applyFill="1" applyBorder="1" applyAlignment="1" applyProtection="1">
      <alignment horizontal="center"/>
    </xf>
    <xf numFmtId="0" fontId="16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4" fillId="0" borderId="0" xfId="0" applyFont="1"/>
    <xf numFmtId="166" fontId="17" fillId="3" borderId="0" xfId="0" applyNumberFormat="1" applyFont="1" applyFill="1"/>
    <xf numFmtId="166" fontId="14" fillId="3" borderId="0" xfId="0" applyNumberFormat="1" applyFont="1" applyFill="1"/>
    <xf numFmtId="0" fontId="18" fillId="3" borderId="0" xfId="0" applyFont="1" applyFill="1" applyAlignment="1">
      <alignment horizontal="left"/>
    </xf>
    <xf numFmtId="0" fontId="19" fillId="3" borderId="0" xfId="0" applyFont="1" applyFill="1"/>
    <xf numFmtId="0" fontId="4" fillId="3" borderId="5" xfId="0" applyFont="1" applyFill="1" applyBorder="1" applyAlignment="1">
      <alignment horizontal="right"/>
    </xf>
    <xf numFmtId="164" fontId="20" fillId="3" borderId="5" xfId="0" quotePrefix="1" applyNumberFormat="1" applyFont="1" applyFill="1" applyBorder="1" applyAlignment="1">
      <alignment horizontal="center" vertical="center"/>
    </xf>
    <xf numFmtId="0" fontId="12" fillId="3" borderId="0" xfId="0" applyFont="1" applyFill="1"/>
    <xf numFmtId="38" fontId="11" fillId="3" borderId="0" xfId="0" applyNumberFormat="1" applyFont="1" applyFill="1" applyAlignment="1">
      <alignment horizontal="center" vertical="center"/>
    </xf>
    <xf numFmtId="38" fontId="12" fillId="3" borderId="0" xfId="0" applyNumberFormat="1" applyFont="1" applyFill="1" applyAlignment="1">
      <alignment horizontal="center" vertical="center"/>
    </xf>
    <xf numFmtId="0" fontId="12" fillId="3" borderId="6" xfId="0" applyFont="1" applyFill="1" applyBorder="1"/>
    <xf numFmtId="38" fontId="11" fillId="3" borderId="3" xfId="0" applyNumberFormat="1" applyFont="1" applyFill="1" applyBorder="1" applyAlignment="1">
      <alignment horizontal="center" vertical="center"/>
    </xf>
    <xf numFmtId="38" fontId="12" fillId="3" borderId="3" xfId="0" applyNumberFormat="1" applyFont="1" applyFill="1" applyBorder="1" applyAlignment="1">
      <alignment horizontal="center" vertical="center"/>
    </xf>
    <xf numFmtId="0" fontId="0" fillId="3" borderId="4" xfId="0" applyFill="1" applyBorder="1"/>
    <xf numFmtId="0" fontId="2" fillId="3" borderId="4" xfId="0" applyFont="1" applyFill="1" applyBorder="1"/>
    <xf numFmtId="0" fontId="14" fillId="3" borderId="4" xfId="0" applyFont="1" applyFill="1" applyBorder="1"/>
    <xf numFmtId="0" fontId="4" fillId="3" borderId="5" xfId="0" applyFont="1" applyFill="1" applyBorder="1" applyAlignment="1">
      <alignment horizontal="left"/>
    </xf>
    <xf numFmtId="167" fontId="7" fillId="0" borderId="7" xfId="0" applyNumberFormat="1" applyFont="1" applyBorder="1"/>
    <xf numFmtId="167" fontId="7" fillId="0" borderId="0" xfId="0" applyNumberFormat="1" applyFont="1"/>
    <xf numFmtId="0" fontId="11" fillId="0" borderId="8" xfId="0" applyFont="1" applyBorder="1"/>
    <xf numFmtId="38" fontId="11" fillId="0" borderId="9" xfId="0" applyNumberFormat="1" applyFont="1" applyBorder="1" applyAlignment="1">
      <alignment horizontal="center"/>
    </xf>
    <xf numFmtId="38" fontId="11" fillId="0" borderId="8" xfId="0" applyNumberFormat="1" applyFont="1" applyBorder="1" applyAlignment="1">
      <alignment horizontal="center"/>
    </xf>
    <xf numFmtId="0" fontId="11" fillId="4" borderId="0" xfId="0" applyFont="1" applyFill="1"/>
    <xf numFmtId="38" fontId="11" fillId="4" borderId="7" xfId="0" applyNumberFormat="1" applyFont="1" applyFill="1" applyBorder="1" applyAlignment="1">
      <alignment horizontal="center"/>
    </xf>
    <xf numFmtId="38" fontId="11" fillId="4" borderId="0" xfId="0" applyNumberFormat="1" applyFont="1" applyFill="1" applyAlignment="1">
      <alignment horizontal="center"/>
    </xf>
    <xf numFmtId="0" fontId="11" fillId="0" borderId="0" xfId="0" applyFont="1"/>
    <xf numFmtId="38" fontId="11" fillId="0" borderId="7" xfId="0" applyNumberFormat="1" applyFont="1" applyBorder="1" applyAlignment="1">
      <alignment horizontal="center"/>
    </xf>
    <xf numFmtId="38" fontId="11" fillId="0" borderId="0" xfId="0" applyNumberFormat="1" applyFont="1" applyAlignment="1">
      <alignment horizontal="center"/>
    </xf>
    <xf numFmtId="38" fontId="12" fillId="0" borderId="0" xfId="0" applyNumberFormat="1" applyFont="1" applyAlignment="1">
      <alignment horizontal="center"/>
    </xf>
    <xf numFmtId="38" fontId="12" fillId="4" borderId="7" xfId="0" applyNumberFormat="1" applyFont="1" applyFill="1" applyBorder="1" applyAlignment="1">
      <alignment horizontal="center"/>
    </xf>
    <xf numFmtId="38" fontId="12" fillId="4" borderId="0" xfId="0" applyNumberFormat="1" applyFont="1" applyFill="1" applyAlignment="1">
      <alignment horizontal="center"/>
    </xf>
    <xf numFmtId="38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/>
    <xf numFmtId="38" fontId="21" fillId="3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0" fillId="0" borderId="0" xfId="1" applyNumberFormat="1" applyFont="1"/>
    <xf numFmtId="43" fontId="0" fillId="0" borderId="0" xfId="0" applyNumberFormat="1"/>
    <xf numFmtId="0" fontId="12" fillId="3" borderId="3" xfId="0" applyFont="1" applyFill="1" applyBorder="1"/>
    <xf numFmtId="38" fontId="11" fillId="3" borderId="4" xfId="0" applyNumberFormat="1" applyFont="1" applyFill="1" applyBorder="1" applyAlignment="1">
      <alignment horizontal="center" vertical="center"/>
    </xf>
    <xf numFmtId="40" fontId="11" fillId="3" borderId="0" xfId="0" applyNumberFormat="1" applyFont="1" applyFill="1" applyAlignment="1">
      <alignment horizontal="center" vertical="center"/>
    </xf>
    <xf numFmtId="40" fontId="12" fillId="3" borderId="0" xfId="0" applyNumberFormat="1" applyFont="1" applyFill="1" applyAlignment="1">
      <alignment horizontal="center" vertical="center"/>
    </xf>
    <xf numFmtId="40" fontId="11" fillId="3" borderId="3" xfId="0" applyNumberFormat="1" applyFont="1" applyFill="1" applyBorder="1" applyAlignment="1">
      <alignment horizontal="center" vertical="center"/>
    </xf>
    <xf numFmtId="40" fontId="12" fillId="3" borderId="3" xfId="0" applyNumberFormat="1" applyFont="1" applyFill="1" applyBorder="1" applyAlignment="1">
      <alignment horizontal="center" vertical="center"/>
    </xf>
    <xf numFmtId="0" fontId="23" fillId="0" borderId="0" xfId="0" applyFont="1"/>
    <xf numFmtId="38" fontId="24" fillId="0" borderId="0" xfId="3" quotePrefix="1" applyNumberFormat="1" applyFont="1" applyBorder="1" applyAlignment="1" applyProtection="1">
      <alignment horizontal="right"/>
    </xf>
    <xf numFmtId="38" fontId="24" fillId="0" borderId="0" xfId="3" quotePrefix="1" applyNumberFormat="1" applyFont="1" applyFill="1" applyBorder="1" applyAlignment="1" applyProtection="1">
      <alignment horizontal="right"/>
    </xf>
    <xf numFmtId="0" fontId="23" fillId="0" borderId="8" xfId="0" applyFont="1" applyBorder="1"/>
    <xf numFmtId="38" fontId="23" fillId="0" borderId="8" xfId="0" applyNumberFormat="1" applyFont="1" applyBorder="1"/>
    <xf numFmtId="38" fontId="25" fillId="0" borderId="8" xfId="0" applyNumberFormat="1" applyFont="1" applyBorder="1"/>
    <xf numFmtId="38" fontId="26" fillId="0" borderId="8" xfId="0" applyNumberFormat="1" applyFont="1" applyBorder="1"/>
    <xf numFmtId="38" fontId="23" fillId="0" borderId="0" xfId="0" applyNumberFormat="1" applyFont="1"/>
    <xf numFmtId="38" fontId="26" fillId="0" borderId="0" xfId="0" applyNumberFormat="1" applyFont="1"/>
    <xf numFmtId="0" fontId="23" fillId="0" borderId="10" xfId="0" applyFont="1" applyBorder="1"/>
    <xf numFmtId="38" fontId="25" fillId="0" borderId="0" xfId="0" applyNumberFormat="1" applyFont="1"/>
    <xf numFmtId="38" fontId="23" fillId="0" borderId="11" xfId="0" applyNumberFormat="1" applyFont="1" applyBorder="1"/>
    <xf numFmtId="38" fontId="26" fillId="0" borderId="11" xfId="0" applyNumberFormat="1" applyFont="1" applyBorder="1"/>
    <xf numFmtId="0" fontId="23" fillId="0" borderId="11" xfId="0" applyFont="1" applyBorder="1"/>
    <xf numFmtId="0" fontId="25" fillId="0" borderId="0" xfId="0" applyFont="1"/>
    <xf numFmtId="0" fontId="23" fillId="0" borderId="12" xfId="0" applyFont="1" applyBorder="1"/>
    <xf numFmtId="38" fontId="24" fillId="0" borderId="12" xfId="3" quotePrefix="1" applyNumberFormat="1" applyFont="1" applyBorder="1" applyAlignment="1" applyProtection="1">
      <alignment horizontal="right"/>
    </xf>
    <xf numFmtId="38" fontId="24" fillId="0" borderId="12" xfId="3" quotePrefix="1" applyNumberFormat="1" applyFont="1" applyFill="1" applyBorder="1" applyAlignment="1" applyProtection="1">
      <alignment horizontal="right"/>
    </xf>
    <xf numFmtId="38" fontId="27" fillId="0" borderId="0" xfId="0" applyNumberFormat="1" applyFont="1"/>
    <xf numFmtId="38" fontId="22" fillId="0" borderId="0" xfId="0" applyNumberFormat="1" applyFont="1"/>
    <xf numFmtId="38" fontId="28" fillId="0" borderId="0" xfId="0" applyNumberFormat="1" applyFont="1"/>
    <xf numFmtId="0" fontId="29" fillId="0" borderId="0" xfId="0" applyFont="1"/>
    <xf numFmtId="38" fontId="27" fillId="0" borderId="12" xfId="3" quotePrefix="1" applyNumberFormat="1" applyFont="1" applyFill="1" applyBorder="1" applyAlignment="1" applyProtection="1">
      <alignment horizontal="center"/>
    </xf>
    <xf numFmtId="169" fontId="23" fillId="0" borderId="0" xfId="0" applyNumberFormat="1" applyFont="1"/>
    <xf numFmtId="169" fontId="25" fillId="0" borderId="0" xfId="0" applyNumberFormat="1" applyFont="1"/>
    <xf numFmtId="9" fontId="23" fillId="0" borderId="0" xfId="2" applyFont="1"/>
    <xf numFmtId="0" fontId="30" fillId="0" borderId="0" xfId="0" applyFont="1"/>
    <xf numFmtId="38" fontId="24" fillId="0" borderId="0" xfId="3" applyNumberFormat="1" applyFont="1" applyFill="1" applyBorder="1" applyAlignment="1" applyProtection="1">
      <alignment horizontal="right"/>
    </xf>
    <xf numFmtId="38" fontId="30" fillId="0" borderId="0" xfId="0" applyNumberFormat="1" applyFont="1"/>
    <xf numFmtId="3" fontId="23" fillId="0" borderId="0" xfId="0" applyNumberFormat="1" applyFont="1"/>
    <xf numFmtId="3" fontId="25" fillId="0" borderId="0" xfId="0" applyNumberFormat="1" applyFont="1"/>
    <xf numFmtId="170" fontId="23" fillId="0" borderId="8" xfId="2" applyNumberFormat="1" applyFont="1" applyBorder="1"/>
    <xf numFmtId="0" fontId="23" fillId="0" borderId="0" xfId="0" applyFont="1" applyAlignment="1">
      <alignment horizontal="center"/>
    </xf>
    <xf numFmtId="38" fontId="24" fillId="0" borderId="0" xfId="3" applyNumberFormat="1" applyFont="1" applyFill="1" applyBorder="1" applyAlignment="1" applyProtection="1">
      <alignment horizontal="center"/>
    </xf>
    <xf numFmtId="170" fontId="23" fillId="0" borderId="0" xfId="2" applyNumberFormat="1" applyFont="1"/>
    <xf numFmtId="170" fontId="25" fillId="0" borderId="0" xfId="2" applyNumberFormat="1" applyFont="1"/>
    <xf numFmtId="0" fontId="23" fillId="0" borderId="13" xfId="0" applyFont="1" applyBorder="1"/>
    <xf numFmtId="38" fontId="23" fillId="0" borderId="13" xfId="0" applyNumberFormat="1" applyFont="1" applyBorder="1"/>
    <xf numFmtId="38" fontId="31" fillId="0" borderId="0" xfId="0" applyNumberFormat="1" applyFont="1"/>
    <xf numFmtId="38" fontId="32" fillId="0" borderId="0" xfId="0" applyNumberFormat="1" applyFont="1"/>
    <xf numFmtId="169" fontId="26" fillId="0" borderId="0" xfId="0" applyNumberFormat="1" applyFont="1"/>
    <xf numFmtId="0" fontId="25" fillId="0" borderId="8" xfId="0" applyFont="1" applyBorder="1"/>
    <xf numFmtId="171" fontId="23" fillId="0" borderId="8" xfId="0" applyNumberFormat="1" applyFont="1" applyBorder="1"/>
    <xf numFmtId="40" fontId="23" fillId="0" borderId="0" xfId="0" applyNumberFormat="1" applyFont="1"/>
    <xf numFmtId="40" fontId="26" fillId="0" borderId="0" xfId="0" applyNumberFormat="1" applyFont="1"/>
    <xf numFmtId="40" fontId="25" fillId="0" borderId="0" xfId="0" applyNumberFormat="1" applyFont="1"/>
    <xf numFmtId="170" fontId="23" fillId="0" borderId="0" xfId="2" applyNumberFormat="1" applyFont="1" applyBorder="1"/>
    <xf numFmtId="170" fontId="26" fillId="0" borderId="0" xfId="2" applyNumberFormat="1" applyFont="1" applyBorder="1"/>
    <xf numFmtId="170" fontId="25" fillId="0" borderId="0" xfId="2" applyNumberFormat="1" applyFont="1" applyBorder="1"/>
    <xf numFmtId="38" fontId="25" fillId="0" borderId="11" xfId="0" applyNumberFormat="1" applyFont="1" applyBorder="1"/>
    <xf numFmtId="40" fontId="23" fillId="0" borderId="11" xfId="0" applyNumberFormat="1" applyFont="1" applyBorder="1"/>
    <xf numFmtId="40" fontId="25" fillId="0" borderId="11" xfId="0" applyNumberFormat="1" applyFont="1" applyBorder="1"/>
    <xf numFmtId="164" fontId="24" fillId="0" borderId="12" xfId="3" quotePrefix="1" applyNumberFormat="1" applyFont="1" applyFill="1" applyBorder="1" applyAlignment="1" applyProtection="1">
      <alignment horizontal="right"/>
    </xf>
    <xf numFmtId="38" fontId="23" fillId="0" borderId="0" xfId="0" applyNumberFormat="1" applyFont="1" applyAlignment="1">
      <alignment horizontal="right"/>
    </xf>
    <xf numFmtId="169" fontId="22" fillId="0" borderId="0" xfId="0" applyNumberFormat="1" applyFont="1"/>
    <xf numFmtId="0" fontId="34" fillId="0" borderId="0" xfId="0" applyFont="1"/>
    <xf numFmtId="0" fontId="36" fillId="0" borderId="0" xfId="0" applyFont="1"/>
    <xf numFmtId="38" fontId="37" fillId="0" borderId="0" xfId="0" applyNumberFormat="1" applyFont="1"/>
    <xf numFmtId="167" fontId="38" fillId="0" borderId="0" xfId="4" applyNumberFormat="1" applyFont="1" applyAlignment="1" applyProtection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167" fontId="40" fillId="0" borderId="0" xfId="4" applyNumberFormat="1" applyFont="1" applyAlignment="1" applyProtection="1"/>
    <xf numFmtId="0" fontId="25" fillId="0" borderId="0" xfId="0" applyFont="1" applyAlignment="1">
      <alignment horizontal="center" vertical="center" wrapText="1"/>
    </xf>
    <xf numFmtId="0" fontId="41" fillId="0" borderId="0" xfId="0" applyFont="1"/>
    <xf numFmtId="167" fontId="24" fillId="0" borderId="0" xfId="4" applyNumberFormat="1" applyFont="1" applyAlignment="1" applyProtection="1">
      <alignment horizontal="center" vertical="center" wrapText="1"/>
    </xf>
    <xf numFmtId="3" fontId="40" fillId="0" borderId="0" xfId="4" applyNumberFormat="1" applyFont="1" applyAlignment="1" applyProtection="1">
      <alignment horizontal="center" vertical="center" wrapText="1"/>
    </xf>
    <xf numFmtId="0" fontId="40" fillId="0" borderId="0" xfId="4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167" fontId="27" fillId="0" borderId="0" xfId="4" applyNumberFormat="1" applyFont="1" applyAlignment="1" applyProtection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38" fontId="23" fillId="0" borderId="0" xfId="0" applyNumberFormat="1" applyFont="1" applyAlignment="1">
      <alignment horizontal="left" vertical="center" wrapText="1"/>
    </xf>
    <xf numFmtId="166" fontId="23" fillId="0" borderId="0" xfId="0" applyNumberFormat="1" applyFont="1"/>
    <xf numFmtId="0" fontId="42" fillId="0" borderId="0" xfId="0" applyFont="1"/>
    <xf numFmtId="0" fontId="37" fillId="0" borderId="0" xfId="0" applyFont="1"/>
    <xf numFmtId="167" fontId="43" fillId="0" borderId="0" xfId="4" applyNumberFormat="1" applyFont="1" applyAlignment="1" applyProtection="1"/>
    <xf numFmtId="0" fontId="37" fillId="0" borderId="0" xfId="5" applyFont="1"/>
    <xf numFmtId="14" fontId="42" fillId="0" borderId="0" xfId="5" applyNumberFormat="1" applyFont="1"/>
    <xf numFmtId="38" fontId="42" fillId="0" borderId="0" xfId="5" applyNumberFormat="1" applyFont="1"/>
    <xf numFmtId="0" fontId="42" fillId="0" borderId="0" xfId="5" applyFont="1"/>
    <xf numFmtId="0" fontId="44" fillId="0" borderId="0" xfId="5" applyFont="1"/>
    <xf numFmtId="38" fontId="41" fillId="0" borderId="0" xfId="5" applyNumberFormat="1" applyFont="1"/>
    <xf numFmtId="38" fontId="45" fillId="0" borderId="0" xfId="5" applyNumberFormat="1" applyFont="1"/>
    <xf numFmtId="0" fontId="46" fillId="0" borderId="0" xfId="0" applyFont="1"/>
    <xf numFmtId="0" fontId="46" fillId="5" borderId="0" xfId="0" applyFont="1" applyFill="1"/>
    <xf numFmtId="0" fontId="47" fillId="6" borderId="0" xfId="0" applyFont="1" applyFill="1"/>
    <xf numFmtId="0" fontId="46" fillId="0" borderId="0" xfId="0" applyFont="1" applyAlignment="1">
      <alignment horizontal="center"/>
    </xf>
    <xf numFmtId="0" fontId="48" fillId="0" borderId="0" xfId="0" applyFont="1"/>
    <xf numFmtId="0" fontId="48" fillId="0" borderId="0" xfId="0" applyFont="1" applyAlignment="1">
      <alignment horizontal="center"/>
    </xf>
    <xf numFmtId="0" fontId="50" fillId="0" borderId="0" xfId="0" applyFont="1"/>
    <xf numFmtId="0" fontId="50" fillId="0" borderId="0" xfId="0" applyFont="1" applyAlignment="1">
      <alignment horizontal="center" vertical="center" wrapText="1"/>
    </xf>
    <xf numFmtId="0" fontId="50" fillId="9" borderId="0" xfId="0" applyFont="1" applyFill="1" applyAlignment="1">
      <alignment horizontal="center" vertical="center" wrapText="1"/>
    </xf>
    <xf numFmtId="0" fontId="50" fillId="0" borderId="0" xfId="0" applyFont="1" applyAlignment="1">
      <alignment horizontal="center"/>
    </xf>
    <xf numFmtId="167" fontId="50" fillId="0" borderId="0" xfId="0" applyNumberFormat="1" applyFont="1"/>
    <xf numFmtId="169" fontId="50" fillId="0" borderId="0" xfId="0" applyNumberFormat="1" applyFont="1" applyAlignment="1">
      <alignment horizontal="center" vertical="center" wrapText="1"/>
    </xf>
    <xf numFmtId="38" fontId="50" fillId="0" borderId="0" xfId="0" applyNumberFormat="1" applyFont="1" applyAlignment="1">
      <alignment horizontal="center" vertical="center" wrapText="1"/>
    </xf>
    <xf numFmtId="169" fontId="51" fillId="0" borderId="0" xfId="0" applyNumberFormat="1" applyFont="1" applyAlignment="1">
      <alignment horizontal="center"/>
    </xf>
    <xf numFmtId="169" fontId="50" fillId="0" borderId="0" xfId="0" applyNumberFormat="1" applyFont="1" applyAlignment="1">
      <alignment horizontal="center"/>
    </xf>
    <xf numFmtId="172" fontId="50" fillId="0" borderId="0" xfId="0" applyNumberFormat="1" applyFont="1"/>
    <xf numFmtId="38" fontId="50" fillId="0" borderId="0" xfId="0" applyNumberFormat="1" applyFont="1" applyAlignment="1">
      <alignment horizontal="center"/>
    </xf>
    <xf numFmtId="40" fontId="50" fillId="0" borderId="0" xfId="0" applyNumberFormat="1" applyFont="1" applyAlignment="1">
      <alignment horizontal="center"/>
    </xf>
    <xf numFmtId="170" fontId="50" fillId="0" borderId="0" xfId="2" applyNumberFormat="1" applyFont="1" applyAlignment="1">
      <alignment horizontal="center"/>
    </xf>
    <xf numFmtId="169" fontId="50" fillId="0" borderId="0" xfId="0" applyNumberFormat="1" applyFont="1"/>
    <xf numFmtId="38" fontId="51" fillId="0" borderId="0" xfId="0" applyNumberFormat="1" applyFont="1" applyAlignment="1">
      <alignment horizontal="center"/>
    </xf>
    <xf numFmtId="169" fontId="52" fillId="0" borderId="0" xfId="0" applyNumberFormat="1" applyFont="1" applyAlignment="1">
      <alignment horizontal="center"/>
    </xf>
    <xf numFmtId="169" fontId="53" fillId="0" borderId="0" xfId="0" applyNumberFormat="1" applyFont="1" applyAlignment="1">
      <alignment horizontal="center"/>
    </xf>
    <xf numFmtId="170" fontId="52" fillId="0" borderId="0" xfId="2" applyNumberFormat="1" applyFont="1" applyAlignment="1">
      <alignment horizontal="center"/>
    </xf>
    <xf numFmtId="38" fontId="52" fillId="0" borderId="0" xfId="0" applyNumberFormat="1" applyFont="1" applyAlignment="1">
      <alignment horizontal="center"/>
    </xf>
    <xf numFmtId="38" fontId="53" fillId="0" borderId="0" xfId="0" applyNumberFormat="1" applyFont="1" applyAlignment="1">
      <alignment horizontal="center"/>
    </xf>
    <xf numFmtId="169" fontId="54" fillId="0" borderId="0" xfId="0" applyNumberFormat="1" applyFont="1" applyAlignment="1">
      <alignment horizontal="center"/>
    </xf>
    <xf numFmtId="169" fontId="51" fillId="0" borderId="0" xfId="0" applyNumberFormat="1" applyFont="1"/>
    <xf numFmtId="0" fontId="0" fillId="0" borderId="0" xfId="0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173" fontId="50" fillId="0" borderId="0" xfId="0" applyNumberFormat="1" applyFont="1" applyAlignment="1">
      <alignment horizontal="center" vertical="center" wrapText="1"/>
    </xf>
    <xf numFmtId="17" fontId="50" fillId="0" borderId="0" xfId="0" applyNumberFormat="1" applyFont="1"/>
    <xf numFmtId="169" fontId="0" fillId="0" borderId="0" xfId="0" applyNumberFormat="1"/>
    <xf numFmtId="169" fontId="2" fillId="0" borderId="0" xfId="0" applyNumberFormat="1" applyFont="1"/>
    <xf numFmtId="0" fontId="2" fillId="0" borderId="0" xfId="0" applyFont="1"/>
    <xf numFmtId="0" fontId="55" fillId="0" borderId="0" xfId="0" applyFont="1"/>
    <xf numFmtId="167" fontId="57" fillId="0" borderId="0" xfId="4" applyNumberFormat="1" applyFont="1" applyAlignment="1" applyProtection="1"/>
    <xf numFmtId="0" fontId="58" fillId="0" borderId="0" xfId="0" applyFont="1" applyAlignment="1">
      <alignment horizontal="center" vertical="center" wrapText="1"/>
    </xf>
    <xf numFmtId="167" fontId="60" fillId="0" borderId="0" xfId="4" applyNumberFormat="1" applyFont="1" applyAlignment="1" applyProtection="1"/>
    <xf numFmtId="166" fontId="61" fillId="0" borderId="0" xfId="0" applyNumberFormat="1" applyFont="1"/>
    <xf numFmtId="38" fontId="62" fillId="0" borderId="0" xfId="0" applyNumberFormat="1" applyFont="1"/>
    <xf numFmtId="170" fontId="62" fillId="0" borderId="0" xfId="2" applyNumberFormat="1" applyFont="1"/>
    <xf numFmtId="0" fontId="27" fillId="0" borderId="0" xfId="0" applyFont="1"/>
    <xf numFmtId="0" fontId="63" fillId="0" borderId="0" xfId="4" applyFont="1" applyFill="1" applyBorder="1" applyAlignment="1" applyProtection="1"/>
    <xf numFmtId="0" fontId="24" fillId="0" borderId="0" xfId="0" quotePrefix="1" applyFont="1" applyAlignment="1">
      <alignment horizontal="left"/>
    </xf>
    <xf numFmtId="0" fontId="23" fillId="0" borderId="14" xfId="0" applyFont="1" applyBorder="1"/>
    <xf numFmtId="164" fontId="24" fillId="0" borderId="14" xfId="1" quotePrefix="1" applyNumberFormat="1" applyFont="1" applyFill="1" applyBorder="1" applyAlignment="1" applyProtection="1">
      <alignment horizontal="right"/>
    </xf>
    <xf numFmtId="0" fontId="24" fillId="0" borderId="0" xfId="0" applyFont="1"/>
    <xf numFmtId="0" fontId="23" fillId="0" borderId="15" xfId="0" applyFont="1" applyBorder="1"/>
    <xf numFmtId="38" fontId="23" fillId="0" borderId="15" xfId="0" applyNumberFormat="1" applyFont="1" applyBorder="1"/>
    <xf numFmtId="0" fontId="25" fillId="0" borderId="15" xfId="0" applyFont="1" applyBorder="1"/>
    <xf numFmtId="38" fontId="24" fillId="0" borderId="14" xfId="1" quotePrefix="1" applyNumberFormat="1" applyFont="1" applyBorder="1" applyAlignment="1" applyProtection="1">
      <alignment horizontal="right"/>
    </xf>
    <xf numFmtId="164" fontId="24" fillId="0" borderId="14" xfId="1" quotePrefix="1" applyNumberFormat="1" applyFont="1" applyBorder="1" applyAlignment="1" applyProtection="1">
      <alignment horizontal="right"/>
    </xf>
    <xf numFmtId="38" fontId="32" fillId="0" borderId="16" xfId="6" applyNumberFormat="1" applyFont="1" applyFill="1" applyBorder="1" applyAlignment="1">
      <alignment horizontal="right"/>
    </xf>
    <xf numFmtId="38" fontId="23" fillId="0" borderId="16" xfId="6" applyNumberFormat="1" applyFont="1" applyFill="1" applyBorder="1" applyAlignment="1">
      <alignment horizontal="right"/>
    </xf>
    <xf numFmtId="38" fontId="22" fillId="0" borderId="16" xfId="6" applyNumberFormat="1" applyFont="1" applyFill="1" applyBorder="1" applyAlignment="1">
      <alignment horizontal="right"/>
    </xf>
    <xf numFmtId="169" fontId="31" fillId="0" borderId="0" xfId="0" applyNumberFormat="1" applyFont="1"/>
    <xf numFmtId="40" fontId="22" fillId="0" borderId="0" xfId="0" applyNumberFormat="1" applyFont="1"/>
    <xf numFmtId="173" fontId="32" fillId="0" borderId="0" xfId="0" applyNumberFormat="1" applyFont="1"/>
    <xf numFmtId="169" fontId="32" fillId="0" borderId="0" xfId="0" applyNumberFormat="1" applyFont="1"/>
    <xf numFmtId="173" fontId="23" fillId="0" borderId="0" xfId="0" applyNumberFormat="1" applyFont="1"/>
    <xf numFmtId="38" fontId="64" fillId="0" borderId="14" xfId="1" quotePrefix="1" applyNumberFormat="1" applyFont="1" applyBorder="1" applyAlignment="1" applyProtection="1">
      <alignment horizontal="right"/>
    </xf>
    <xf numFmtId="169" fontId="27" fillId="0" borderId="0" xfId="0" applyNumberFormat="1" applyFont="1"/>
    <xf numFmtId="169" fontId="27" fillId="0" borderId="16" xfId="6" applyNumberFormat="1" applyFont="1" applyFill="1" applyBorder="1" applyAlignment="1">
      <alignment horizontal="right"/>
    </xf>
    <xf numFmtId="169" fontId="26" fillId="0" borderId="16" xfId="6" applyNumberFormat="1" applyFont="1" applyFill="1" applyBorder="1" applyAlignment="1">
      <alignment horizontal="right"/>
    </xf>
    <xf numFmtId="0" fontId="63" fillId="0" borderId="0" xfId="4" applyFont="1"/>
    <xf numFmtId="38" fontId="24" fillId="0" borderId="0" xfId="0" applyNumberFormat="1" applyFont="1"/>
    <xf numFmtId="164" fontId="32" fillId="0" borderId="0" xfId="0" applyNumberFormat="1" applyFont="1"/>
    <xf numFmtId="164" fontId="23" fillId="0" borderId="0" xfId="0" applyNumberFormat="1" applyFont="1"/>
    <xf numFmtId="164" fontId="25" fillId="0" borderId="0" xfId="0" applyNumberFormat="1" applyFont="1"/>
    <xf numFmtId="164" fontId="26" fillId="0" borderId="0" xfId="0" applyNumberFormat="1" applyFont="1"/>
    <xf numFmtId="38" fontId="27" fillId="0" borderId="16" xfId="6" applyNumberFormat="1" applyFont="1" applyFill="1" applyBorder="1" applyAlignment="1">
      <alignment horizontal="right"/>
    </xf>
    <xf numFmtId="38" fontId="26" fillId="0" borderId="16" xfId="6" applyNumberFormat="1" applyFont="1" applyFill="1" applyBorder="1" applyAlignment="1">
      <alignment horizontal="right"/>
    </xf>
    <xf numFmtId="169" fontId="24" fillId="0" borderId="0" xfId="0" applyNumberFormat="1" applyFont="1"/>
    <xf numFmtId="38" fontId="65" fillId="0" borderId="0" xfId="0" applyNumberFormat="1" applyFont="1"/>
    <xf numFmtId="0" fontId="23" fillId="0" borderId="0" xfId="0" applyFont="1" applyAlignment="1">
      <alignment horizontal="right"/>
    </xf>
    <xf numFmtId="38" fontId="32" fillId="0" borderId="11" xfId="0" applyNumberFormat="1" applyFont="1" applyBorder="1"/>
    <xf numFmtId="169" fontId="32" fillId="0" borderId="16" xfId="6" applyNumberFormat="1" applyFont="1" applyFill="1" applyBorder="1" applyAlignment="1">
      <alignment horizontal="right"/>
    </xf>
    <xf numFmtId="0" fontId="66" fillId="0" borderId="0" xfId="0" applyFont="1"/>
    <xf numFmtId="0" fontId="67" fillId="0" borderId="0" xfId="0" applyFont="1"/>
    <xf numFmtId="0" fontId="33" fillId="0" borderId="0" xfId="4" applyFill="1" applyBorder="1" applyAlignment="1" applyProtection="1"/>
    <xf numFmtId="0" fontId="68" fillId="0" borderId="0" xfId="0" applyFont="1"/>
    <xf numFmtId="0" fontId="68" fillId="0" borderId="0" xfId="0" quotePrefix="1" applyFont="1" applyAlignment="1">
      <alignment horizontal="left"/>
    </xf>
    <xf numFmtId="0" fontId="10" fillId="0" borderId="14" xfId="0" applyFont="1" applyBorder="1"/>
    <xf numFmtId="164" fontId="68" fillId="0" borderId="14" xfId="1" quotePrefix="1" applyNumberFormat="1" applyFont="1" applyBorder="1" applyAlignment="1" applyProtection="1">
      <alignment horizontal="right"/>
    </xf>
    <xf numFmtId="164" fontId="68" fillId="0" borderId="14" xfId="1" quotePrefix="1" applyNumberFormat="1" applyFont="1" applyFill="1" applyBorder="1" applyAlignment="1" applyProtection="1">
      <alignment horizontal="right"/>
    </xf>
    <xf numFmtId="166" fontId="69" fillId="0" borderId="0" xfId="0" applyNumberFormat="1" applyFont="1"/>
    <xf numFmtId="0" fontId="67" fillId="0" borderId="0" xfId="0" applyFont="1" applyAlignment="1">
      <alignment horizontal="left"/>
    </xf>
    <xf numFmtId="0" fontId="10" fillId="0" borderId="0" xfId="0" applyFont="1"/>
    <xf numFmtId="38" fontId="17" fillId="0" borderId="0" xfId="0" applyNumberFormat="1" applyFont="1"/>
    <xf numFmtId="0" fontId="70" fillId="0" borderId="0" xfId="4" applyFont="1" applyFill="1" applyBorder="1"/>
    <xf numFmtId="164" fontId="71" fillId="0" borderId="0" xfId="0" applyNumberFormat="1" applyFont="1" applyAlignment="1">
      <alignment horizontal="center"/>
    </xf>
    <xf numFmtId="38" fontId="72" fillId="0" borderId="0" xfId="0" applyNumberFormat="1" applyFont="1"/>
    <xf numFmtId="0" fontId="71" fillId="0" borderId="0" xfId="0" applyFont="1" applyAlignment="1">
      <alignment horizontal="right"/>
    </xf>
    <xf numFmtId="38" fontId="11" fillId="0" borderId="0" xfId="0" applyNumberFormat="1" applyFont="1"/>
    <xf numFmtId="38" fontId="6" fillId="0" borderId="0" xfId="7" applyNumberFormat="1" applyFont="1" applyFill="1" applyAlignment="1" applyProtection="1">
      <alignment horizontal="right"/>
    </xf>
    <xf numFmtId="0" fontId="7" fillId="0" borderId="0" xfId="0" applyFont="1"/>
    <xf numFmtId="170" fontId="71" fillId="0" borderId="0" xfId="2" applyNumberFormat="1" applyFont="1" applyFill="1" applyAlignment="1" applyProtection="1">
      <alignment horizontal="right"/>
    </xf>
    <xf numFmtId="170" fontId="69" fillId="0" borderId="0" xfId="2" applyNumberFormat="1" applyFont="1" applyFill="1" applyAlignment="1" applyProtection="1">
      <alignment horizontal="right"/>
    </xf>
    <xf numFmtId="38" fontId="69" fillId="0" borderId="0" xfId="7" applyNumberFormat="1" applyFont="1" applyFill="1" applyAlignment="1" applyProtection="1">
      <alignment horizontal="right"/>
    </xf>
    <xf numFmtId="0" fontId="73" fillId="0" borderId="0" xfId="0" applyFont="1"/>
    <xf numFmtId="40" fontId="71" fillId="0" borderId="0" xfId="0" applyNumberFormat="1" applyFont="1" applyAlignment="1">
      <alignment horizontal="right"/>
    </xf>
    <xf numFmtId="40" fontId="11" fillId="0" borderId="0" xfId="0" applyNumberFormat="1" applyFont="1"/>
    <xf numFmtId="40" fontId="17" fillId="0" borderId="0" xfId="0" applyNumberFormat="1" applyFont="1"/>
    <xf numFmtId="40" fontId="72" fillId="0" borderId="0" xfId="0" applyNumberFormat="1" applyFont="1"/>
    <xf numFmtId="0" fontId="10" fillId="0" borderId="11" xfId="0" applyFont="1" applyBorder="1"/>
    <xf numFmtId="38" fontId="17" fillId="0" borderId="11" xfId="0" applyNumberFormat="1" applyFont="1" applyBorder="1"/>
    <xf numFmtId="38" fontId="72" fillId="0" borderId="11" xfId="0" applyNumberFormat="1" applyFont="1" applyBorder="1"/>
    <xf numFmtId="0" fontId="0" fillId="0" borderId="11" xfId="0" applyBorder="1"/>
    <xf numFmtId="0" fontId="10" fillId="0" borderId="15" xfId="0" applyFont="1" applyBorder="1"/>
    <xf numFmtId="38" fontId="17" fillId="0" borderId="15" xfId="0" applyNumberFormat="1" applyFont="1" applyBorder="1"/>
    <xf numFmtId="0" fontId="74" fillId="0" borderId="15" xfId="0" applyFont="1" applyBorder="1"/>
    <xf numFmtId="38" fontId="68" fillId="0" borderId="14" xfId="1" quotePrefix="1" applyNumberFormat="1" applyFont="1" applyBorder="1" applyAlignment="1" applyProtection="1">
      <alignment horizontal="right"/>
    </xf>
    <xf numFmtId="169" fontId="75" fillId="0" borderId="0" xfId="0" applyNumberFormat="1" applyFont="1"/>
    <xf numFmtId="169" fontId="11" fillId="0" borderId="0" xfId="0" applyNumberFormat="1" applyFont="1"/>
    <xf numFmtId="169" fontId="12" fillId="0" borderId="0" xfId="0" applyNumberFormat="1" applyFont="1"/>
    <xf numFmtId="9" fontId="0" fillId="0" borderId="0" xfId="2" applyFont="1"/>
    <xf numFmtId="169" fontId="71" fillId="0" borderId="0" xfId="0" applyNumberFormat="1" applyFont="1"/>
    <xf numFmtId="169" fontId="71" fillId="0" borderId="16" xfId="6" applyNumberFormat="1" applyFont="1" applyFill="1" applyBorder="1" applyAlignment="1">
      <alignment horizontal="right"/>
    </xf>
    <xf numFmtId="169" fontId="69" fillId="0" borderId="16" xfId="6" applyNumberFormat="1" applyFont="1" applyFill="1" applyBorder="1" applyAlignment="1">
      <alignment horizontal="right"/>
    </xf>
    <xf numFmtId="0" fontId="0" fillId="0" borderId="15" xfId="0" applyBorder="1"/>
    <xf numFmtId="173" fontId="0" fillId="0" borderId="0" xfId="0" applyNumberFormat="1"/>
    <xf numFmtId="38" fontId="12" fillId="0" borderId="0" xfId="0" applyNumberFormat="1" applyFont="1"/>
    <xf numFmtId="0" fontId="70" fillId="0" borderId="0" xfId="4" applyFont="1"/>
    <xf numFmtId="38" fontId="71" fillId="0" borderId="0" xfId="0" applyNumberFormat="1" applyFont="1"/>
    <xf numFmtId="38" fontId="69" fillId="0" borderId="0" xfId="0" applyNumberFormat="1" applyFont="1"/>
    <xf numFmtId="38" fontId="0" fillId="0" borderId="15" xfId="0" applyNumberFormat="1" applyBorder="1"/>
    <xf numFmtId="38" fontId="75" fillId="0" borderId="0" xfId="0" applyNumberFormat="1" applyFont="1"/>
    <xf numFmtId="173" fontId="75" fillId="0" borderId="0" xfId="0" applyNumberFormat="1" applyFont="1"/>
    <xf numFmtId="173" fontId="69" fillId="0" borderId="0" xfId="0" applyNumberFormat="1" applyFont="1"/>
    <xf numFmtId="173" fontId="71" fillId="0" borderId="0" xfId="0" applyNumberFormat="1" applyFont="1"/>
    <xf numFmtId="169" fontId="0" fillId="0" borderId="15" xfId="0" applyNumberFormat="1" applyBorder="1"/>
    <xf numFmtId="164" fontId="11" fillId="0" borderId="0" xfId="0" applyNumberFormat="1" applyFont="1"/>
    <xf numFmtId="164" fontId="12" fillId="0" borderId="0" xfId="0" applyNumberFormat="1" applyFont="1"/>
    <xf numFmtId="169" fontId="67" fillId="0" borderId="0" xfId="1" applyNumberFormat="1" applyFont="1" applyFill="1"/>
    <xf numFmtId="0" fontId="33" fillId="0" borderId="0" xfId="4" quotePrefix="1" applyFill="1" applyAlignment="1" applyProtection="1">
      <alignment horizontal="left"/>
    </xf>
    <xf numFmtId="0" fontId="0" fillId="0" borderId="0" xfId="0" quotePrefix="1" applyAlignment="1">
      <alignment horizontal="left"/>
    </xf>
    <xf numFmtId="38" fontId="68" fillId="0" borderId="0" xfId="1" quotePrefix="1" applyNumberFormat="1" applyFont="1" applyBorder="1" applyAlignment="1" applyProtection="1">
      <alignment horizontal="right"/>
    </xf>
    <xf numFmtId="173" fontId="0" fillId="0" borderId="17" xfId="0" applyNumberFormat="1" applyBorder="1"/>
    <xf numFmtId="0" fontId="76" fillId="11" borderId="0" xfId="0" applyFont="1" applyFill="1"/>
    <xf numFmtId="165" fontId="15" fillId="3" borderId="0" xfId="0" applyNumberFormat="1" applyFont="1" applyFill="1" applyAlignment="1">
      <alignment horizont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47" fillId="5" borderId="0" xfId="0" applyFont="1" applyFill="1" applyAlignment="1">
      <alignment horizontal="center"/>
    </xf>
    <xf numFmtId="0" fontId="47" fillId="7" borderId="0" xfId="0" applyFont="1" applyFill="1" applyAlignment="1">
      <alignment horizontal="center"/>
    </xf>
    <xf numFmtId="0" fontId="47" fillId="8" borderId="0" xfId="0" applyFont="1" applyFill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38" fontId="77" fillId="0" borderId="0" xfId="5" applyNumberFormat="1" applyFont="1"/>
    <xf numFmtId="38" fontId="78" fillId="0" borderId="0" xfId="5" applyNumberFormat="1" applyFont="1"/>
    <xf numFmtId="170" fontId="37" fillId="0" borderId="0" xfId="2" applyNumberFormat="1" applyFont="1"/>
  </cellXfs>
  <cellStyles count="8">
    <cellStyle name="Comma" xfId="1" builtinId="3"/>
    <cellStyle name="Comma 9" xfId="3" xr:uid="{4F5AD8DE-8BEA-471E-9912-23DE70C2F1E5}"/>
    <cellStyle name="Comma_sbusbal" xfId="7" xr:uid="{9A01690B-58E1-484C-971A-2083BBA92430}"/>
    <cellStyle name="Comma_suwldbal" xfId="6" xr:uid="{8C9FFBD1-B307-49F5-8B51-1BB63FAA46A0}"/>
    <cellStyle name="Hyperlink" xfId="4" builtinId="8"/>
    <cellStyle name="Normal" xfId="0" builtinId="0"/>
    <cellStyle name="Normal 2" xfId="5" xr:uid="{8B91FD04-1677-4F64-8383-AC1072027269}"/>
    <cellStyle name="Percent" xfId="2" builtinId="5"/>
  </cellStyles>
  <dxfs count="0"/>
  <tableStyles count="0" defaultTableStyle="TableStyleMedium2" defaultPivotStyle="PivotStyleLight16"/>
  <colors>
    <mruColors>
      <color rgb="FF69C1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externalLink" Target="externalLinks/externalLink1.xml"/><Relationship Id="rId23" Type="http://schemas.openxmlformats.org/officeDocument/2006/relationships/sheetMetadata" Target="metadata.xml"/><Relationship Id="rId10" Type="http://schemas.openxmlformats.org/officeDocument/2006/relationships/worksheet" Target="worksheets/sheet9.xml"/><Relationship Id="rId19" Type="http://schemas.openxmlformats.org/officeDocument/2006/relationships/externalLink" Target="externalLinks/externalLink5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 b="1"/>
              <a:t>U.S. Monthly</a:t>
            </a:r>
            <a:r>
              <a:rPr lang="en-US" sz="3600" b="1" baseline="0"/>
              <a:t> Ethanol Production</a:t>
            </a:r>
            <a:endParaRPr lang="en-US" sz="3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48079895587789"/>
          <c:y val="0.12825302911608838"/>
          <c:w val="0.87881873952118583"/>
          <c:h val="0.77518118142736192"/>
        </c:manualLayout>
      </c:layout>
      <c:barChart>
        <c:barDir val="col"/>
        <c:grouping val="clustered"/>
        <c:varyColors val="0"/>
        <c:ser>
          <c:idx val="3"/>
          <c:order val="3"/>
          <c:tx>
            <c:v>2022</c:v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59-4DA3-95F2-4BA88166C661}"/>
              </c:ext>
            </c:extLst>
          </c:dPt>
          <c:dPt>
            <c:idx val="8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59-4DA3-95F2-4BA88166C661}"/>
              </c:ext>
            </c:extLst>
          </c:dPt>
          <c:dPt>
            <c:idx val="9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59-4DA3-95F2-4BA88166C661}"/>
              </c:ext>
            </c:extLst>
          </c:dPt>
          <c:dPt>
            <c:idx val="10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59-4DA3-95F2-4BA88166C661}"/>
              </c:ext>
            </c:extLst>
          </c:dPt>
          <c:dPt>
            <c:idx val="11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59-4DA3-95F2-4BA88166C661}"/>
              </c:ext>
            </c:extLst>
          </c:dPt>
          <c:cat>
            <c:strRef>
              <c:f>'Ethanol Balance Sheet'!$BZ$16:$BZ$27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('Ethanol Balance Sheet'!$AD$20:$AD$27,'Ethanol Balance Sheet'!$AE$16:$AE$19)</c:f>
              <c:numCache>
                <c:formatCode>#,##0_);[Red]\(#,##0\)</c:formatCode>
                <c:ptCount val="12"/>
                <c:pt idx="0">
                  <c:v>32191</c:v>
                </c:pt>
                <c:pt idx="1">
                  <c:v>28304</c:v>
                </c:pt>
                <c:pt idx="2">
                  <c:v>31581</c:v>
                </c:pt>
                <c:pt idx="3">
                  <c:v>28956</c:v>
                </c:pt>
                <c:pt idx="4">
                  <c:v>31256</c:v>
                </c:pt>
                <c:pt idx="5">
                  <c:v>31288</c:v>
                </c:pt>
                <c:pt idx="6">
                  <c:v>31498</c:v>
                </c:pt>
                <c:pt idx="7">
                  <c:v>30520</c:v>
                </c:pt>
                <c:pt idx="8">
                  <c:v>27072</c:v>
                </c:pt>
                <c:pt idx="9">
                  <c:v>31440</c:v>
                </c:pt>
                <c:pt idx="10">
                  <c:v>31580</c:v>
                </c:pt>
                <c:pt idx="11">
                  <c:v>30046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59-4DA3-95F2-4BA88166C661}"/>
            </c:ext>
          </c:extLst>
        </c:ser>
        <c:ser>
          <c:idx val="4"/>
          <c:order val="4"/>
          <c:tx>
            <c:v>2023</c:v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259-4DA3-95F2-4BA88166C661}"/>
              </c:ext>
            </c:extLst>
          </c:dPt>
          <c:dPt>
            <c:idx val="1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259-4DA3-95F2-4BA88166C661}"/>
              </c:ext>
            </c:extLst>
          </c:dPt>
          <c:dPt>
            <c:idx val="2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259-4DA3-95F2-4BA88166C661}"/>
              </c:ext>
            </c:extLst>
          </c:dPt>
          <c:dPt>
            <c:idx val="3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259-4DA3-95F2-4BA88166C661}"/>
              </c:ext>
            </c:extLst>
          </c:dPt>
          <c:dPt>
            <c:idx val="4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259-4DA3-95F2-4BA88166C661}"/>
              </c:ext>
            </c:extLst>
          </c:dPt>
          <c:dPt>
            <c:idx val="5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2259-4DA3-95F2-4BA88166C661}"/>
              </c:ext>
            </c:extLst>
          </c:dPt>
          <c:dPt>
            <c:idx val="6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2259-4DA3-95F2-4BA88166C661}"/>
              </c:ext>
            </c:extLst>
          </c:dPt>
          <c:dPt>
            <c:idx val="7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2259-4DA3-95F2-4BA88166C661}"/>
              </c:ext>
            </c:extLst>
          </c:dPt>
          <c:dPt>
            <c:idx val="8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2259-4DA3-95F2-4BA88166C661}"/>
              </c:ext>
            </c:extLst>
          </c:dPt>
          <c:dPt>
            <c:idx val="9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2259-4DA3-95F2-4BA88166C661}"/>
              </c:ext>
            </c:extLst>
          </c:dPt>
          <c:dPt>
            <c:idx val="10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2259-4DA3-95F2-4BA88166C661}"/>
              </c:ext>
            </c:extLst>
          </c:dPt>
          <c:dPt>
            <c:idx val="11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2259-4DA3-95F2-4BA88166C661}"/>
              </c:ext>
            </c:extLst>
          </c:dPt>
          <c:cat>
            <c:strRef>
              <c:f>'Ethanol Balance Sheet'!$BZ$16:$BZ$27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('Ethanol Balance Sheet'!$AE$20:$AE$27,'Ethanol Balance Sheet'!$AF$16:$AF$19)</c:f>
              <c:numCache>
                <c:formatCode>#,##0_);[Red]\(#,##0\)</c:formatCode>
                <c:ptCount val="12"/>
                <c:pt idx="0">
                  <c:v>31064</c:v>
                </c:pt>
                <c:pt idx="1">
                  <c:v>27980</c:v>
                </c:pt>
                <c:pt idx="2">
                  <c:v>30602</c:v>
                </c:pt>
                <c:pt idx="3">
                  <c:v>29162</c:v>
                </c:pt>
                <c:pt idx="4">
                  <c:v>30820</c:v>
                </c:pt>
                <c:pt idx="5">
                  <c:v>31089</c:v>
                </c:pt>
                <c:pt idx="6">
                  <c:v>32014</c:v>
                </c:pt>
                <c:pt idx="7">
                  <c:v>31132</c:v>
                </c:pt>
                <c:pt idx="8">
                  <c:v>30104</c:v>
                </c:pt>
                <c:pt idx="9">
                  <c:v>31858</c:v>
                </c:pt>
                <c:pt idx="10">
                  <c:v>31603</c:v>
                </c:pt>
                <c:pt idx="11">
                  <c:v>33530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259-4DA3-95F2-4BA88166C661}"/>
            </c:ext>
          </c:extLst>
        </c:ser>
        <c:ser>
          <c:idx val="5"/>
          <c:order val="5"/>
          <c:tx>
            <c:v>2024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259-4DA3-95F2-4BA88166C66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259-4DA3-95F2-4BA88166C66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259-4DA3-95F2-4BA88166C66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259-4DA3-95F2-4BA88166C661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259-4DA3-95F2-4BA88166C661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259-4DA3-95F2-4BA88166C661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259-4DA3-95F2-4BA88166C661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259-4DA3-95F2-4BA88166C661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259-4DA3-95F2-4BA88166C661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259-4DA3-95F2-4BA88166C661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259-4DA3-95F2-4BA88166C661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259-4DA3-95F2-4BA88166C661}"/>
              </c:ext>
            </c:extLst>
          </c:dPt>
          <c:cat>
            <c:strRef>
              <c:f>'Ethanol Balance Sheet'!$BZ$16:$BZ$27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('Ethanol Balance Sheet'!$AF$20:$AF$27,'Ethanol Balance Sheet'!$AG$16:$AG$19)</c:f>
              <c:numCache>
                <c:formatCode>#,##0_);[Red]\(#,##0\)</c:formatCode>
                <c:ptCount val="12"/>
                <c:pt idx="0">
                  <c:v>30843</c:v>
                </c:pt>
                <c:pt idx="1">
                  <c:v>31149</c:v>
                </c:pt>
                <c:pt idx="2">
                  <c:v>33129</c:v>
                </c:pt>
                <c:pt idx="3">
                  <c:v>29466</c:v>
                </c:pt>
                <c:pt idx="4">
                  <c:v>31783</c:v>
                </c:pt>
                <c:pt idx="5">
                  <c:v>31304</c:v>
                </c:pt>
                <c:pt idx="6">
                  <c:v>33810</c:v>
                </c:pt>
                <c:pt idx="7">
                  <c:v>33506</c:v>
                </c:pt>
                <c:pt idx="8">
                  <c:v>31220</c:v>
                </c:pt>
                <c:pt idx="9">
                  <c:v>32539</c:v>
                </c:pt>
                <c:pt idx="10">
                  <c:v>33383</c:v>
                </c:pt>
                <c:pt idx="11">
                  <c:v>34184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2259-4DA3-95F2-4BA88166C661}"/>
            </c:ext>
          </c:extLst>
        </c:ser>
        <c:ser>
          <c:idx val="6"/>
          <c:order val="6"/>
          <c:tx>
            <c:v>2025</c:v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2259-4DA3-95F2-4BA88166C661}"/>
              </c:ext>
            </c:extLst>
          </c:dPt>
          <c:dPt>
            <c:idx val="1"/>
            <c:invertIfNegative val="0"/>
            <c:bubble3D val="0"/>
            <c:spPr>
              <a:pattFill prst="pct1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2259-4DA3-95F2-4BA88166C661}"/>
              </c:ext>
            </c:extLst>
          </c:dPt>
          <c:dPt>
            <c:idx val="2"/>
            <c:invertIfNegative val="0"/>
            <c:bubble3D val="0"/>
            <c:spPr>
              <a:pattFill prst="pct1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2259-4DA3-95F2-4BA88166C661}"/>
              </c:ext>
            </c:extLst>
          </c:dPt>
          <c:dPt>
            <c:idx val="3"/>
            <c:invertIfNegative val="0"/>
            <c:bubble3D val="0"/>
            <c:spPr>
              <a:pattFill prst="pct75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2259-4DA3-95F2-4BA88166C661}"/>
              </c:ext>
            </c:extLst>
          </c:dPt>
          <c:dPt>
            <c:idx val="4"/>
            <c:invertIfNegative val="0"/>
            <c:bubble3D val="0"/>
            <c:spPr>
              <a:pattFill prst="pct75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2259-4DA3-95F2-4BA88166C661}"/>
              </c:ext>
            </c:extLst>
          </c:dPt>
          <c:dPt>
            <c:idx val="5"/>
            <c:invertIfNegative val="0"/>
            <c:bubble3D val="0"/>
            <c:spPr>
              <a:pattFill prst="pct75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2259-4DA3-95F2-4BA88166C661}"/>
              </c:ext>
            </c:extLst>
          </c:dPt>
          <c:dPt>
            <c:idx val="6"/>
            <c:invertIfNegative val="0"/>
            <c:bubble3D val="0"/>
            <c:spPr>
              <a:pattFill prst="pct75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2259-4DA3-95F2-4BA88166C661}"/>
              </c:ext>
            </c:extLst>
          </c:dPt>
          <c:dPt>
            <c:idx val="7"/>
            <c:invertIfNegative val="0"/>
            <c:bubble3D val="0"/>
            <c:spPr>
              <a:pattFill prst="pct75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2259-4DA3-95F2-4BA88166C661}"/>
              </c:ext>
            </c:extLst>
          </c:dPt>
          <c:dPt>
            <c:idx val="8"/>
            <c:invertIfNegative val="0"/>
            <c:bubble3D val="0"/>
            <c:spPr>
              <a:pattFill prst="pct75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2259-4DA3-95F2-4BA88166C661}"/>
              </c:ext>
            </c:extLst>
          </c:dPt>
          <c:dPt>
            <c:idx val="9"/>
            <c:invertIfNegative val="0"/>
            <c:bubble3D val="0"/>
            <c:spPr>
              <a:pattFill prst="pct75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2259-4DA3-95F2-4BA88166C661}"/>
              </c:ext>
            </c:extLst>
          </c:dPt>
          <c:dPt>
            <c:idx val="10"/>
            <c:invertIfNegative val="0"/>
            <c:bubble3D val="0"/>
            <c:spPr>
              <a:pattFill prst="pct75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2259-4DA3-95F2-4BA88166C661}"/>
              </c:ext>
            </c:extLst>
          </c:dPt>
          <c:dPt>
            <c:idx val="11"/>
            <c:invertIfNegative val="0"/>
            <c:bubble3D val="0"/>
            <c:spPr>
              <a:pattFill prst="pct75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2259-4DA3-95F2-4BA88166C661}"/>
              </c:ext>
            </c:extLst>
          </c:dPt>
          <c:val>
            <c:numRef>
              <c:f>('Ethanol Balance Sheet'!$AG$20:$AG$27,'Ethanol Balance Sheet'!$AH$16:$AH$19)</c:f>
              <c:numCache>
                <c:formatCode>#,##0_);[Red]\(#,##0\)</c:formatCode>
                <c:ptCount val="12"/>
                <c:pt idx="0">
                  <c:v>33596</c:v>
                </c:pt>
                <c:pt idx="1">
                  <c:v>30354</c:v>
                </c:pt>
                <c:pt idx="2">
                  <c:v>32683</c:v>
                </c:pt>
                <c:pt idx="3">
                  <c:v>30649</c:v>
                </c:pt>
                <c:pt idx="4">
                  <c:v>32098</c:v>
                </c:pt>
                <c:pt idx="5">
                  <c:v>32317</c:v>
                </c:pt>
                <c:pt idx="6">
                  <c:v>37258.678571428572</c:v>
                </c:pt>
                <c:pt idx="7">
                  <c:v>37046.107142857138</c:v>
                </c:pt>
                <c:pt idx="8">
                  <c:v>33564.642857142855</c:v>
                </c:pt>
                <c:pt idx="9">
                  <c:v>37990.5</c:v>
                </c:pt>
                <c:pt idx="10">
                  <c:v>36085.71428571429</c:v>
                </c:pt>
                <c:pt idx="11">
                  <c:v>32647.766831122204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2259-4DA3-95F2-4BA88166C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90839663"/>
        <c:axId val="290838679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v>2019</c:v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'Ethanol Balance Sheet'!$BZ$16:$BZ$27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'Monthly Ethanol Data'!$B$462:$B$473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31601</c:v>
                      </c:pt>
                      <c:pt idx="1">
                        <c:v>28576</c:v>
                      </c:pt>
                      <c:pt idx="2">
                        <c:v>30895</c:v>
                      </c:pt>
                      <c:pt idx="3">
                        <c:v>30951</c:v>
                      </c:pt>
                      <c:pt idx="4">
                        <c:v>32443</c:v>
                      </c:pt>
                      <c:pt idx="5">
                        <c:v>31895</c:v>
                      </c:pt>
                      <c:pt idx="6">
                        <c:v>32541</c:v>
                      </c:pt>
                      <c:pt idx="7">
                        <c:v>31921</c:v>
                      </c:pt>
                      <c:pt idx="8">
                        <c:v>29232</c:v>
                      </c:pt>
                      <c:pt idx="9">
                        <c:v>30941</c:v>
                      </c:pt>
                      <c:pt idx="10">
                        <c:v>31358</c:v>
                      </c:pt>
                      <c:pt idx="11">
                        <c:v>33275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6-2259-4DA3-95F2-4BA88166C661}"/>
                  </c:ext>
                </c:extLst>
              </c15:ser>
            </c15:filteredBarSeries>
            <c15:filteredBarSeries>
              <c15:ser>
                <c:idx val="0"/>
                <c:order val="1"/>
                <c:tx>
                  <c:v>2020</c:v>
                </c:tx>
                <c:spPr>
                  <a:solidFill>
                    <a:schemeClr val="tx1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'Ethanol Balance Sheet'!$BZ$16:$BZ$27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Ethanol Data'!$B$474:$B$485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33346</c:v>
                      </c:pt>
                      <c:pt idx="1">
                        <c:v>30511</c:v>
                      </c:pt>
                      <c:pt idx="2">
                        <c:v>29409</c:v>
                      </c:pt>
                      <c:pt idx="3">
                        <c:v>17003</c:v>
                      </c:pt>
                      <c:pt idx="4">
                        <c:v>21157</c:v>
                      </c:pt>
                      <c:pt idx="5">
                        <c:v>25959</c:v>
                      </c:pt>
                      <c:pt idx="6">
                        <c:v>28708</c:v>
                      </c:pt>
                      <c:pt idx="7">
                        <c:v>28420</c:v>
                      </c:pt>
                      <c:pt idx="8">
                        <c:v>27779</c:v>
                      </c:pt>
                      <c:pt idx="9">
                        <c:v>29614</c:v>
                      </c:pt>
                      <c:pt idx="10">
                        <c:v>29915</c:v>
                      </c:pt>
                      <c:pt idx="11">
                        <c:v>30108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2259-4DA3-95F2-4BA88166C66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2021</c:v>
                </c:tx>
                <c:spPr>
                  <a:solidFill>
                    <a:srgbClr val="8C8C8C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'Ethanol Balance Sheet'!$BZ$16:$BZ$27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Ethanol Data'!$B$486:$B$497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28809</c:v>
                      </c:pt>
                      <c:pt idx="1">
                        <c:v>22895</c:v>
                      </c:pt>
                      <c:pt idx="2">
                        <c:v>29327</c:v>
                      </c:pt>
                      <c:pt idx="3">
                        <c:v>28213</c:v>
                      </c:pt>
                      <c:pt idx="4">
                        <c:v>31224</c:v>
                      </c:pt>
                      <c:pt idx="5">
                        <c:v>30641</c:v>
                      </c:pt>
                      <c:pt idx="6">
                        <c:v>31449</c:v>
                      </c:pt>
                      <c:pt idx="7">
                        <c:v>29087</c:v>
                      </c:pt>
                      <c:pt idx="8">
                        <c:v>28080</c:v>
                      </c:pt>
                      <c:pt idx="9">
                        <c:v>32276</c:v>
                      </c:pt>
                      <c:pt idx="10">
                        <c:v>32383</c:v>
                      </c:pt>
                      <c:pt idx="11">
                        <c:v>33132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2259-4DA3-95F2-4BA88166C661}"/>
                  </c:ext>
                </c:extLst>
              </c15:ser>
            </c15:filteredBarSeries>
          </c:ext>
        </c:extLst>
      </c:barChart>
      <c:catAx>
        <c:axId val="290839663"/>
        <c:scaling>
          <c:orientation val="minMax"/>
        </c:scaling>
        <c:delete val="0"/>
        <c:axPos val="b"/>
        <c:numFmt formatCode="mmm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838679"/>
        <c:crosses val="autoZero"/>
        <c:auto val="1"/>
        <c:lblAlgn val="ctr"/>
        <c:lblOffset val="100"/>
        <c:noMultiLvlLbl val="0"/>
      </c:catAx>
      <c:valAx>
        <c:axId val="290838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(000 barrels)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839663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32455546421272591"/>
          <c:y val="0.14396952593315213"/>
          <c:w val="0.24905690958039919"/>
          <c:h val="4.548886256474578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D68A9F-6AD5-4869-8B1F-6BCD5E419F6F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957FC-34C7-F155-DAE3-E0BA5DBFC1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0.95647</cdr:y>
    </cdr:from>
    <cdr:to>
      <cdr:x>0.28188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2E685A8-3ECD-48DD-9E04-012E05350633}"/>
            </a:ext>
          </a:extLst>
        </cdr:cNvPr>
        <cdr:cNvSpPr txBox="1"/>
      </cdr:nvSpPr>
      <cdr:spPr>
        <a:xfrm xmlns:a="http://schemas.openxmlformats.org/drawingml/2006/main">
          <a:off x="0" y="5141443"/>
          <a:ext cx="2675524" cy="233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EIA, EPA, Fastmarkets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book/Dropbox/RLC%20Documents/Models/Oilseeds/US%20Oilseed%20Balance%20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EMTS%20Forecast%20-%20HOBO.xlsx" TargetMode="External"/><Relationship Id="rId1" Type="http://schemas.openxmlformats.org/officeDocument/2006/relationships/externalLinkPath" Target="/Users/torem/Dropbox/FM%20Files/HOBO/Biofuel%20Model/EMTS%20Forecast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Biodiesel%20and%20RD%20Forward%20Curve%20Forecast%20-%20HOBO%20-%20Apr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book/Dropbox/RLC%20Documents/Models/Oilseeds/World%20Sunflower%20Trad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lautrade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n Oil Balance She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  <sheetName val="EMTS Forecast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7">
          <cell r="N97">
            <v>1207226495</v>
          </cell>
          <cell r="O97">
            <v>1201063005</v>
          </cell>
        </row>
        <row r="98">
          <cell r="N98">
            <v>1066437335</v>
          </cell>
          <cell r="O98">
            <v>1119168301</v>
          </cell>
        </row>
        <row r="99">
          <cell r="N99">
            <v>1261073527</v>
          </cell>
          <cell r="O99">
            <v>1206945599</v>
          </cell>
        </row>
        <row r="100">
          <cell r="N100">
            <v>1127688984</v>
          </cell>
          <cell r="O100">
            <v>1139674777</v>
          </cell>
        </row>
        <row r="101">
          <cell r="N101">
            <v>1222880699</v>
          </cell>
          <cell r="O101">
            <v>1255590416</v>
          </cell>
        </row>
        <row r="102">
          <cell r="N102">
            <v>1286404994</v>
          </cell>
          <cell r="O102">
            <v>1274113142</v>
          </cell>
        </row>
        <row r="103">
          <cell r="N103">
            <v>1205668764</v>
          </cell>
          <cell r="O103">
            <v>1271123264</v>
          </cell>
        </row>
        <row r="104">
          <cell r="N104">
            <v>1266964833</v>
          </cell>
          <cell r="O104">
            <v>1261213218</v>
          </cell>
        </row>
        <row r="105">
          <cell r="N105">
            <v>1117330560</v>
          </cell>
        </row>
        <row r="106">
          <cell r="N106">
            <v>1215627402</v>
          </cell>
        </row>
        <row r="107">
          <cell r="N107">
            <v>1251949282</v>
          </cell>
        </row>
        <row r="108">
          <cell r="M108">
            <v>1292096107</v>
          </cell>
          <cell r="N108">
            <v>1194250955</v>
          </cell>
        </row>
        <row r="113">
          <cell r="G113">
            <v>1192708203</v>
          </cell>
          <cell r="H113">
            <v>1215577025</v>
          </cell>
          <cell r="I113">
            <v>1238395770</v>
          </cell>
          <cell r="J113">
            <v>1255494453</v>
          </cell>
          <cell r="K113">
            <v>1189779457</v>
          </cell>
          <cell r="L113">
            <v>1238303796</v>
          </cell>
          <cell r="M113">
            <v>1072581886</v>
          </cell>
          <cell r="R113">
            <v>1196145200.9871042</v>
          </cell>
          <cell r="S113">
            <v>1214606795.950866</v>
          </cell>
          <cell r="T113">
            <v>1223799902.5219884</v>
          </cell>
          <cell r="U113">
            <v>1234839300.0865631</v>
          </cell>
          <cell r="V113">
            <v>1247809266.1437976</v>
          </cell>
          <cell r="W113">
            <v>1254034520.3520756</v>
          </cell>
          <cell r="X113">
            <v>1265866883.0401263</v>
          </cell>
          <cell r="Y113">
            <v>1276370264.5011213</v>
          </cell>
          <cell r="Z113">
            <v>1287133143.9135785</v>
          </cell>
          <cell r="AA113">
            <v>1297842693.164597</v>
          </cell>
          <cell r="AB113">
            <v>1308098567.8588519</v>
          </cell>
          <cell r="AC113">
            <v>1319168131.7649403</v>
          </cell>
          <cell r="AD113">
            <v>1330085837.1825626</v>
          </cell>
          <cell r="AE113">
            <v>1341087616.3256948</v>
          </cell>
          <cell r="AF113">
            <v>1352139241.7129109</v>
          </cell>
          <cell r="AG113">
            <v>1363261341.1963582</v>
          </cell>
        </row>
        <row r="114">
          <cell r="G114">
            <v>1077497118</v>
          </cell>
          <cell r="H114">
            <v>1162516905</v>
          </cell>
          <cell r="I114">
            <v>1130343456</v>
          </cell>
          <cell r="J114">
            <v>1098731054</v>
          </cell>
          <cell r="K114">
            <v>1132553957</v>
          </cell>
          <cell r="L114">
            <v>1141726932</v>
          </cell>
          <cell r="M114">
            <v>889096390</v>
          </cell>
          <cell r="R114">
            <v>1089379233.3984504</v>
          </cell>
          <cell r="S114">
            <v>1123807353.3195639</v>
          </cell>
          <cell r="T114">
            <v>1142520469.0937212</v>
          </cell>
          <cell r="U114">
            <v>1153463921.8251555</v>
          </cell>
          <cell r="V114">
            <v>1148808411.7354293</v>
          </cell>
          <cell r="W114">
            <v>1159893567.2468188</v>
          </cell>
          <cell r="X114">
            <v>1174316608.5581653</v>
          </cell>
          <cell r="Y114">
            <v>1184666411.5629399</v>
          </cell>
          <cell r="Z114">
            <v>1193293342.2317235</v>
          </cell>
          <cell r="AA114">
            <v>1201448540.7449403</v>
          </cell>
          <cell r="AB114">
            <v>1212238805.3268213</v>
          </cell>
          <cell r="AC114">
            <v>1222956982.7725089</v>
          </cell>
          <cell r="AD114">
            <v>1232919878.5131936</v>
          </cell>
          <cell r="AE114">
            <v>1242802671.2564876</v>
          </cell>
          <cell r="AF114">
            <v>1252943712.2242677</v>
          </cell>
          <cell r="AG114">
            <v>1263492148.0484619</v>
          </cell>
        </row>
        <row r="115">
          <cell r="G115">
            <v>1200977243</v>
          </cell>
          <cell r="H115">
            <v>1221790061</v>
          </cell>
          <cell r="I115">
            <v>1262859797</v>
          </cell>
          <cell r="J115">
            <v>1221028438</v>
          </cell>
          <cell r="K115">
            <v>1184062717</v>
          </cell>
          <cell r="L115">
            <v>1112164188</v>
          </cell>
          <cell r="M115">
            <v>1175862799</v>
          </cell>
          <cell r="R115">
            <v>1219224546.3377512</v>
          </cell>
          <cell r="S115">
            <v>1221464360.0821724</v>
          </cell>
          <cell r="T115">
            <v>1221212131.4094555</v>
          </cell>
          <cell r="U115">
            <v>1230499309.7264981</v>
          </cell>
          <cell r="V115">
            <v>1246249488.5299411</v>
          </cell>
          <cell r="W115">
            <v>1258431670.8241973</v>
          </cell>
          <cell r="X115">
            <v>1266434142.13569</v>
          </cell>
          <cell r="Y115">
            <v>1275648040.7507567</v>
          </cell>
          <cell r="Z115">
            <v>1286793351.5841703</v>
          </cell>
          <cell r="AA115">
            <v>1298322908.6268451</v>
          </cell>
          <cell r="AB115">
            <v>1308996963.4291108</v>
          </cell>
          <cell r="AC115">
            <v>1319349312.1295795</v>
          </cell>
          <cell r="AD115">
            <v>1330187875.0017424</v>
          </cell>
          <cell r="AE115">
            <v>1341358615.7613771</v>
          </cell>
          <cell r="AF115">
            <v>1352535442.6534686</v>
          </cell>
          <cell r="AG115">
            <v>1363640318.2269723</v>
          </cell>
        </row>
        <row r="116">
          <cell r="G116">
            <v>1155991715</v>
          </cell>
          <cell r="H116">
            <v>1155665531</v>
          </cell>
          <cell r="I116">
            <v>1161625887</v>
          </cell>
          <cell r="J116">
            <v>1221248344</v>
          </cell>
          <cell r="K116">
            <v>1237246735</v>
          </cell>
          <cell r="L116">
            <v>628050492</v>
          </cell>
          <cell r="M116">
            <v>1121341351</v>
          </cell>
          <cell r="Q116">
            <v>1069589312.9666238</v>
          </cell>
          <cell r="R116">
            <v>1138410569.0740483</v>
          </cell>
          <cell r="S116">
            <v>1135800989.0869007</v>
          </cell>
          <cell r="T116">
            <v>1144648333.2074459</v>
          </cell>
          <cell r="U116">
            <v>1151863952.4813418</v>
          </cell>
          <cell r="V116">
            <v>1151253673.9335489</v>
          </cell>
          <cell r="W116">
            <v>1173013271.712188</v>
          </cell>
          <cell r="X116">
            <v>1180074219.8487833</v>
          </cell>
          <cell r="Y116">
            <v>1189145648.0695484</v>
          </cell>
          <cell r="Z116">
            <v>1198254545.0870385</v>
          </cell>
          <cell r="AA116">
            <v>1207754686.2569602</v>
          </cell>
          <cell r="AB116">
            <v>1219336394.7546587</v>
          </cell>
          <cell r="AC116">
            <v>1228820034.43013</v>
          </cell>
          <cell r="AD116">
            <v>1238804506.8371892</v>
          </cell>
          <cell r="AE116">
            <v>1248975345.0337322</v>
          </cell>
          <cell r="AF116">
            <v>1259364681.5076294</v>
          </cell>
          <cell r="AG116">
            <v>1269936617.2345469</v>
          </cell>
        </row>
        <row r="117">
          <cell r="G117">
            <v>1199765889</v>
          </cell>
          <cell r="H117">
            <v>1234936140</v>
          </cell>
          <cell r="I117">
            <v>1254112020</v>
          </cell>
          <cell r="J117">
            <v>1284250164</v>
          </cell>
          <cell r="K117">
            <v>1276709047</v>
          </cell>
          <cell r="L117">
            <v>835521630</v>
          </cell>
          <cell r="M117">
            <v>1249146048</v>
          </cell>
          <cell r="Q117">
            <v>1197917175.2483857</v>
          </cell>
          <cell r="R117">
            <v>1248333090.0696595</v>
          </cell>
          <cell r="S117">
            <v>1241551074.5257688</v>
          </cell>
          <cell r="T117">
            <v>1253218815.7164443</v>
          </cell>
          <cell r="U117">
            <v>1259553288.3191586</v>
          </cell>
          <cell r="V117">
            <v>1265609330.4206216</v>
          </cell>
          <cell r="W117">
            <v>1285003080.7448928</v>
          </cell>
          <cell r="X117">
            <v>1292484715.291451</v>
          </cell>
          <cell r="Y117">
            <v>1302921078.5522656</v>
          </cell>
          <cell r="Z117">
            <v>1313095734.1938035</v>
          </cell>
          <cell r="AA117">
            <v>1324061029.5435874</v>
          </cell>
          <cell r="AB117">
            <v>1336042563.8996403</v>
          </cell>
          <cell r="AC117">
            <v>1346491848.2568879</v>
          </cell>
          <cell r="AD117">
            <v>1357554077.3764915</v>
          </cell>
          <cell r="AE117">
            <v>1368743726.7863016</v>
          </cell>
          <cell r="AF117">
            <v>1380142328.6610892</v>
          </cell>
          <cell r="AG117">
            <v>1391630111.3120821</v>
          </cell>
        </row>
        <row r="118">
          <cell r="G118">
            <v>1238305509</v>
          </cell>
          <cell r="H118">
            <v>1269147590</v>
          </cell>
          <cell r="I118">
            <v>1240909168</v>
          </cell>
          <cell r="J118">
            <v>1247223444</v>
          </cell>
          <cell r="K118">
            <v>1233405028</v>
          </cell>
          <cell r="L118">
            <v>1065260312</v>
          </cell>
          <cell r="M118">
            <v>1253638702</v>
          </cell>
          <cell r="Q118">
            <v>1251160858.3395586</v>
          </cell>
          <cell r="R118">
            <v>1264949124.8907583</v>
          </cell>
          <cell r="S118">
            <v>1260512618.4610288</v>
          </cell>
          <cell r="T118">
            <v>1263291226.054121</v>
          </cell>
          <cell r="U118">
            <v>1267948043.0083778</v>
          </cell>
          <cell r="V118">
            <v>1287508149.1875315</v>
          </cell>
          <cell r="W118">
            <v>1300571615.6605906</v>
          </cell>
          <cell r="X118">
            <v>1307838086.4442976</v>
          </cell>
          <cell r="Y118">
            <v>1317534735.7844758</v>
          </cell>
          <cell r="Z118">
            <v>1328640157.6861911</v>
          </cell>
          <cell r="AA118">
            <v>1341070948.2033741</v>
          </cell>
          <cell r="AB118">
            <v>1352050294.8970082</v>
          </cell>
          <cell r="AC118">
            <v>1362589450.8851061</v>
          </cell>
          <cell r="AD118">
            <v>1373804135.8609905</v>
          </cell>
          <cell r="AE118">
            <v>1385329112.9757893</v>
          </cell>
          <cell r="AF118">
            <v>1396940994.7926795</v>
          </cell>
          <cell r="AG118">
            <v>1408385376.9856632</v>
          </cell>
        </row>
        <row r="119">
          <cell r="G119">
            <v>1226889119</v>
          </cell>
          <cell r="H119">
            <v>1228942159</v>
          </cell>
          <cell r="I119">
            <v>1251971461</v>
          </cell>
          <cell r="J119">
            <v>1347918383</v>
          </cell>
          <cell r="K119">
            <v>1312351700</v>
          </cell>
          <cell r="L119">
            <v>1169002095</v>
          </cell>
          <cell r="M119">
            <v>1272912460</v>
          </cell>
          <cell r="Q119">
            <v>1283619502.2302973</v>
          </cell>
          <cell r="R119">
            <v>1282406776.6758394</v>
          </cell>
          <cell r="S119">
            <v>1277513148.0246246</v>
          </cell>
          <cell r="T119">
            <v>1300159760.4197965</v>
          </cell>
          <cell r="U119">
            <v>1313137721.0351155</v>
          </cell>
          <cell r="V119">
            <v>1317915691.2210374</v>
          </cell>
          <cell r="W119">
            <v>1330691224.8446822</v>
          </cell>
          <cell r="X119">
            <v>1340552509.1005888</v>
          </cell>
          <cell r="Y119">
            <v>1353470306.2484343</v>
          </cell>
          <cell r="Z119">
            <v>1364384092.6138294</v>
          </cell>
          <cell r="AA119">
            <v>1374878305.6925101</v>
          </cell>
          <cell r="AB119">
            <v>1386554570.2998781</v>
          </cell>
          <cell r="AC119">
            <v>1397992192.510375</v>
          </cell>
          <cell r="AD119">
            <v>1409757724.5158777</v>
          </cell>
          <cell r="AE119">
            <v>1421286147.0551031</v>
          </cell>
          <cell r="AF119">
            <v>1432941490.2448666</v>
          </cell>
          <cell r="AG119">
            <v>1444835222.1960657</v>
          </cell>
        </row>
        <row r="120">
          <cell r="G120">
            <v>1207198849</v>
          </cell>
          <cell r="H120">
            <v>1302210348</v>
          </cell>
          <cell r="I120">
            <v>1296498464</v>
          </cell>
          <cell r="J120">
            <v>1339874231</v>
          </cell>
          <cell r="K120">
            <v>1243671089</v>
          </cell>
          <cell r="L120">
            <v>1124709247</v>
          </cell>
          <cell r="M120">
            <v>1211315327</v>
          </cell>
          <cell r="Q120">
            <v>1270790316.7773919</v>
          </cell>
          <cell r="R120">
            <v>1276170474.7554383</v>
          </cell>
          <cell r="S120">
            <v>1282422871.645597</v>
          </cell>
          <cell r="T120">
            <v>1293717351.116585</v>
          </cell>
          <cell r="U120">
            <v>1307381259.1002018</v>
          </cell>
          <cell r="V120">
            <v>1312536402.95913</v>
          </cell>
          <cell r="W120">
            <v>1326815727.5593314</v>
          </cell>
          <cell r="X120">
            <v>1337161073.8604503</v>
          </cell>
          <cell r="Y120">
            <v>1348377187.9156466</v>
          </cell>
          <cell r="Z120">
            <v>1359567623.6743991</v>
          </cell>
          <cell r="AA120">
            <v>1370254565.2348077</v>
          </cell>
          <cell r="AB120">
            <v>1382085712.2596855</v>
          </cell>
          <cell r="AC120">
            <v>1393401746.3523846</v>
          </cell>
          <cell r="AD120">
            <v>1404921525.0768213</v>
          </cell>
          <cell r="AE120">
            <v>1416502645.8335118</v>
          </cell>
          <cell r="AF120">
            <v>1428164776.2809083</v>
          </cell>
          <cell r="AG120">
            <v>1440027178.7456164</v>
          </cell>
        </row>
        <row r="121">
          <cell r="F121">
            <v>1158207576</v>
          </cell>
          <cell r="G121">
            <v>1179680490</v>
          </cell>
          <cell r="H121">
            <v>1210481326</v>
          </cell>
          <cell r="I121">
            <v>1209078725</v>
          </cell>
          <cell r="J121">
            <v>1205946718</v>
          </cell>
          <cell r="K121">
            <v>1186086691</v>
          </cell>
          <cell r="L121">
            <v>1116041079</v>
          </cell>
          <cell r="M121">
            <v>1149352972</v>
          </cell>
          <cell r="Q121">
            <v>1186312942.7151613</v>
          </cell>
          <cell r="R121">
            <v>1177996359.7696397</v>
          </cell>
          <cell r="S121">
            <v>1177500253.332772</v>
          </cell>
          <cell r="T121">
            <v>1197150283.0346429</v>
          </cell>
          <cell r="U121">
            <v>1208286190.1014123</v>
          </cell>
          <cell r="V121">
            <v>1213902251.5700533</v>
          </cell>
          <cell r="W121">
            <v>1224849473.0646038</v>
          </cell>
          <cell r="X121">
            <v>1234420268.4607348</v>
          </cell>
          <cell r="Y121">
            <v>1246084022.7679493</v>
          </cell>
          <cell r="Z121">
            <v>1256101745.1955736</v>
          </cell>
          <cell r="AA121">
            <v>1265893531.5075929</v>
          </cell>
          <cell r="AB121">
            <v>1276550761.5459652</v>
          </cell>
          <cell r="AC121">
            <v>1287136298.6622467</v>
          </cell>
          <cell r="AD121">
            <v>1297934245.3285139</v>
          </cell>
          <cell r="AE121">
            <v>1308553875.0984704</v>
          </cell>
          <cell r="AF121">
            <v>1319297742.5058067</v>
          </cell>
          <cell r="AG121">
            <v>1330237117.0421755</v>
          </cell>
        </row>
        <row r="122">
          <cell r="F122">
            <v>1161214044</v>
          </cell>
          <cell r="G122">
            <v>1218627935</v>
          </cell>
          <cell r="H122">
            <v>1234413922</v>
          </cell>
          <cell r="I122">
            <v>1274775786</v>
          </cell>
          <cell r="J122">
            <v>1268756030</v>
          </cell>
          <cell r="K122">
            <v>1237882981</v>
          </cell>
          <cell r="L122">
            <v>1138032677</v>
          </cell>
          <cell r="M122">
            <v>1183784629</v>
          </cell>
          <cell r="Q122">
            <v>1253450458.1649749</v>
          </cell>
          <cell r="R122">
            <v>1252971396.8588669</v>
          </cell>
          <cell r="S122">
            <v>1260216314.1408768</v>
          </cell>
          <cell r="T122">
            <v>1277235758.3411937</v>
          </cell>
          <cell r="U122">
            <v>1281233835.5963233</v>
          </cell>
          <cell r="V122">
            <v>1291028236.8802426</v>
          </cell>
          <cell r="W122">
            <v>1304359299.0513141</v>
          </cell>
          <cell r="X122">
            <v>1314857506.6567433</v>
          </cell>
          <cell r="Y122">
            <v>1326053816.6257823</v>
          </cell>
          <cell r="Z122">
            <v>1336046969.1014721</v>
          </cell>
          <cell r="AA122">
            <v>1347272561.8197908</v>
          </cell>
          <cell r="AB122">
            <v>1358801594.7729666</v>
          </cell>
          <cell r="AC122">
            <v>1369948192.6164136</v>
          </cell>
          <cell r="AD122">
            <v>1381232387.500355</v>
          </cell>
          <cell r="AE122">
            <v>1392533708.3344851</v>
          </cell>
          <cell r="AF122">
            <v>1404104094.653182</v>
          </cell>
          <cell r="AG122">
            <v>1415745524.5888703</v>
          </cell>
        </row>
        <row r="123">
          <cell r="F123">
            <v>1126806003</v>
          </cell>
          <cell r="G123">
            <v>1197558646</v>
          </cell>
          <cell r="H123">
            <v>1205738078</v>
          </cell>
          <cell r="I123">
            <v>1272892414</v>
          </cell>
          <cell r="J123">
            <v>1231729294</v>
          </cell>
          <cell r="K123">
            <v>1194230202</v>
          </cell>
          <cell r="L123">
            <v>1136429603</v>
          </cell>
          <cell r="M123">
            <v>1240293203</v>
          </cell>
          <cell r="Q123">
            <v>1243799374.9386206</v>
          </cell>
          <cell r="R123">
            <v>1241879198.7950728</v>
          </cell>
          <cell r="S123">
            <v>1235612961.0826952</v>
          </cell>
          <cell r="T123">
            <v>1240168903.6371102</v>
          </cell>
          <cell r="U123">
            <v>1249031474.5023623</v>
          </cell>
          <cell r="V123">
            <v>1267633805.5954182</v>
          </cell>
          <cell r="W123">
            <v>1278045486.6372192</v>
          </cell>
          <cell r="X123">
            <v>1285424056.7831194</v>
          </cell>
          <cell r="Y123">
            <v>1295630330.0665627</v>
          </cell>
          <cell r="Z123">
            <v>1306985650.5564327</v>
          </cell>
          <cell r="AA123">
            <v>1318855359.9732668</v>
          </cell>
          <cell r="AB123">
            <v>1329354781.5568266</v>
          </cell>
          <cell r="AC123">
            <v>1339859440.6785159</v>
          </cell>
          <cell r="AD123">
            <v>1351009498.1812627</v>
          </cell>
          <cell r="AE123">
            <v>1362352147.2186439</v>
          </cell>
          <cell r="AF123">
            <v>1373693085.8835247</v>
          </cell>
          <cell r="AG123">
            <v>1384925993.3949015</v>
          </cell>
        </row>
        <row r="124">
          <cell r="F124">
            <v>1272005545</v>
          </cell>
          <cell r="G124">
            <v>1291110379</v>
          </cell>
          <cell r="H124">
            <v>1271455225</v>
          </cell>
          <cell r="I124">
            <v>1258409330</v>
          </cell>
          <cell r="J124">
            <v>1232304025</v>
          </cell>
          <cell r="K124">
            <v>1288930778</v>
          </cell>
          <cell r="L124">
            <v>1139952619</v>
          </cell>
          <cell r="Q124">
            <v>1248338089.7071323</v>
          </cell>
          <cell r="R124">
            <v>1267427919.0078831</v>
          </cell>
          <cell r="S124">
            <v>1256006044.5510406</v>
          </cell>
          <cell r="T124">
            <v>1276479941.4601822</v>
          </cell>
          <cell r="U124">
            <v>1287958490.7001324</v>
          </cell>
          <cell r="V124">
            <v>1293294431.9497242</v>
          </cell>
          <cell r="W124">
            <v>1308147988.1041279</v>
          </cell>
          <cell r="X124">
            <v>1316459230.9116707</v>
          </cell>
          <cell r="Y124">
            <v>1328846964.3347816</v>
          </cell>
          <cell r="Z124">
            <v>1339567598.9304276</v>
          </cell>
          <cell r="AA124">
            <v>1350136366.9379692</v>
          </cell>
          <cell r="AB124">
            <v>1361787903.4284554</v>
          </cell>
          <cell r="AC124">
            <v>1372769992.4968739</v>
          </cell>
          <cell r="AD124">
            <v>1384304269.9235592</v>
          </cell>
          <cell r="AE124">
            <v>1395662706.3583336</v>
          </cell>
          <cell r="AF124">
            <v>1407152794.8085136</v>
          </cell>
          <cell r="AG124">
            <v>1418832107.617403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Forecasts"/>
      <sheetName val="AnnualForecast"/>
      <sheetName val="Sheet2"/>
      <sheetName val="Chart1"/>
      <sheetName val="Chart2"/>
      <sheetName val="Historical Comp"/>
      <sheetName val="Biodiesel and RD Forward Curve "/>
    </sheetNames>
    <sheetDataSet>
      <sheetData sheetId="0"/>
      <sheetData sheetId="1">
        <row r="4">
          <cell r="I4">
            <v>0.15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raine Sunflower Exports"/>
      <sheetName val="EU Sunflower Exports"/>
      <sheetName val="Ukraine Sun Meal Exports"/>
      <sheetName val="Ukraine Sun Oil Expor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aysia Palm Oil Imports"/>
      <sheetName val="Malaysia Palm Oil Exports"/>
      <sheetName val="Indonesia Palm Oil Imports"/>
      <sheetName val="Indonesia Palm Oil Exports"/>
      <sheetName val="Indonesia Palm Kernel Imports"/>
      <sheetName val="Indonesia Palm Kernel Exports"/>
      <sheetName val="Indonesia PKC Imports"/>
      <sheetName val="Indonesia PKC Exports"/>
      <sheetName val="Indonesia PKO Imports"/>
      <sheetName val="Indonesia PKO Exports"/>
      <sheetName val="Philippines Copra Imports"/>
      <sheetName val="Philippines Copra Exports"/>
      <sheetName val="Philippines Copra Meal Imports"/>
      <sheetName val="Philippines Copra Meal Exports"/>
      <sheetName val="Philippines Coconut Oil Imports"/>
      <sheetName val="Philippines Coconut Oil Exports"/>
      <sheetName val="Indonesia Copra Imports"/>
      <sheetName val="Indonesia Copra Exports"/>
      <sheetName val="Indonesia Copra Meal Imports"/>
      <sheetName val="Indonesia Copra Meal Exports"/>
      <sheetName val="Indonesia Coconut Oil Imports"/>
      <sheetName val="Indonesia Coconut Oil Exports"/>
      <sheetName val="Template"/>
      <sheetName val="wldlautrade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90">
          <cell r="DT290">
            <v>0</v>
          </cell>
          <cell r="DU290">
            <v>0</v>
          </cell>
          <cell r="DV290">
            <v>0</v>
          </cell>
        </row>
      </sheetData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dnav/pet/xls/PET_MOVE_EXP_A_EPOOXE_EEX_MBBL_M.xls" TargetMode="External"/><Relationship Id="rId3" Type="http://schemas.openxmlformats.org/officeDocument/2006/relationships/hyperlink" Target="http://www.eia.gov/dnav/pet/hist_xls/MFESTUS1m.xls" TargetMode="External"/><Relationship Id="rId7" Type="http://schemas.openxmlformats.org/officeDocument/2006/relationships/hyperlink" Target="http://www.eia.gov/dnav/pet/hist_xls/M_EPOOXE_YOP_NUS_1m.xls" TargetMode="External"/><Relationship Id="rId2" Type="http://schemas.openxmlformats.org/officeDocument/2006/relationships/hyperlink" Target="http://www.eia.gov/dnav/pet/hist_xls/MGFUPUS1m.xls" TargetMode="External"/><Relationship Id="rId1" Type="http://schemas.openxmlformats.org/officeDocument/2006/relationships/hyperlink" Target="http://www.eia.doe.gov/oil_gas/petroleum/data_publications/petroleum_supply_monthly/psm.html" TargetMode="External"/><Relationship Id="rId6" Type="http://schemas.openxmlformats.org/officeDocument/2006/relationships/hyperlink" Target="http://www.eia.gov/dnav/pet/hist_xls/MFEIMUS1m.xls" TargetMode="External"/><Relationship Id="rId5" Type="http://schemas.openxmlformats.org/officeDocument/2006/relationships/hyperlink" Target="http://www.eia.gov/dnav/pet/hist_xls/M_EPOOXE_VUA_NUS_MBBLm.xls" TargetMode="External"/><Relationship Id="rId4" Type="http://schemas.openxmlformats.org/officeDocument/2006/relationships/hyperlink" Target="http://www.eia.gov/dnav/pet/hist_xls/MFERIUS1m.xls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dnav/pet/hist_xls/W_EPOOXE_YOP_NUS_MBBLDw.xls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dnav/pet/hist_xls/WG5TP_NUS_2w.xls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https://www.eia.gov/dnav/pet/hist_xls/WGFRPUS2w.xls" TargetMode="External"/><Relationship Id="rId7" Type="http://schemas.openxmlformats.org/officeDocument/2006/relationships/hyperlink" Target="https://www.eia.gov/dnav/pet/hist_xls/WG4TP_NUS_2w.xls" TargetMode="External"/><Relationship Id="rId12" Type="http://schemas.openxmlformats.org/officeDocument/2006/relationships/hyperlink" Target="https://www.eia.gov/dnav/pet/hist_xls/W_EPOOXE_YIR_NUS_MBBLDw.xls" TargetMode="External"/><Relationship Id="rId2" Type="http://schemas.openxmlformats.org/officeDocument/2006/relationships/hyperlink" Target="https://www.eia.gov/dnav/pet/hist_xls/W_EPOOXE_SAE_NUS_MBBLw.xls" TargetMode="External"/><Relationship Id="rId1" Type="http://schemas.openxmlformats.org/officeDocument/2006/relationships/hyperlink" Target="https://www.eia.gov/dnav/pet/hist_xls/W_EPOOXE_YOP_NUS_MBBLDw.xls" TargetMode="External"/><Relationship Id="rId6" Type="http://schemas.openxmlformats.org/officeDocument/2006/relationships/hyperlink" Target="https://www.eia.gov/dnav/pet/hist_xls/WG1TP_NUS_2w.xls" TargetMode="External"/><Relationship Id="rId11" Type="http://schemas.openxmlformats.org/officeDocument/2006/relationships/hyperlink" Target="https://www.eia.gov/dnav/pet/hist_xls/W_EPOOXE_IM0_NUS-Z00_MBBLDw.xls" TargetMode="External"/><Relationship Id="rId5" Type="http://schemas.openxmlformats.org/officeDocument/2006/relationships/hyperlink" Target="https://www.eia.gov/dnav/pet/hist_xls/WGRRPUS2w.xls" TargetMode="External"/><Relationship Id="rId10" Type="http://schemas.openxmlformats.org/officeDocument/2006/relationships/hyperlink" Target="https://www.eia.gov/dnav/pet/hist_xls/WGFUPUS2w.xls" TargetMode="External"/><Relationship Id="rId4" Type="http://schemas.openxmlformats.org/officeDocument/2006/relationships/hyperlink" Target="https://www.eia.gov/dnav/pet/hist_xls/W_EPM0F_YPR_NUS_MBBLDw.xls" TargetMode="External"/><Relationship Id="rId9" Type="http://schemas.openxmlformats.org/officeDocument/2006/relationships/hyperlink" Target="https://www.eia.gov/dnav/pet/hist_xls/W_EPM0CAL55_YPT_NUS_MBBLDw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9194-0560-42C5-ADAE-29C5C7CB0047}">
  <dimension ref="A1:X113"/>
  <sheetViews>
    <sheetView topLeftCell="A38" zoomScaleNormal="100" workbookViewId="0">
      <selection activeCell="J39" sqref="J39"/>
    </sheetView>
  </sheetViews>
  <sheetFormatPr defaultColWidth="8.85546875" defaultRowHeight="15"/>
  <cols>
    <col min="1" max="1" width="34" style="24" customWidth="1"/>
    <col min="2" max="13" width="10" customWidth="1"/>
    <col min="14" max="19" width="10.7109375" customWidth="1"/>
    <col min="20" max="20" width="12.140625" customWidth="1"/>
    <col min="21" max="21" width="10.7109375" customWidth="1"/>
    <col min="22" max="23" width="11.42578125" customWidth="1"/>
  </cols>
  <sheetData>
    <row r="1" spans="1:24" ht="21" thickTop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7.25" thickBot="1">
      <c r="A2" s="4" t="s">
        <v>1</v>
      </c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5">
        <v>2024</v>
      </c>
      <c r="L2" s="5">
        <v>2025</v>
      </c>
      <c r="M2" s="5">
        <v>2026</v>
      </c>
      <c r="N2" s="3"/>
      <c r="X2" s="3"/>
    </row>
    <row r="3" spans="1:24" ht="15.75">
      <c r="A3" s="6" t="s">
        <v>2</v>
      </c>
      <c r="B3" s="7">
        <f t="shared" ref="B3:M3" si="0">B32</f>
        <v>5737.0069999999996</v>
      </c>
      <c r="C3" s="7">
        <f t="shared" si="0"/>
        <v>5808.8469999999998</v>
      </c>
      <c r="D3" s="7">
        <f t="shared" si="0"/>
        <v>6024.1309999999994</v>
      </c>
      <c r="E3" s="7">
        <f t="shared" si="0"/>
        <v>6059.1009999999997</v>
      </c>
      <c r="F3" s="7">
        <f t="shared" si="0"/>
        <v>5832.3439999999991</v>
      </c>
      <c r="G3" s="7">
        <f t="shared" si="0"/>
        <v>5235.9190000000008</v>
      </c>
      <c r="H3" s="7">
        <f t="shared" si="0"/>
        <v>5757.4079999999994</v>
      </c>
      <c r="I3" s="7">
        <f t="shared" si="0"/>
        <v>5707.5480000000007</v>
      </c>
      <c r="J3" s="8">
        <f t="shared" si="0"/>
        <v>5799.3940000000002</v>
      </c>
      <c r="K3" s="8">
        <f t="shared" si="0"/>
        <v>6002.7239999999993</v>
      </c>
      <c r="L3" s="8">
        <f t="shared" si="0"/>
        <v>5819.1252624032222</v>
      </c>
      <c r="M3" s="8">
        <f t="shared" si="0"/>
        <v>5809.6321645110656</v>
      </c>
      <c r="N3" s="3"/>
    </row>
    <row r="4" spans="1:24">
      <c r="A4" s="9" t="s">
        <v>3</v>
      </c>
      <c r="B4" s="10">
        <f t="shared" ref="B4:M4" si="1">B12</f>
        <v>4669.6710000000003</v>
      </c>
      <c r="C4" s="10">
        <f t="shared" si="1"/>
        <v>4734.7619999999997</v>
      </c>
      <c r="D4" s="10">
        <f t="shared" si="1"/>
        <v>4939.4390000000003</v>
      </c>
      <c r="E4" s="10">
        <f t="shared" si="1"/>
        <v>5051.1819999999989</v>
      </c>
      <c r="F4" s="10">
        <f t="shared" si="1"/>
        <v>4826.6639999999998</v>
      </c>
      <c r="G4" s="10">
        <f t="shared" si="1"/>
        <v>4267.6140000000005</v>
      </c>
      <c r="H4" s="10">
        <f t="shared" si="1"/>
        <v>4818.2309999999998</v>
      </c>
      <c r="I4" s="10">
        <f t="shared" si="1"/>
        <v>4826.8140000000003</v>
      </c>
      <c r="J4" s="11">
        <f>J12</f>
        <v>4872.8790000000008</v>
      </c>
      <c r="K4" s="11">
        <f t="shared" si="1"/>
        <v>5069.8920000000016</v>
      </c>
      <c r="L4" s="11">
        <f t="shared" si="1"/>
        <v>4941.3068185814391</v>
      </c>
      <c r="M4" s="11">
        <f t="shared" si="1"/>
        <v>4959.9634263660737</v>
      </c>
      <c r="N4" s="3"/>
    </row>
    <row r="5" spans="1:24">
      <c r="A5" s="12" t="s">
        <v>4</v>
      </c>
      <c r="B5" s="13">
        <f>B80</f>
        <v>1067.336</v>
      </c>
      <c r="C5" s="13">
        <f t="shared" ref="C5:M5" si="2">C80</f>
        <v>1074.085</v>
      </c>
      <c r="D5" s="13">
        <f t="shared" si="2"/>
        <v>1084.692</v>
      </c>
      <c r="E5" s="13">
        <f t="shared" si="2"/>
        <v>1007.919</v>
      </c>
      <c r="F5" s="13">
        <f t="shared" si="2"/>
        <v>1005.6800000000001</v>
      </c>
      <c r="G5" s="13">
        <f t="shared" si="2"/>
        <v>968.30500000000006</v>
      </c>
      <c r="H5" s="13">
        <f t="shared" si="2"/>
        <v>939.17700000000002</v>
      </c>
      <c r="I5" s="13">
        <f t="shared" si="2"/>
        <v>880.73399999999992</v>
      </c>
      <c r="J5" s="14">
        <f t="shared" si="2"/>
        <v>926.51499999999999</v>
      </c>
      <c r="K5" s="14">
        <f t="shared" si="2"/>
        <v>932.83199999999999</v>
      </c>
      <c r="L5" s="14">
        <f t="shared" si="2"/>
        <v>877.8184438217836</v>
      </c>
      <c r="M5" s="14">
        <f t="shared" si="2"/>
        <v>849.66873814499218</v>
      </c>
      <c r="N5" s="3"/>
    </row>
    <row r="6" spans="1:24">
      <c r="A6" s="12" t="s">
        <v>5</v>
      </c>
      <c r="B6" s="13">
        <f>B96</f>
        <v>553.03099999999995</v>
      </c>
      <c r="C6" s="13">
        <f t="shared" ref="C6:M6" si="3">C96</f>
        <v>556.7829999999999</v>
      </c>
      <c r="D6" s="13">
        <f t="shared" si="3"/>
        <v>556.279</v>
      </c>
      <c r="E6" s="13">
        <f t="shared" si="3"/>
        <v>495.89699999999999</v>
      </c>
      <c r="F6" s="13">
        <f t="shared" si="3"/>
        <v>505.101</v>
      </c>
      <c r="G6" s="13">
        <f t="shared" si="3"/>
        <v>497.67</v>
      </c>
      <c r="H6" s="13">
        <f t="shared" si="3"/>
        <v>444.37299999999993</v>
      </c>
      <c r="I6" s="13">
        <f t="shared" si="3"/>
        <v>379.61099999999993</v>
      </c>
      <c r="J6" s="14">
        <f t="shared" si="3"/>
        <v>426.51500000000004</v>
      </c>
      <c r="K6" s="14">
        <f t="shared" si="3"/>
        <v>432.83200000000005</v>
      </c>
      <c r="L6" s="14">
        <f t="shared" si="3"/>
        <v>377.81844382178372</v>
      </c>
      <c r="M6" s="14">
        <f t="shared" si="3"/>
        <v>349.66873814499223</v>
      </c>
      <c r="N6" s="3"/>
    </row>
    <row r="7" spans="1:24" ht="15.75" thickBot="1">
      <c r="A7" s="12" t="s">
        <v>6</v>
      </c>
      <c r="B7" s="13">
        <f t="shared" ref="B7:M7" si="4">B5-B6</f>
        <v>514.30500000000006</v>
      </c>
      <c r="C7" s="13">
        <f t="shared" si="4"/>
        <v>517.30200000000013</v>
      </c>
      <c r="D7" s="13">
        <f t="shared" si="4"/>
        <v>528.41300000000001</v>
      </c>
      <c r="E7" s="13">
        <f t="shared" si="4"/>
        <v>512.02199999999993</v>
      </c>
      <c r="F7" s="13">
        <f t="shared" si="4"/>
        <v>500.57900000000006</v>
      </c>
      <c r="G7" s="13">
        <f t="shared" si="4"/>
        <v>470.63500000000005</v>
      </c>
      <c r="H7" s="13">
        <f t="shared" si="4"/>
        <v>494.80400000000009</v>
      </c>
      <c r="I7" s="13">
        <f t="shared" si="4"/>
        <v>501.12299999999999</v>
      </c>
      <c r="J7" s="14">
        <f t="shared" si="4"/>
        <v>499.99999999999994</v>
      </c>
      <c r="K7" s="14">
        <f t="shared" si="4"/>
        <v>499.99999999999994</v>
      </c>
      <c r="L7" s="14">
        <f t="shared" si="4"/>
        <v>499.99999999999989</v>
      </c>
      <c r="M7" s="14">
        <f t="shared" si="4"/>
        <v>499.99999999999994</v>
      </c>
      <c r="N7" s="3"/>
    </row>
    <row r="8" spans="1:24">
      <c r="A8" s="15" t="s">
        <v>7</v>
      </c>
      <c r="B8" s="16"/>
      <c r="C8" s="16"/>
      <c r="D8" s="16"/>
      <c r="E8" s="17"/>
      <c r="F8" s="17"/>
      <c r="G8" s="17"/>
      <c r="H8" s="17"/>
      <c r="I8" s="17"/>
      <c r="J8" s="17"/>
      <c r="K8" s="17"/>
      <c r="L8" s="17"/>
      <c r="M8" s="17"/>
      <c r="N8" s="3"/>
      <c r="X8" s="3"/>
    </row>
    <row r="9" spans="1:24" ht="15.75" thickBot="1">
      <c r="A9" s="18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X9" s="3"/>
    </row>
    <row r="10" spans="1:24" ht="17.25" thickBot="1">
      <c r="A10" s="19"/>
      <c r="B10" s="20">
        <v>2015</v>
      </c>
      <c r="C10" s="20">
        <v>2016</v>
      </c>
      <c r="D10" s="20">
        <v>2017</v>
      </c>
      <c r="E10" s="20">
        <v>2018</v>
      </c>
      <c r="F10" s="20">
        <v>2019</v>
      </c>
      <c r="G10" s="20">
        <v>2020</v>
      </c>
      <c r="H10" s="20">
        <v>2021</v>
      </c>
      <c r="I10" s="20">
        <v>2022</v>
      </c>
      <c r="J10" s="20">
        <v>2023</v>
      </c>
      <c r="K10" s="20">
        <v>2024</v>
      </c>
      <c r="L10" s="20">
        <v>2025</v>
      </c>
      <c r="M10" s="20">
        <v>2026</v>
      </c>
      <c r="N10" s="3"/>
      <c r="X10" s="3"/>
    </row>
    <row r="11" spans="1:24">
      <c r="A11" s="6" t="s">
        <v>8</v>
      </c>
      <c r="B11" s="13">
        <f t="shared" ref="B11:M11" si="5">B48</f>
        <v>5222.7020000000002</v>
      </c>
      <c r="C11" s="13">
        <f t="shared" si="5"/>
        <v>5291.545000000001</v>
      </c>
      <c r="D11" s="13">
        <f t="shared" si="5"/>
        <v>5495.7179999999998</v>
      </c>
      <c r="E11" s="13">
        <f t="shared" si="5"/>
        <v>5547.0789999999997</v>
      </c>
      <c r="F11" s="13">
        <f t="shared" si="5"/>
        <v>5331.7649999999994</v>
      </c>
      <c r="G11" s="13">
        <f t="shared" si="5"/>
        <v>4765.2839999999987</v>
      </c>
      <c r="H11" s="13">
        <f t="shared" si="5"/>
        <v>5262.6040000000003</v>
      </c>
      <c r="I11" s="13">
        <f t="shared" si="5"/>
        <v>5206.4250000000011</v>
      </c>
      <c r="J11" s="14">
        <f t="shared" si="5"/>
        <v>5299.3939999999993</v>
      </c>
      <c r="K11" s="14">
        <f t="shared" si="5"/>
        <v>5502.7240000000002</v>
      </c>
      <c r="L11" s="14">
        <f t="shared" si="5"/>
        <v>5319.1252624032222</v>
      </c>
      <c r="M11" s="14">
        <f t="shared" si="5"/>
        <v>5309.6321645110656</v>
      </c>
      <c r="N11" s="3"/>
      <c r="O11" s="291"/>
      <c r="P11" s="291"/>
      <c r="X11" s="3"/>
    </row>
    <row r="12" spans="1:24">
      <c r="A12" s="6" t="s">
        <v>3</v>
      </c>
      <c r="B12" s="13">
        <f t="shared" ref="B12:M12" si="6">B64</f>
        <v>4669.6710000000003</v>
      </c>
      <c r="C12" s="13">
        <f t="shared" si="6"/>
        <v>4734.7619999999997</v>
      </c>
      <c r="D12" s="13">
        <f t="shared" si="6"/>
        <v>4939.4390000000003</v>
      </c>
      <c r="E12" s="13">
        <f t="shared" si="6"/>
        <v>5051.1819999999989</v>
      </c>
      <c r="F12" s="13">
        <f t="shared" si="6"/>
        <v>4826.6639999999998</v>
      </c>
      <c r="G12" s="13">
        <f t="shared" si="6"/>
        <v>4267.6140000000005</v>
      </c>
      <c r="H12" s="13">
        <f t="shared" si="6"/>
        <v>4818.2309999999998</v>
      </c>
      <c r="I12" s="13">
        <f t="shared" si="6"/>
        <v>4826.8140000000003</v>
      </c>
      <c r="J12" s="14">
        <f>J64</f>
        <v>4872.8790000000008</v>
      </c>
      <c r="K12" s="14">
        <f t="shared" si="6"/>
        <v>5069.8920000000016</v>
      </c>
      <c r="L12" s="14">
        <f t="shared" si="6"/>
        <v>4941.3068185814391</v>
      </c>
      <c r="M12" s="14">
        <f t="shared" si="6"/>
        <v>4959.9634263660737</v>
      </c>
      <c r="N12" s="3"/>
      <c r="X12" s="3"/>
    </row>
    <row r="13" spans="1:24" ht="15.75" thickBot="1">
      <c r="A13" s="6" t="s">
        <v>4</v>
      </c>
      <c r="B13" s="13">
        <f t="shared" ref="B13:M13" si="7">B96</f>
        <v>553.03099999999995</v>
      </c>
      <c r="C13" s="13">
        <f t="shared" si="7"/>
        <v>556.7829999999999</v>
      </c>
      <c r="D13" s="13">
        <f t="shared" si="7"/>
        <v>556.279</v>
      </c>
      <c r="E13" s="13">
        <f t="shared" si="7"/>
        <v>495.89699999999999</v>
      </c>
      <c r="F13" s="13">
        <f t="shared" si="7"/>
        <v>505.101</v>
      </c>
      <c r="G13" s="13">
        <f t="shared" si="7"/>
        <v>497.67</v>
      </c>
      <c r="H13" s="13">
        <f t="shared" si="7"/>
        <v>444.37299999999993</v>
      </c>
      <c r="I13" s="13">
        <f t="shared" si="7"/>
        <v>379.61099999999993</v>
      </c>
      <c r="J13" s="14">
        <f t="shared" si="7"/>
        <v>426.51500000000004</v>
      </c>
      <c r="K13" s="14">
        <f t="shared" si="7"/>
        <v>432.83200000000005</v>
      </c>
      <c r="L13" s="14">
        <f t="shared" si="7"/>
        <v>377.81844382178372</v>
      </c>
      <c r="M13" s="14">
        <f t="shared" si="7"/>
        <v>349.66873814499223</v>
      </c>
      <c r="N13" s="3"/>
    </row>
    <row r="14" spans="1:24" ht="15.75" thickTop="1">
      <c r="A14" s="21" t="s">
        <v>9</v>
      </c>
      <c r="B14" s="22"/>
      <c r="C14" s="22"/>
      <c r="D14" s="22"/>
      <c r="E14" s="22"/>
      <c r="F14" s="22"/>
      <c r="G14" s="22"/>
      <c r="H14" s="23"/>
      <c r="I14" s="22"/>
      <c r="J14" s="22"/>
      <c r="K14" s="22"/>
      <c r="L14" s="22"/>
      <c r="M14" s="22"/>
      <c r="N14" s="3"/>
    </row>
    <row r="15" spans="1:2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4" ht="16.5">
      <c r="A16" s="12" t="str">
        <f ca="1">_xlfn.CONCAT("Updated:","  ",TEXT(TODAY(),"dd-mmm-yy"))</f>
        <v>Updated:  03-Nov-25</v>
      </c>
      <c r="B16" s="2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X16" s="3"/>
    </row>
    <row r="17" spans="1:24" ht="16.5">
      <c r="A17" s="26"/>
      <c r="B17" s="2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X17" s="3"/>
    </row>
    <row r="18" spans="1:24" ht="18.75" thickBot="1">
      <c r="A18" s="27" t="s">
        <v>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3"/>
      <c r="X18" s="3"/>
    </row>
    <row r="19" spans="1:24" ht="15.75" thickBot="1">
      <c r="A19" s="29" t="s">
        <v>1</v>
      </c>
      <c r="B19" s="30">
        <v>2015</v>
      </c>
      <c r="C19" s="30">
        <v>2016</v>
      </c>
      <c r="D19" s="30">
        <v>2017</v>
      </c>
      <c r="E19" s="30">
        <v>2018</v>
      </c>
      <c r="F19" s="30">
        <v>2019</v>
      </c>
      <c r="G19" s="30">
        <v>2020</v>
      </c>
      <c r="H19" s="30">
        <v>2021</v>
      </c>
      <c r="I19" s="30">
        <v>2022</v>
      </c>
      <c r="J19" s="30">
        <v>2023</v>
      </c>
      <c r="K19" s="30">
        <v>2024</v>
      </c>
      <c r="L19" s="30">
        <v>2025</v>
      </c>
      <c r="M19" s="30">
        <v>2026</v>
      </c>
      <c r="N19" s="3"/>
      <c r="X19" s="3"/>
    </row>
    <row r="20" spans="1:24">
      <c r="A20" s="31" t="s">
        <v>10</v>
      </c>
      <c r="B20" s="32">
        <f>B52+B68</f>
        <v>487.279</v>
      </c>
      <c r="C20" s="32">
        <f t="shared" ref="C20:M20" si="8">C52+C68</f>
        <v>481.76600000000002</v>
      </c>
      <c r="D20" s="32">
        <f t="shared" si="8"/>
        <v>508.81900000000002</v>
      </c>
      <c r="E20" s="32">
        <f t="shared" si="8"/>
        <v>512.68700000000001</v>
      </c>
      <c r="F20" s="32">
        <f t="shared" si="8"/>
        <v>480.02300000000002</v>
      </c>
      <c r="G20" s="32">
        <f t="shared" si="8"/>
        <v>506.43000000000006</v>
      </c>
      <c r="H20" s="32">
        <f t="shared" si="8"/>
        <v>443.108</v>
      </c>
      <c r="I20" s="32">
        <f t="shared" si="8"/>
        <v>496.26099999999997</v>
      </c>
      <c r="J20" s="32">
        <f t="shared" si="8"/>
        <v>479.8</v>
      </c>
      <c r="K20" s="33">
        <f t="shared" si="8"/>
        <v>481.27779633024625</v>
      </c>
      <c r="L20" s="33">
        <f t="shared" si="8"/>
        <v>508.39239197681758</v>
      </c>
      <c r="M20" s="33">
        <f t="shared" si="8"/>
        <v>476.83465381673778</v>
      </c>
      <c r="N20" s="3"/>
      <c r="X20" s="3"/>
    </row>
    <row r="21" spans="1:24">
      <c r="A21" s="31" t="s">
        <v>11</v>
      </c>
      <c r="B21" s="32">
        <f t="shared" ref="B21:M31" si="9">B53+B69</f>
        <v>431.66699999999997</v>
      </c>
      <c r="C21" s="32">
        <f t="shared" si="9"/>
        <v>465.55099999999999</v>
      </c>
      <c r="D21" s="32">
        <f t="shared" si="9"/>
        <v>468.17099999999999</v>
      </c>
      <c r="E21" s="32">
        <f t="shared" si="9"/>
        <v>477.28</v>
      </c>
      <c r="F21" s="32">
        <f t="shared" si="9"/>
        <v>443.67500000000001</v>
      </c>
      <c r="G21" s="32">
        <f t="shared" si="9"/>
        <v>467.77600000000007</v>
      </c>
      <c r="H21" s="32">
        <f t="shared" si="9"/>
        <v>370.04399999999998</v>
      </c>
      <c r="I21" s="32">
        <f t="shared" si="9"/>
        <v>450.52499999999998</v>
      </c>
      <c r="J21" s="32">
        <f t="shared" si="9"/>
        <v>436.65571151997671</v>
      </c>
      <c r="K21" s="33">
        <f t="shared" si="9"/>
        <v>483.15325188304536</v>
      </c>
      <c r="L21" s="33">
        <f t="shared" si="9"/>
        <v>465.51107490987522</v>
      </c>
      <c r="M21" s="33">
        <f t="shared" si="9"/>
        <v>448.52253395983507</v>
      </c>
      <c r="N21" s="3"/>
      <c r="X21" s="3"/>
    </row>
    <row r="22" spans="1:24">
      <c r="A22" s="31" t="s">
        <v>12</v>
      </c>
      <c r="B22" s="32">
        <f t="shared" si="9"/>
        <v>482.17599999999999</v>
      </c>
      <c r="C22" s="32">
        <f t="shared" si="9"/>
        <v>477.39400000000001</v>
      </c>
      <c r="D22" s="32">
        <f t="shared" si="9"/>
        <v>505.43799999999999</v>
      </c>
      <c r="E22" s="32">
        <f t="shared" si="9"/>
        <v>511.90300000000002</v>
      </c>
      <c r="F22" s="32">
        <f t="shared" si="9"/>
        <v>484.29</v>
      </c>
      <c r="G22" s="32">
        <f t="shared" si="9"/>
        <v>444.166</v>
      </c>
      <c r="H22" s="32">
        <f t="shared" si="9"/>
        <v>463.00799999999998</v>
      </c>
      <c r="I22" s="32">
        <f t="shared" si="9"/>
        <v>491.63099999999997</v>
      </c>
      <c r="J22" s="32">
        <f t="shared" si="9"/>
        <v>479.32315631041604</v>
      </c>
      <c r="K22" s="33">
        <f t="shared" si="9"/>
        <v>515.43127566329122</v>
      </c>
      <c r="L22" s="33">
        <f t="shared" si="9"/>
        <v>497.13023532475393</v>
      </c>
      <c r="M22" s="33">
        <f t="shared" si="9"/>
        <v>488.78513506070192</v>
      </c>
      <c r="N22" s="3"/>
      <c r="X22" s="3"/>
    </row>
    <row r="23" spans="1:24">
      <c r="A23" s="31" t="s">
        <v>13</v>
      </c>
      <c r="B23" s="32">
        <f t="shared" si="9"/>
        <v>452.62700000000001</v>
      </c>
      <c r="C23" s="32">
        <f t="shared" si="9"/>
        <v>448.18799999999999</v>
      </c>
      <c r="D23" s="32">
        <f t="shared" si="9"/>
        <v>485.375</v>
      </c>
      <c r="E23" s="32">
        <f t="shared" si="9"/>
        <v>489.69600000000003</v>
      </c>
      <c r="F23" s="32">
        <f t="shared" si="9"/>
        <v>483.66399999999999</v>
      </c>
      <c r="G23" s="32">
        <f t="shared" si="9"/>
        <v>296.31</v>
      </c>
      <c r="H23" s="32">
        <f t="shared" si="9"/>
        <v>491.73900000000003</v>
      </c>
      <c r="I23" s="32">
        <f t="shared" si="9"/>
        <v>464.97300000000001</v>
      </c>
      <c r="J23" s="32">
        <f t="shared" si="9"/>
        <v>456.88655913991943</v>
      </c>
      <c r="K23" s="33">
        <f t="shared" si="9"/>
        <v>465.38914902592097</v>
      </c>
      <c r="L23" s="33">
        <f t="shared" si="9"/>
        <v>448.31545705089587</v>
      </c>
      <c r="M23" s="33">
        <f t="shared" si="9"/>
        <v>470.17089094617359</v>
      </c>
      <c r="N23" s="3"/>
      <c r="X23" s="3"/>
    </row>
    <row r="24" spans="1:24">
      <c r="A24" s="31" t="s">
        <v>14</v>
      </c>
      <c r="B24" s="32">
        <f t="shared" si="9"/>
        <v>496.60899999999998</v>
      </c>
      <c r="C24" s="32">
        <f t="shared" si="9"/>
        <v>468.78999999999996</v>
      </c>
      <c r="D24" s="32">
        <f t="shared" si="9"/>
        <v>498.00900000000001</v>
      </c>
      <c r="E24" s="32">
        <f t="shared" si="9"/>
        <v>516.43700000000001</v>
      </c>
      <c r="F24" s="32">
        <f t="shared" si="9"/>
        <v>505.61599999999999</v>
      </c>
      <c r="G24" s="32">
        <f t="shared" si="9"/>
        <v>334.786</v>
      </c>
      <c r="H24" s="32">
        <f t="shared" si="9"/>
        <v>486.53</v>
      </c>
      <c r="I24" s="32">
        <f t="shared" si="9"/>
        <v>494.08799999999997</v>
      </c>
      <c r="J24" s="32">
        <f t="shared" si="9"/>
        <v>483.10451059208287</v>
      </c>
      <c r="K24" s="33">
        <f t="shared" si="9"/>
        <v>499.55689583815496</v>
      </c>
      <c r="L24" s="33">
        <f t="shared" si="9"/>
        <v>470.20657005351012</v>
      </c>
      <c r="M24" s="33">
        <f t="shared" si="9"/>
        <v>489.47450433583896</v>
      </c>
      <c r="N24" s="3"/>
      <c r="X24" s="3"/>
    </row>
    <row r="25" spans="1:24">
      <c r="A25" s="31" t="s">
        <v>15</v>
      </c>
      <c r="B25" s="32">
        <f t="shared" si="9"/>
        <v>484.12299999999999</v>
      </c>
      <c r="C25" s="32">
        <f t="shared" si="9"/>
        <v>473.74100000000004</v>
      </c>
      <c r="D25" s="32">
        <f t="shared" si="9"/>
        <v>474.779</v>
      </c>
      <c r="E25" s="32">
        <f t="shared" si="9"/>
        <v>510.00900000000001</v>
      </c>
      <c r="F25" s="32">
        <f t="shared" si="9"/>
        <v>502.774</v>
      </c>
      <c r="G25" s="32">
        <f t="shared" si="9"/>
        <v>422.37100000000004</v>
      </c>
      <c r="H25" s="32">
        <f t="shared" si="9"/>
        <v>490.58299999999997</v>
      </c>
      <c r="I25" s="32">
        <f t="shared" si="9"/>
        <v>481.48800000000006</v>
      </c>
      <c r="J25" s="32">
        <f t="shared" si="9"/>
        <v>484.82937416216686</v>
      </c>
      <c r="K25" s="33">
        <f t="shared" si="9"/>
        <v>488.58500760884095</v>
      </c>
      <c r="L25" s="33">
        <f t="shared" si="9"/>
        <v>484.1811059478502</v>
      </c>
      <c r="M25" s="33">
        <f t="shared" si="9"/>
        <v>486.35226539075722</v>
      </c>
      <c r="N25" s="3"/>
      <c r="X25" s="3"/>
    </row>
    <row r="26" spans="1:24">
      <c r="A26" s="31" t="s">
        <v>16</v>
      </c>
      <c r="B26" s="32">
        <f t="shared" si="9"/>
        <v>492.53899999999999</v>
      </c>
      <c r="C26" s="32">
        <f t="shared" si="9"/>
        <v>500.01900000000001</v>
      </c>
      <c r="D26" s="32">
        <f t="shared" si="9"/>
        <v>508.113</v>
      </c>
      <c r="E26" s="32">
        <f t="shared" si="9"/>
        <v>525.66499999999996</v>
      </c>
      <c r="F26" s="32">
        <f t="shared" si="9"/>
        <v>495.44099999999997</v>
      </c>
      <c r="G26" s="32">
        <f t="shared" si="9"/>
        <v>459.56099999999998</v>
      </c>
      <c r="H26" s="32">
        <f t="shared" si="9"/>
        <v>511.46699999999998</v>
      </c>
      <c r="I26" s="32">
        <f t="shared" si="9"/>
        <v>485.39</v>
      </c>
      <c r="J26" s="33">
        <f t="shared" si="9"/>
        <v>499.01020759143307</v>
      </c>
      <c r="K26" s="33">
        <f t="shared" si="9"/>
        <v>527.55177732675861</v>
      </c>
      <c r="L26" s="33">
        <f t="shared" si="9"/>
        <v>485.81080680556249</v>
      </c>
      <c r="M26" s="33">
        <f t="shared" si="9"/>
        <v>484.23937258127745</v>
      </c>
      <c r="N26" s="3"/>
      <c r="X26" s="3"/>
    </row>
    <row r="27" spans="1:24">
      <c r="A27" s="31" t="s">
        <v>17</v>
      </c>
      <c r="B27" s="32">
        <f t="shared" si="9"/>
        <v>488.22799999999995</v>
      </c>
      <c r="C27" s="32">
        <f t="shared" si="9"/>
        <v>501.82400000000001</v>
      </c>
      <c r="D27" s="32">
        <f t="shared" si="9"/>
        <v>527.98900000000003</v>
      </c>
      <c r="E27" s="32">
        <f t="shared" si="9"/>
        <v>524.28099999999995</v>
      </c>
      <c r="F27" s="32">
        <f t="shared" si="9"/>
        <v>494.827</v>
      </c>
      <c r="G27" s="32">
        <f t="shared" si="9"/>
        <v>450.09699999999998</v>
      </c>
      <c r="H27" s="32">
        <f t="shared" si="9"/>
        <v>518.95500000000004</v>
      </c>
      <c r="I27" s="32">
        <f t="shared" si="9"/>
        <v>471.32400000000001</v>
      </c>
      <c r="J27" s="33">
        <f t="shared" si="9"/>
        <v>484.51569358206785</v>
      </c>
      <c r="K27" s="33">
        <f t="shared" si="9"/>
        <v>515.30050210670322</v>
      </c>
      <c r="L27" s="33">
        <f t="shared" si="9"/>
        <v>500.8335395280946</v>
      </c>
      <c r="M27" s="33">
        <f t="shared" si="9"/>
        <v>509.37943981058112</v>
      </c>
      <c r="N27" s="3"/>
      <c r="X27" s="3"/>
    </row>
    <row r="28" spans="1:24">
      <c r="A28" s="31" t="s">
        <v>18</v>
      </c>
      <c r="B28" s="32">
        <f t="shared" si="9"/>
        <v>469.19900000000001</v>
      </c>
      <c r="C28" s="32">
        <f t="shared" si="9"/>
        <v>477.83499999999998</v>
      </c>
      <c r="D28" s="32">
        <f t="shared" si="9"/>
        <v>494.44899999999996</v>
      </c>
      <c r="E28" s="32">
        <f t="shared" si="9"/>
        <v>495.77700000000004</v>
      </c>
      <c r="F28" s="32">
        <f t="shared" si="9"/>
        <v>447.64599999999996</v>
      </c>
      <c r="G28" s="32">
        <f t="shared" si="9"/>
        <v>445.05900000000003</v>
      </c>
      <c r="H28" s="32">
        <f t="shared" si="9"/>
        <v>451.32900000000001</v>
      </c>
      <c r="I28" s="32">
        <f t="shared" si="9"/>
        <v>423.99299999999999</v>
      </c>
      <c r="J28" s="33">
        <f t="shared" si="9"/>
        <v>470.46702601361835</v>
      </c>
      <c r="K28" s="33">
        <f t="shared" si="9"/>
        <v>485.78773679202334</v>
      </c>
      <c r="L28" s="33">
        <f t="shared" si="9"/>
        <v>461.39855385591954</v>
      </c>
      <c r="M28" s="33">
        <f t="shared" si="9"/>
        <v>456.07187923357958</v>
      </c>
      <c r="N28" s="3"/>
      <c r="X28" s="3"/>
    </row>
    <row r="29" spans="1:24">
      <c r="A29" s="31" t="s">
        <v>19</v>
      </c>
      <c r="B29" s="32">
        <f t="shared" si="9"/>
        <v>483.81</v>
      </c>
      <c r="C29" s="32">
        <f t="shared" si="9"/>
        <v>494.24</v>
      </c>
      <c r="D29" s="32">
        <f t="shared" si="9"/>
        <v>509.75700000000001</v>
      </c>
      <c r="E29" s="32">
        <f t="shared" si="9"/>
        <v>500.85599999999999</v>
      </c>
      <c r="F29" s="32">
        <f t="shared" si="9"/>
        <v>473.40699999999998</v>
      </c>
      <c r="G29" s="32">
        <f t="shared" si="9"/>
        <v>470.27700000000004</v>
      </c>
      <c r="H29" s="32">
        <f t="shared" si="9"/>
        <v>506.40899999999999</v>
      </c>
      <c r="I29" s="32">
        <f t="shared" si="9"/>
        <v>493.09300000000002</v>
      </c>
      <c r="J29" s="33">
        <f t="shared" si="9"/>
        <v>501.3659266817067</v>
      </c>
      <c r="K29" s="33">
        <f t="shared" si="9"/>
        <v>508.29497942106002</v>
      </c>
      <c r="L29" s="33">
        <f t="shared" si="9"/>
        <v>503.79083168912564</v>
      </c>
      <c r="M29" s="33">
        <f t="shared" si="9"/>
        <v>502.62106777742594</v>
      </c>
      <c r="N29" s="3"/>
      <c r="X29" s="3"/>
    </row>
    <row r="30" spans="1:24">
      <c r="A30" s="31" t="s">
        <v>20</v>
      </c>
      <c r="B30" s="32">
        <f t="shared" si="9"/>
        <v>478.77599999999995</v>
      </c>
      <c r="C30" s="32">
        <f t="shared" si="9"/>
        <v>501.96199999999999</v>
      </c>
      <c r="D30" s="32">
        <f t="shared" si="9"/>
        <v>517.39499999999998</v>
      </c>
      <c r="E30" s="32">
        <f t="shared" si="9"/>
        <v>497.05399999999997</v>
      </c>
      <c r="F30" s="32">
        <f t="shared" si="9"/>
        <v>501.61</v>
      </c>
      <c r="G30" s="32">
        <f t="shared" si="9"/>
        <v>471.64</v>
      </c>
      <c r="H30" s="32">
        <f t="shared" si="9"/>
        <v>508.70499999999998</v>
      </c>
      <c r="I30" s="32">
        <f t="shared" si="9"/>
        <v>490.69500000000005</v>
      </c>
      <c r="J30" s="33">
        <f t="shared" si="9"/>
        <v>497.77326156247091</v>
      </c>
      <c r="K30" s="33">
        <f t="shared" si="9"/>
        <v>512.29724696084872</v>
      </c>
      <c r="L30" s="33">
        <f t="shared" si="9"/>
        <v>494.61249027627179</v>
      </c>
      <c r="M30" s="33">
        <f t="shared" si="9"/>
        <v>492.19300746709928</v>
      </c>
      <c r="N30" s="3"/>
      <c r="X30" s="3"/>
    </row>
    <row r="31" spans="1:24">
      <c r="A31" s="31" t="s">
        <v>21</v>
      </c>
      <c r="B31" s="32">
        <f t="shared" si="9"/>
        <v>489.97400000000005</v>
      </c>
      <c r="C31" s="32">
        <f t="shared" si="9"/>
        <v>517.53700000000003</v>
      </c>
      <c r="D31" s="32">
        <f t="shared" si="9"/>
        <v>525.83699999999999</v>
      </c>
      <c r="E31" s="32">
        <f t="shared" si="9"/>
        <v>497.45600000000002</v>
      </c>
      <c r="F31" s="32">
        <f t="shared" si="9"/>
        <v>519.37099999999998</v>
      </c>
      <c r="G31" s="32">
        <f t="shared" si="9"/>
        <v>467.44600000000003</v>
      </c>
      <c r="H31" s="32">
        <f t="shared" si="9"/>
        <v>515.53100000000006</v>
      </c>
      <c r="I31" s="32">
        <f t="shared" si="9"/>
        <v>464.08699999999999</v>
      </c>
      <c r="J31" s="33">
        <f t="shared" si="9"/>
        <v>525.66257284414132</v>
      </c>
      <c r="K31" s="33">
        <f t="shared" si="9"/>
        <v>520.09838104310643</v>
      </c>
      <c r="L31" s="33">
        <f t="shared" si="9"/>
        <v>498.9422049845449</v>
      </c>
      <c r="M31" s="33">
        <f t="shared" si="9"/>
        <v>504.98741413105842</v>
      </c>
      <c r="N31" s="3"/>
      <c r="X31" s="3"/>
    </row>
    <row r="32" spans="1:24" ht="15.75" thickBot="1">
      <c r="A32" s="34" t="s">
        <v>22</v>
      </c>
      <c r="B32" s="35">
        <f>SUM(B20:B31)</f>
        <v>5737.0069999999996</v>
      </c>
      <c r="C32" s="35">
        <f t="shared" ref="C32:M32" si="10">SUM(C20:C31)</f>
        <v>5808.8469999999998</v>
      </c>
      <c r="D32" s="35">
        <f t="shared" si="10"/>
        <v>6024.1309999999994</v>
      </c>
      <c r="E32" s="35">
        <f t="shared" si="10"/>
        <v>6059.1009999999997</v>
      </c>
      <c r="F32" s="35">
        <f t="shared" si="10"/>
        <v>5832.3439999999991</v>
      </c>
      <c r="G32" s="35">
        <f t="shared" si="10"/>
        <v>5235.9190000000008</v>
      </c>
      <c r="H32" s="35">
        <f t="shared" si="10"/>
        <v>5757.4079999999994</v>
      </c>
      <c r="I32" s="35">
        <f t="shared" si="10"/>
        <v>5707.5480000000007</v>
      </c>
      <c r="J32" s="36">
        <f t="shared" si="10"/>
        <v>5799.3940000000002</v>
      </c>
      <c r="K32" s="36">
        <f t="shared" si="10"/>
        <v>6002.7239999999993</v>
      </c>
      <c r="L32" s="36">
        <f t="shared" si="10"/>
        <v>5819.1252624032222</v>
      </c>
      <c r="M32" s="36">
        <f t="shared" si="10"/>
        <v>5809.6321645110656</v>
      </c>
      <c r="N32" s="3"/>
      <c r="X32" s="3"/>
    </row>
    <row r="33" spans="1:24">
      <c r="A33" s="37"/>
      <c r="B33" s="38"/>
      <c r="C33" s="39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"/>
      <c r="X33" s="3"/>
    </row>
    <row r="34" spans="1:24" ht="18.75" thickBot="1">
      <c r="A34" s="27" t="s">
        <v>8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"/>
      <c r="X34" s="3"/>
    </row>
    <row r="35" spans="1:24" ht="15.75" thickBot="1">
      <c r="A35" s="29" t="s">
        <v>1</v>
      </c>
      <c r="B35" s="30">
        <f>B19</f>
        <v>2015</v>
      </c>
      <c r="C35" s="30">
        <f t="shared" ref="C35:M35" si="11">C19</f>
        <v>2016</v>
      </c>
      <c r="D35" s="30">
        <f t="shared" si="11"/>
        <v>2017</v>
      </c>
      <c r="E35" s="30">
        <f t="shared" si="11"/>
        <v>2018</v>
      </c>
      <c r="F35" s="30">
        <f t="shared" si="11"/>
        <v>2019</v>
      </c>
      <c r="G35" s="30">
        <f t="shared" si="11"/>
        <v>2020</v>
      </c>
      <c r="H35" s="30">
        <f t="shared" si="11"/>
        <v>2021</v>
      </c>
      <c r="I35" s="30">
        <f t="shared" si="11"/>
        <v>2022</v>
      </c>
      <c r="J35" s="30">
        <f t="shared" si="11"/>
        <v>2023</v>
      </c>
      <c r="K35" s="30">
        <f t="shared" si="11"/>
        <v>2024</v>
      </c>
      <c r="L35" s="30">
        <f t="shared" si="11"/>
        <v>2025</v>
      </c>
      <c r="M35" s="30">
        <f t="shared" si="11"/>
        <v>2026</v>
      </c>
      <c r="N35" s="3"/>
      <c r="X35" s="3"/>
    </row>
    <row r="36" spans="1:24">
      <c r="A36" s="31" t="str">
        <f t="shared" ref="A36:A47" si="12">A20</f>
        <v>Jan</v>
      </c>
      <c r="B36" s="32">
        <f>B52+B84</f>
        <v>443.89</v>
      </c>
      <c r="C36" s="32">
        <f t="shared" ref="C36:M36" si="13">C52+C84</f>
        <v>440.435</v>
      </c>
      <c r="D36" s="32">
        <f t="shared" si="13"/>
        <v>465.38299999999998</v>
      </c>
      <c r="E36" s="32">
        <f t="shared" si="13"/>
        <v>471.77800000000002</v>
      </c>
      <c r="F36" s="32">
        <f t="shared" si="13"/>
        <v>441.07499999999999</v>
      </c>
      <c r="G36" s="32">
        <f t="shared" si="13"/>
        <v>465.96800000000002</v>
      </c>
      <c r="H36" s="32">
        <f t="shared" si="13"/>
        <v>403.82599999999996</v>
      </c>
      <c r="I36" s="32">
        <f t="shared" si="13"/>
        <v>455.42499999999995</v>
      </c>
      <c r="J36" s="32">
        <f t="shared" si="13"/>
        <v>440.96100000000001</v>
      </c>
      <c r="K36" s="33">
        <f t="shared" si="13"/>
        <v>441.07600000000002</v>
      </c>
      <c r="L36" s="33">
        <f t="shared" si="13"/>
        <v>467.92700000000002</v>
      </c>
      <c r="M36" s="33">
        <f t="shared" si="13"/>
        <v>436.84466446467263</v>
      </c>
      <c r="N36" s="3"/>
      <c r="X36" s="3"/>
    </row>
    <row r="37" spans="1:24">
      <c r="A37" s="31" t="str">
        <f t="shared" si="12"/>
        <v>Feb</v>
      </c>
      <c r="B37" s="32">
        <f t="shared" ref="B37:M47" si="14">B53+B85</f>
        <v>394.08299999999997</v>
      </c>
      <c r="C37" s="32">
        <f t="shared" si="14"/>
        <v>424.99299999999999</v>
      </c>
      <c r="D37" s="32">
        <f t="shared" si="14"/>
        <v>429.03299999999996</v>
      </c>
      <c r="E37" s="32">
        <f t="shared" si="14"/>
        <v>437.31399999999996</v>
      </c>
      <c r="F37" s="32">
        <f t="shared" si="14"/>
        <v>406.39000000000004</v>
      </c>
      <c r="G37" s="32">
        <f t="shared" si="14"/>
        <v>429.57900000000001</v>
      </c>
      <c r="H37" s="32">
        <f t="shared" si="14"/>
        <v>336.02199999999999</v>
      </c>
      <c r="I37" s="32">
        <f t="shared" si="14"/>
        <v>412.06100000000004</v>
      </c>
      <c r="J37" s="32">
        <f t="shared" si="14"/>
        <v>398.75299999999999</v>
      </c>
      <c r="K37" s="33">
        <f t="shared" si="14"/>
        <v>445.48400000000004</v>
      </c>
      <c r="L37" s="33">
        <f t="shared" si="14"/>
        <v>427.75508835794142</v>
      </c>
      <c r="M37" s="33">
        <f t="shared" si="14"/>
        <v>411.29909954950256</v>
      </c>
      <c r="N37" s="3"/>
      <c r="X37" s="3"/>
    </row>
    <row r="38" spans="1:24">
      <c r="A38" s="31" t="str">
        <f t="shared" si="12"/>
        <v>Mar</v>
      </c>
      <c r="B38" s="32">
        <f t="shared" si="14"/>
        <v>437.82799999999997</v>
      </c>
      <c r="C38" s="32">
        <f t="shared" si="14"/>
        <v>433.25800000000004</v>
      </c>
      <c r="D38" s="32">
        <f t="shared" si="14"/>
        <v>460.87700000000001</v>
      </c>
      <c r="E38" s="32">
        <f t="shared" si="14"/>
        <v>468.50700000000001</v>
      </c>
      <c r="F38" s="32">
        <f t="shared" si="14"/>
        <v>441.685</v>
      </c>
      <c r="G38" s="32">
        <f t="shared" si="14"/>
        <v>401.15799999999996</v>
      </c>
      <c r="H38" s="32">
        <f t="shared" si="14"/>
        <v>420.84899999999999</v>
      </c>
      <c r="I38" s="32">
        <f t="shared" si="14"/>
        <v>448.66299999999995</v>
      </c>
      <c r="J38" s="32">
        <f t="shared" si="14"/>
        <v>436.13599999999997</v>
      </c>
      <c r="K38" s="33">
        <f t="shared" si="14"/>
        <v>472.07600000000002</v>
      </c>
      <c r="L38" s="33">
        <f t="shared" si="14"/>
        <v>453.61269309923773</v>
      </c>
      <c r="M38" s="33">
        <f t="shared" si="14"/>
        <v>445.67750927693027</v>
      </c>
      <c r="N38" s="3"/>
      <c r="X38" s="3"/>
    </row>
    <row r="39" spans="1:24">
      <c r="A39" s="31" t="str">
        <f t="shared" si="12"/>
        <v>Apr</v>
      </c>
      <c r="B39" s="32">
        <f t="shared" si="14"/>
        <v>407.71900000000005</v>
      </c>
      <c r="C39" s="32">
        <f t="shared" si="14"/>
        <v>404.601</v>
      </c>
      <c r="D39" s="32">
        <f t="shared" si="14"/>
        <v>440.59499999999997</v>
      </c>
      <c r="E39" s="32">
        <f t="shared" si="14"/>
        <v>445.81200000000001</v>
      </c>
      <c r="F39" s="32">
        <f t="shared" si="14"/>
        <v>440.93399999999997</v>
      </c>
      <c r="G39" s="32">
        <f t="shared" si="14"/>
        <v>258.22199999999998</v>
      </c>
      <c r="H39" s="32">
        <f t="shared" si="14"/>
        <v>448.22200000000004</v>
      </c>
      <c r="I39" s="32">
        <f t="shared" si="14"/>
        <v>420.839</v>
      </c>
      <c r="J39" s="32">
        <f t="shared" si="14"/>
        <v>414.05900000000003</v>
      </c>
      <c r="K39" s="33">
        <f t="shared" si="14"/>
        <v>422.56700000000001</v>
      </c>
      <c r="L39" s="33">
        <f t="shared" si="14"/>
        <v>405.46457631774575</v>
      </c>
      <c r="M39" s="33">
        <f t="shared" si="14"/>
        <v>426.87002739948525</v>
      </c>
      <c r="N39" s="3"/>
      <c r="X39" s="3"/>
    </row>
    <row r="40" spans="1:24">
      <c r="A40" s="31" t="str">
        <f t="shared" si="12"/>
        <v>May</v>
      </c>
      <c r="B40" s="32">
        <f t="shared" si="14"/>
        <v>448.98399999999998</v>
      </c>
      <c r="C40" s="32">
        <f t="shared" si="14"/>
        <v>424.23500000000001</v>
      </c>
      <c r="D40" s="32">
        <f t="shared" si="14"/>
        <v>451.54699999999997</v>
      </c>
      <c r="E40" s="32">
        <f t="shared" si="14"/>
        <v>471.601</v>
      </c>
      <c r="F40" s="32">
        <f t="shared" si="14"/>
        <v>458.94799999999998</v>
      </c>
      <c r="G40" s="32">
        <f t="shared" si="14"/>
        <v>297.16800000000001</v>
      </c>
      <c r="H40" s="32">
        <f t="shared" si="14"/>
        <v>442.03800000000001</v>
      </c>
      <c r="I40" s="32">
        <f t="shared" si="14"/>
        <v>449.072</v>
      </c>
      <c r="J40" s="32">
        <f t="shared" si="14"/>
        <v>439.01100000000002</v>
      </c>
      <c r="K40" s="33">
        <f t="shared" si="14"/>
        <v>455.399</v>
      </c>
      <c r="L40" s="33">
        <f t="shared" si="14"/>
        <v>426.54713509297846</v>
      </c>
      <c r="M40" s="33">
        <f t="shared" si="14"/>
        <v>445.11847120851399</v>
      </c>
      <c r="N40" s="3"/>
      <c r="X40" s="3"/>
    </row>
    <row r="41" spans="1:24">
      <c r="A41" s="31" t="str">
        <f t="shared" si="12"/>
        <v>Jun</v>
      </c>
      <c r="B41" s="32">
        <f t="shared" si="14"/>
        <v>441.27199999999999</v>
      </c>
      <c r="C41" s="32">
        <f t="shared" si="14"/>
        <v>430.71500000000003</v>
      </c>
      <c r="D41" s="32">
        <f t="shared" si="14"/>
        <v>430.779</v>
      </c>
      <c r="E41" s="32">
        <f t="shared" si="14"/>
        <v>464.702</v>
      </c>
      <c r="F41" s="32">
        <f t="shared" si="14"/>
        <v>459.21699999999998</v>
      </c>
      <c r="G41" s="32">
        <f t="shared" si="14"/>
        <v>382.65600000000001</v>
      </c>
      <c r="H41" s="32">
        <f t="shared" si="14"/>
        <v>448.702</v>
      </c>
      <c r="I41" s="32">
        <f t="shared" si="14"/>
        <v>439.94300000000004</v>
      </c>
      <c r="J41" s="32">
        <f t="shared" si="14"/>
        <v>442.072</v>
      </c>
      <c r="K41" s="33">
        <f t="shared" si="14"/>
        <v>446.13600000000002</v>
      </c>
      <c r="L41" s="33">
        <f t="shared" si="14"/>
        <v>441.94673645480526</v>
      </c>
      <c r="M41" s="33">
        <f t="shared" si="14"/>
        <v>444.1100941926307</v>
      </c>
      <c r="N41" s="3"/>
      <c r="X41" s="3"/>
    </row>
    <row r="42" spans="1:24">
      <c r="A42" s="31" t="str">
        <f t="shared" si="12"/>
        <v>Jul</v>
      </c>
      <c r="B42" s="32">
        <f t="shared" si="14"/>
        <v>448.4</v>
      </c>
      <c r="C42" s="32">
        <f t="shared" si="14"/>
        <v>455.45500000000004</v>
      </c>
      <c r="D42" s="32">
        <f t="shared" si="14"/>
        <v>462.57800000000003</v>
      </c>
      <c r="E42" s="32">
        <f t="shared" si="14"/>
        <v>480.41200000000003</v>
      </c>
      <c r="F42" s="32">
        <f t="shared" si="14"/>
        <v>451.21199999999999</v>
      </c>
      <c r="G42" s="32">
        <f t="shared" si="14"/>
        <v>418.87199999999996</v>
      </c>
      <c r="H42" s="32">
        <f t="shared" si="14"/>
        <v>468.09700000000004</v>
      </c>
      <c r="I42" s="32">
        <f t="shared" si="14"/>
        <v>441.90899999999999</v>
      </c>
      <c r="J42" s="33">
        <f t="shared" si="14"/>
        <v>455.24100000000004</v>
      </c>
      <c r="K42" s="33">
        <f t="shared" si="14"/>
        <v>483.87</v>
      </c>
      <c r="L42" s="33">
        <f t="shared" si="14"/>
        <v>442.2297038537227</v>
      </c>
      <c r="M42" s="33">
        <f t="shared" si="14"/>
        <v>440.59164412807519</v>
      </c>
      <c r="N42" s="3"/>
      <c r="X42" s="3"/>
    </row>
    <row r="43" spans="1:24">
      <c r="A43" s="31" t="str">
        <f t="shared" si="12"/>
        <v>Aug</v>
      </c>
      <c r="B43" s="32">
        <f t="shared" si="14"/>
        <v>445.71799999999996</v>
      </c>
      <c r="C43" s="32">
        <f t="shared" si="14"/>
        <v>458.154</v>
      </c>
      <c r="D43" s="32">
        <f t="shared" si="14"/>
        <v>476.82799999999997</v>
      </c>
      <c r="E43" s="32">
        <f t="shared" si="14"/>
        <v>479.36500000000001</v>
      </c>
      <c r="F43" s="32">
        <f t="shared" si="14"/>
        <v>450.92100000000005</v>
      </c>
      <c r="G43" s="32">
        <f t="shared" si="14"/>
        <v>411.34699999999998</v>
      </c>
      <c r="H43" s="32">
        <f t="shared" si="14"/>
        <v>475.23599999999999</v>
      </c>
      <c r="I43" s="32">
        <f t="shared" si="14"/>
        <v>430.30099999999999</v>
      </c>
      <c r="J43" s="33">
        <f t="shared" si="14"/>
        <v>441.69600000000003</v>
      </c>
      <c r="K43" s="33">
        <f t="shared" si="14"/>
        <v>472.697</v>
      </c>
      <c r="L43" s="33">
        <f t="shared" si="14"/>
        <v>458.48406773521629</v>
      </c>
      <c r="M43" s="33">
        <f t="shared" si="14"/>
        <v>466.80714753567696</v>
      </c>
      <c r="N43" s="3"/>
      <c r="X43" s="3"/>
    </row>
    <row r="44" spans="1:24">
      <c r="A44" s="31" t="str">
        <f t="shared" si="12"/>
        <v>Sep</v>
      </c>
      <c r="B44" s="32">
        <f t="shared" si="14"/>
        <v>427.29300000000001</v>
      </c>
      <c r="C44" s="32">
        <f t="shared" si="14"/>
        <v>436.79999999999995</v>
      </c>
      <c r="D44" s="32">
        <f t="shared" si="14"/>
        <v>451.05599999999998</v>
      </c>
      <c r="E44" s="32">
        <f t="shared" si="14"/>
        <v>454.20400000000001</v>
      </c>
      <c r="F44" s="32">
        <f t="shared" si="14"/>
        <v>407.96299999999997</v>
      </c>
      <c r="G44" s="32">
        <f t="shared" si="14"/>
        <v>406.30600000000004</v>
      </c>
      <c r="H44" s="32">
        <f t="shared" si="14"/>
        <v>412.15800000000002</v>
      </c>
      <c r="I44" s="32">
        <f t="shared" si="14"/>
        <v>383.27299999999997</v>
      </c>
      <c r="J44" s="33">
        <f t="shared" si="14"/>
        <v>430.15100000000001</v>
      </c>
      <c r="K44" s="33">
        <f t="shared" si="14"/>
        <v>445.53000000000003</v>
      </c>
      <c r="L44" s="33">
        <f t="shared" si="14"/>
        <v>421.01486133052555</v>
      </c>
      <c r="M44" s="33">
        <f t="shared" si="14"/>
        <v>415.83663691057984</v>
      </c>
      <c r="N44" s="3"/>
      <c r="X44" s="3"/>
    </row>
    <row r="45" spans="1:24">
      <c r="A45" s="31" t="str">
        <f t="shared" si="12"/>
        <v>Oct</v>
      </c>
      <c r="B45" s="32">
        <f t="shared" si="14"/>
        <v>441.42399999999998</v>
      </c>
      <c r="C45" s="32">
        <f t="shared" si="14"/>
        <v>451.67199999999997</v>
      </c>
      <c r="D45" s="32">
        <f t="shared" si="14"/>
        <v>465.55100000000004</v>
      </c>
      <c r="E45" s="32">
        <f t="shared" si="14"/>
        <v>459.98699999999997</v>
      </c>
      <c r="F45" s="32">
        <f t="shared" si="14"/>
        <v>433.83</v>
      </c>
      <c r="G45" s="32">
        <f t="shared" si="14"/>
        <v>431.99099999999999</v>
      </c>
      <c r="H45" s="32">
        <f t="shared" si="14"/>
        <v>464.66099999999994</v>
      </c>
      <c r="I45" s="32">
        <f t="shared" si="14"/>
        <v>448.61599999999999</v>
      </c>
      <c r="J45" s="33">
        <f t="shared" si="14"/>
        <v>460.03000000000003</v>
      </c>
      <c r="K45" s="33">
        <f t="shared" si="14"/>
        <v>466.66300000000001</v>
      </c>
      <c r="L45" s="33">
        <f t="shared" si="14"/>
        <v>461.73251203148749</v>
      </c>
      <c r="M45" s="33">
        <f t="shared" si="14"/>
        <v>460.30187619842445</v>
      </c>
      <c r="N45" s="3"/>
      <c r="X45" s="3"/>
    </row>
    <row r="46" spans="1:24">
      <c r="A46" s="31" t="str">
        <f t="shared" si="12"/>
        <v>Nov</v>
      </c>
      <c r="B46" s="32">
        <f t="shared" si="14"/>
        <v>437.84100000000001</v>
      </c>
      <c r="C46" s="32">
        <f t="shared" si="14"/>
        <v>456.96199999999999</v>
      </c>
      <c r="D46" s="32">
        <f t="shared" si="14"/>
        <v>476.90699999999998</v>
      </c>
      <c r="E46" s="32">
        <f t="shared" si="14"/>
        <v>456.80599999999998</v>
      </c>
      <c r="F46" s="32">
        <f t="shared" si="14"/>
        <v>461.17699999999996</v>
      </c>
      <c r="G46" s="32">
        <f t="shared" si="14"/>
        <v>432.51900000000001</v>
      </c>
      <c r="H46" s="32">
        <f t="shared" si="14"/>
        <v>467.91300000000001</v>
      </c>
      <c r="I46" s="32">
        <f t="shared" si="14"/>
        <v>450.53500000000003</v>
      </c>
      <c r="J46" s="33">
        <f t="shared" si="14"/>
        <v>457.28500000000003</v>
      </c>
      <c r="K46" s="33">
        <f t="shared" si="14"/>
        <v>471.56299999999999</v>
      </c>
      <c r="L46" s="33">
        <f t="shared" si="14"/>
        <v>453.80761520657563</v>
      </c>
      <c r="M46" s="33">
        <f t="shared" si="14"/>
        <v>451.53088401697119</v>
      </c>
      <c r="N46" s="3"/>
      <c r="X46" s="3"/>
    </row>
    <row r="47" spans="1:24">
      <c r="A47" s="31" t="str">
        <f t="shared" si="12"/>
        <v>Dec</v>
      </c>
      <c r="B47" s="32">
        <f t="shared" si="14"/>
        <v>448.25</v>
      </c>
      <c r="C47" s="32">
        <f t="shared" si="14"/>
        <v>474.26499999999999</v>
      </c>
      <c r="D47" s="32">
        <f t="shared" si="14"/>
        <v>484.58399999999995</v>
      </c>
      <c r="E47" s="32">
        <f t="shared" si="14"/>
        <v>456.59100000000001</v>
      </c>
      <c r="F47" s="32">
        <f t="shared" si="14"/>
        <v>478.41300000000001</v>
      </c>
      <c r="G47" s="32">
        <f t="shared" si="14"/>
        <v>429.49799999999999</v>
      </c>
      <c r="H47" s="32">
        <f t="shared" si="14"/>
        <v>474.88</v>
      </c>
      <c r="I47" s="32">
        <f t="shared" si="14"/>
        <v>425.78800000000001</v>
      </c>
      <c r="J47" s="33">
        <f t="shared" si="14"/>
        <v>483.99900000000002</v>
      </c>
      <c r="K47" s="33">
        <f t="shared" si="14"/>
        <v>479.66300000000001</v>
      </c>
      <c r="L47" s="33">
        <f t="shared" si="14"/>
        <v>458.6032729229857</v>
      </c>
      <c r="M47" s="33">
        <f t="shared" si="14"/>
        <v>464.64410962960324</v>
      </c>
      <c r="N47" s="3"/>
      <c r="X47" s="3"/>
    </row>
    <row r="48" spans="1:24" ht="15.75" thickBot="1">
      <c r="A48" s="34" t="s">
        <v>22</v>
      </c>
      <c r="B48" s="35">
        <f>SUM(B36:B47)</f>
        <v>5222.7020000000002</v>
      </c>
      <c r="C48" s="35">
        <f t="shared" ref="C48:M48" si="15">SUM(C36:C47)</f>
        <v>5291.545000000001</v>
      </c>
      <c r="D48" s="35">
        <f t="shared" si="15"/>
        <v>5495.7179999999998</v>
      </c>
      <c r="E48" s="35">
        <f t="shared" si="15"/>
        <v>5547.0789999999997</v>
      </c>
      <c r="F48" s="35">
        <f t="shared" si="15"/>
        <v>5331.7649999999994</v>
      </c>
      <c r="G48" s="35">
        <f t="shared" si="15"/>
        <v>4765.2839999999987</v>
      </c>
      <c r="H48" s="35">
        <f t="shared" si="15"/>
        <v>5262.6040000000003</v>
      </c>
      <c r="I48" s="35">
        <f t="shared" si="15"/>
        <v>5206.4250000000011</v>
      </c>
      <c r="J48" s="36">
        <f t="shared" si="15"/>
        <v>5299.3939999999993</v>
      </c>
      <c r="K48" s="36">
        <f t="shared" si="15"/>
        <v>5502.7240000000002</v>
      </c>
      <c r="L48" s="36">
        <f t="shared" si="15"/>
        <v>5319.1252624032222</v>
      </c>
      <c r="M48" s="36">
        <f t="shared" si="15"/>
        <v>5309.6321645110656</v>
      </c>
      <c r="N48" s="3"/>
      <c r="X48" s="3"/>
    </row>
    <row r="49" spans="1:24">
      <c r="A49" s="37"/>
      <c r="B49" s="38"/>
      <c r="C49" s="39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"/>
      <c r="X49" s="3"/>
    </row>
    <row r="50" spans="1:24" ht="18.75" thickBot="1">
      <c r="A50" s="27" t="s">
        <v>23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3"/>
      <c r="X50" s="3"/>
    </row>
    <row r="51" spans="1:24" ht="15.75" thickBot="1">
      <c r="A51" s="29" t="s">
        <v>1</v>
      </c>
      <c r="B51" s="30">
        <f>B19</f>
        <v>2015</v>
      </c>
      <c r="C51" s="30">
        <f t="shared" ref="C51:M51" si="16">C19</f>
        <v>2016</v>
      </c>
      <c r="D51" s="30">
        <f t="shared" si="16"/>
        <v>2017</v>
      </c>
      <c r="E51" s="30">
        <f t="shared" si="16"/>
        <v>2018</v>
      </c>
      <c r="F51" s="30">
        <f t="shared" si="16"/>
        <v>2019</v>
      </c>
      <c r="G51" s="30">
        <f t="shared" si="16"/>
        <v>2020</v>
      </c>
      <c r="H51" s="30">
        <f t="shared" si="16"/>
        <v>2021</v>
      </c>
      <c r="I51" s="30">
        <f t="shared" si="16"/>
        <v>2022</v>
      </c>
      <c r="J51" s="30">
        <f t="shared" si="16"/>
        <v>2023</v>
      </c>
      <c r="K51" s="30">
        <f t="shared" si="16"/>
        <v>2024</v>
      </c>
      <c r="L51" s="30">
        <f t="shared" si="16"/>
        <v>2025</v>
      </c>
      <c r="M51" s="30">
        <f t="shared" si="16"/>
        <v>2026</v>
      </c>
      <c r="N51" s="3"/>
      <c r="X51" s="3"/>
    </row>
    <row r="52" spans="1:24">
      <c r="A52" s="31" t="str">
        <f>A20</f>
        <v>Jan</v>
      </c>
      <c r="B52" s="32">
        <f>'Ethanol Balance Sheet'!W133</f>
        <v>396.00700000000001</v>
      </c>
      <c r="C52" s="32">
        <f>'Ethanol Balance Sheet'!X133</f>
        <v>397.02800000000002</v>
      </c>
      <c r="D52" s="32">
        <f>'Ethanol Balance Sheet'!Y133</f>
        <v>424.26900000000001</v>
      </c>
      <c r="E52" s="32">
        <f>'Ethanol Balance Sheet'!Z133</f>
        <v>431.47399999999999</v>
      </c>
      <c r="F52" s="32">
        <f>'Ethanol Balance Sheet'!AA133</f>
        <v>405.45400000000001</v>
      </c>
      <c r="G52" s="32">
        <f>'Ethanol Balance Sheet'!AB133</f>
        <v>422.56400000000002</v>
      </c>
      <c r="H52" s="32">
        <f>'Ethanol Balance Sheet'!AC133</f>
        <v>373.56299999999999</v>
      </c>
      <c r="I52" s="32">
        <f>'Ethanol Balance Sheet'!AD133</f>
        <v>427.80399999999997</v>
      </c>
      <c r="J52" s="32">
        <f>'Ethanol Balance Sheet'!AE133</f>
        <v>403.89100000000002</v>
      </c>
      <c r="K52" s="33">
        <f>'Ethanol Balance Sheet'!AF133</f>
        <v>407.964</v>
      </c>
      <c r="L52" s="33">
        <f>'Ethanol Balance Sheet'!AG133</f>
        <v>428.99299999999999</v>
      </c>
      <c r="M52" s="33">
        <f>'Ethanol Balance Sheet'!AH133</f>
        <v>411.25649538320187</v>
      </c>
      <c r="N52" s="3"/>
      <c r="X52" s="3"/>
    </row>
    <row r="53" spans="1:24">
      <c r="A53" s="31" t="str">
        <f t="shared" ref="A53:A63" si="17">A21</f>
        <v>Feb</v>
      </c>
      <c r="B53" s="32">
        <f>'Ethanol Balance Sheet'!W134</f>
        <v>353.76299999999998</v>
      </c>
      <c r="C53" s="32">
        <f>'Ethanol Balance Sheet'!X134</f>
        <v>377.53</v>
      </c>
      <c r="D53" s="32">
        <f>'Ethanol Balance Sheet'!Y134</f>
        <v>382.38299999999998</v>
      </c>
      <c r="E53" s="32">
        <f>'Ethanol Balance Sheet'!Z134</f>
        <v>393.31799999999998</v>
      </c>
      <c r="F53" s="32">
        <f>'Ethanol Balance Sheet'!AA134</f>
        <v>367.27300000000002</v>
      </c>
      <c r="G53" s="32">
        <f>'Ethanol Balance Sheet'!AB134</f>
        <v>389.34500000000003</v>
      </c>
      <c r="H53" s="32">
        <f>'Ethanol Balance Sheet'!AC134</f>
        <v>300.49</v>
      </c>
      <c r="I53" s="32">
        <f>'Ethanol Balance Sheet'!AD134</f>
        <v>378.45400000000001</v>
      </c>
      <c r="J53" s="32">
        <f>'Ethanol Balance Sheet'!AE134</f>
        <v>364.75200000000001</v>
      </c>
      <c r="K53" s="33">
        <f>'Ethanol Balance Sheet'!AF134</f>
        <v>411.87700000000001</v>
      </c>
      <c r="L53" s="33">
        <f>'Ethanol Balance Sheet'!AG134</f>
        <v>396.31648528991246</v>
      </c>
      <c r="M53" s="33">
        <f>'Ethanol Balance Sheet'!AH134</f>
        <v>382.78223983933526</v>
      </c>
      <c r="N53" s="3"/>
      <c r="X53" s="3"/>
    </row>
    <row r="54" spans="1:24">
      <c r="A54" s="31" t="str">
        <f t="shared" si="17"/>
        <v>Mar</v>
      </c>
      <c r="B54" s="32">
        <f>'Ethanol Balance Sheet'!W135</f>
        <v>391.73599999999999</v>
      </c>
      <c r="C54" s="32">
        <f>'Ethanol Balance Sheet'!X135</f>
        <v>390.91800000000001</v>
      </c>
      <c r="D54" s="32">
        <f>'Ethanol Balance Sheet'!Y135</f>
        <v>413.733</v>
      </c>
      <c r="E54" s="32">
        <f>'Ethanol Balance Sheet'!Z135</f>
        <v>428.916</v>
      </c>
      <c r="F54" s="32">
        <f>'Ethanol Balance Sheet'!AA135</f>
        <v>400.93700000000001</v>
      </c>
      <c r="G54" s="32">
        <f>'Ethanol Balance Sheet'!AB135</f>
        <v>370.08</v>
      </c>
      <c r="H54" s="32">
        <f>'Ethanol Balance Sheet'!AC135</f>
        <v>383.54399999999998</v>
      </c>
      <c r="I54" s="32">
        <f>'Ethanol Balance Sheet'!AD135</f>
        <v>419.66699999999997</v>
      </c>
      <c r="J54" s="32">
        <f>'Ethanol Balance Sheet'!AE135</f>
        <v>399.12299999999999</v>
      </c>
      <c r="K54" s="33">
        <f>'Ethanol Balance Sheet'!AF135</f>
        <v>435.58800000000002</v>
      </c>
      <c r="L54" s="33">
        <f>'Ethanol Balance Sheet'!AG135</f>
        <v>425.22905266690981</v>
      </c>
      <c r="M54" s="33">
        <f>'Ethanol Balance Sheet'!AH135</f>
        <v>419.12414066439362</v>
      </c>
      <c r="N54" s="3"/>
      <c r="X54" s="3"/>
    </row>
    <row r="55" spans="1:24">
      <c r="A55" s="31" t="str">
        <f t="shared" si="17"/>
        <v>Apr</v>
      </c>
      <c r="B55" s="32">
        <f>'Ethanol Balance Sheet'!W136</f>
        <v>365.02800000000002</v>
      </c>
      <c r="C55" s="32">
        <f>'Ethanol Balance Sheet'!X136</f>
        <v>358.39100000000002</v>
      </c>
      <c r="D55" s="32">
        <f>'Ethanol Balance Sheet'!Y136</f>
        <v>393.64499999999998</v>
      </c>
      <c r="E55" s="32">
        <f>'Ethanol Balance Sheet'!Z136</f>
        <v>405.73200000000003</v>
      </c>
      <c r="F55" s="32">
        <f>'Ethanol Balance Sheet'!AA136</f>
        <v>399.72899999999998</v>
      </c>
      <c r="G55" s="32">
        <f>'Ethanol Balance Sheet'!AB136</f>
        <v>213.905</v>
      </c>
      <c r="H55" s="32">
        <f>'Ethanol Balance Sheet'!AC136</f>
        <v>411.55900000000003</v>
      </c>
      <c r="I55" s="32">
        <f>'Ethanol Balance Sheet'!AD136</f>
        <v>386.96600000000001</v>
      </c>
      <c r="J55" s="32">
        <f>'Ethanol Balance Sheet'!AE136</f>
        <v>380.822</v>
      </c>
      <c r="K55" s="33">
        <f>'Ethanol Balance Sheet'!AF136</f>
        <v>389.81700000000001</v>
      </c>
      <c r="L55" s="33">
        <f>'Ethanol Balance Sheet'!AG136</f>
        <v>372.00321446009877</v>
      </c>
      <c r="M55" s="33">
        <f>'Ethanol Balance Sheet'!AH136</f>
        <v>393.00360677046109</v>
      </c>
      <c r="N55" s="3"/>
      <c r="X55" s="3"/>
    </row>
    <row r="56" spans="1:24">
      <c r="A56" s="31" t="str">
        <f t="shared" si="17"/>
        <v>May</v>
      </c>
      <c r="B56" s="32">
        <f>'Ethanol Balance Sheet'!W137</f>
        <v>401.26299999999998</v>
      </c>
      <c r="C56" s="32">
        <f>'Ethanol Balance Sheet'!X137</f>
        <v>379.47399999999999</v>
      </c>
      <c r="D56" s="32">
        <f>'Ethanol Balance Sheet'!Y137</f>
        <v>405.50299999999999</v>
      </c>
      <c r="E56" s="32">
        <f>'Ethanol Balance Sheet'!Z137</f>
        <v>430.32400000000001</v>
      </c>
      <c r="F56" s="32">
        <f>'Ethanol Balance Sheet'!AA137</f>
        <v>418.28</v>
      </c>
      <c r="G56" s="32">
        <f>'Ethanol Balance Sheet'!AB137</f>
        <v>255.61699999999999</v>
      </c>
      <c r="H56" s="32">
        <f>'Ethanol Balance Sheet'!AC137</f>
        <v>402.74299999999999</v>
      </c>
      <c r="I56" s="32">
        <f>'Ethanol Balance Sheet'!AD137</f>
        <v>412.72699999999998</v>
      </c>
      <c r="J56" s="32">
        <f>'Ethanol Balance Sheet'!AE137</f>
        <v>406.45400000000001</v>
      </c>
      <c r="K56" s="33">
        <f>'Ethanol Balance Sheet'!AF137</f>
        <v>420.10300000000001</v>
      </c>
      <c r="L56" s="33">
        <f>'Ethanol Balance Sheet'!AG137</f>
        <v>394.34938447620834</v>
      </c>
      <c r="M56" s="33">
        <f>'Ethanol Balance Sheet'!AH137</f>
        <v>412.50753944741041</v>
      </c>
      <c r="N56" s="3"/>
      <c r="X56" s="3"/>
    </row>
    <row r="57" spans="1:24">
      <c r="A57" s="31" t="str">
        <f t="shared" si="17"/>
        <v>Jun</v>
      </c>
      <c r="B57" s="32">
        <f>'Ethanol Balance Sheet'!W138</f>
        <v>395.70400000000001</v>
      </c>
      <c r="C57" s="32">
        <f>'Ethanol Balance Sheet'!X138</f>
        <v>382.79700000000003</v>
      </c>
      <c r="D57" s="32">
        <f>'Ethanol Balance Sheet'!Y138</f>
        <v>388.298</v>
      </c>
      <c r="E57" s="32">
        <f>'Ethanol Balance Sheet'!Z138</f>
        <v>421.46300000000002</v>
      </c>
      <c r="F57" s="32">
        <f>'Ethanol Balance Sheet'!AA138</f>
        <v>415.76299999999998</v>
      </c>
      <c r="G57" s="32">
        <f>'Ethanol Balance Sheet'!AB138</f>
        <v>337.66500000000002</v>
      </c>
      <c r="H57" s="32">
        <f>'Ethanol Balance Sheet'!AC138</f>
        <v>411.04199999999997</v>
      </c>
      <c r="I57" s="32">
        <f>'Ethanol Balance Sheet'!AD138</f>
        <v>407.83100000000002</v>
      </c>
      <c r="J57" s="32">
        <f>'Ethanol Balance Sheet'!AE138</f>
        <v>408.28300000000002</v>
      </c>
      <c r="K57" s="33">
        <f>'Ethanol Balance Sheet'!AF138</f>
        <v>409.86</v>
      </c>
      <c r="L57" s="33">
        <f>'Ethanol Balance Sheet'!AG138</f>
        <v>410.96119910989216</v>
      </c>
      <c r="M57" s="33">
        <f>'Ethanol Balance Sheet'!AH138</f>
        <v>414.15552446301854</v>
      </c>
      <c r="N57" s="3"/>
      <c r="X57" s="3"/>
    </row>
    <row r="58" spans="1:24">
      <c r="A58" s="31" t="str">
        <f t="shared" si="17"/>
        <v>Jul</v>
      </c>
      <c r="B58" s="32">
        <f>'Ethanol Balance Sheet'!W139</f>
        <v>401.423</v>
      </c>
      <c r="C58" s="32">
        <f>'Ethanol Balance Sheet'!X139</f>
        <v>408.50400000000002</v>
      </c>
      <c r="D58" s="32">
        <f>'Ethanol Balance Sheet'!Y139</f>
        <v>412.30500000000001</v>
      </c>
      <c r="E58" s="32">
        <f>'Ethanol Balance Sheet'!Z139</f>
        <v>438.08100000000002</v>
      </c>
      <c r="F58" s="32">
        <f>'Ethanol Balance Sheet'!AA139</f>
        <v>407.32799999999997</v>
      </c>
      <c r="G58" s="32">
        <f>'Ethanol Balance Sheet'!AB139</f>
        <v>379.06299999999999</v>
      </c>
      <c r="H58" s="32">
        <f>'Ethanol Balance Sheet'!AC139</f>
        <v>429.39100000000002</v>
      </c>
      <c r="I58" s="32">
        <f>'Ethanol Balance Sheet'!AD139</f>
        <v>413.62900000000002</v>
      </c>
      <c r="J58" s="33">
        <f>'Ethanol Balance Sheet'!AE139</f>
        <v>418.36700000000002</v>
      </c>
      <c r="K58" s="33">
        <f>'Ethanol Balance Sheet'!AF139</f>
        <v>446.78800000000001</v>
      </c>
      <c r="L58" s="33">
        <f>'Ethanol Balance Sheet'!AG139</f>
        <v>413.48667002142378</v>
      </c>
      <c r="M58" s="33">
        <f>'Ethanol Balance Sheet'!AH139</f>
        <v>413.7722326244882</v>
      </c>
      <c r="N58" s="3"/>
      <c r="X58" s="3"/>
    </row>
    <row r="59" spans="1:24">
      <c r="A59" s="31" t="str">
        <f t="shared" si="17"/>
        <v>Aug</v>
      </c>
      <c r="B59" s="32">
        <f>'Ethanol Balance Sheet'!W140</f>
        <v>398.22199999999998</v>
      </c>
      <c r="C59" s="32">
        <f>'Ethanol Balance Sheet'!X140</f>
        <v>411.40600000000001</v>
      </c>
      <c r="D59" s="32">
        <f>'Ethanol Balance Sheet'!Y140</f>
        <v>431.26799999999997</v>
      </c>
      <c r="E59" s="32">
        <f>'Ethanol Balance Sheet'!Z140</f>
        <v>441.04300000000001</v>
      </c>
      <c r="F59" s="32">
        <f>'Ethanol Balance Sheet'!AA140</f>
        <v>410.74900000000002</v>
      </c>
      <c r="G59" s="32">
        <f>'Ethanol Balance Sheet'!AB140</f>
        <v>371.3</v>
      </c>
      <c r="H59" s="32">
        <f>'Ethanol Balance Sheet'!AC140</f>
        <v>439.31200000000001</v>
      </c>
      <c r="I59" s="32">
        <f>'Ethanol Balance Sheet'!AD140</f>
        <v>402.322</v>
      </c>
      <c r="J59" s="33">
        <f>'Ethanol Balance Sheet'!AE140</f>
        <v>405.91</v>
      </c>
      <c r="K59" s="33">
        <f>'Ethanol Balance Sheet'!AF140</f>
        <v>434.02699999999999</v>
      </c>
      <c r="L59" s="33">
        <f>'Ethanol Balance Sheet'!AG140</f>
        <v>429.77582152460991</v>
      </c>
      <c r="M59" s="33">
        <f>'Ethanol Balance Sheet'!AH140</f>
        <v>438.25756875985024</v>
      </c>
      <c r="N59" s="3"/>
      <c r="X59" s="3"/>
    </row>
    <row r="60" spans="1:24">
      <c r="A60" s="31" t="str">
        <f t="shared" si="17"/>
        <v>Sep</v>
      </c>
      <c r="B60" s="32">
        <f>'Ethanol Balance Sheet'!X129</f>
        <v>382.20800000000003</v>
      </c>
      <c r="C60" s="32">
        <f>'Ethanol Balance Sheet'!Y129</f>
        <v>388.47199999999998</v>
      </c>
      <c r="D60" s="32">
        <f>'Ethanol Balance Sheet'!Z129</f>
        <v>399.97399999999999</v>
      </c>
      <c r="E60" s="32">
        <f>'Ethanol Balance Sheet'!AA129</f>
        <v>410.96600000000001</v>
      </c>
      <c r="F60" s="32">
        <f>'Ethanol Balance Sheet'!AB129</f>
        <v>365.51299999999998</v>
      </c>
      <c r="G60" s="32">
        <f>'Ethanol Balance Sheet'!AC129</f>
        <v>361.48500000000001</v>
      </c>
      <c r="H60" s="32">
        <f>'Ethanol Balance Sheet'!AD129</f>
        <v>371.20699999999999</v>
      </c>
      <c r="I60" s="32">
        <f>'Ethanol Balance Sheet'!AE129</f>
        <v>355.29399999999998</v>
      </c>
      <c r="J60" s="33">
        <f>'Ethanol Balance Sheet'!AF129</f>
        <v>395.88200000000001</v>
      </c>
      <c r="K60" s="33">
        <f>'Ethanol Balance Sheet'!AG129</f>
        <v>408.19900000000001</v>
      </c>
      <c r="L60" s="33">
        <f>'Ethanol Balance Sheet'!AH129</f>
        <v>389.74254694667559</v>
      </c>
      <c r="M60" s="33">
        <f>'Ethanol Balance Sheet'!AI129</f>
        <v>386.63421071166465</v>
      </c>
      <c r="N60" s="3"/>
      <c r="X60" s="3"/>
    </row>
    <row r="61" spans="1:24">
      <c r="A61" s="31" t="str">
        <f t="shared" si="17"/>
        <v>Oct</v>
      </c>
      <c r="B61" s="32">
        <f>'Ethanol Balance Sheet'!X130</f>
        <v>395.298</v>
      </c>
      <c r="C61" s="32">
        <f>'Ethanol Balance Sheet'!Y130</f>
        <v>407.49099999999999</v>
      </c>
      <c r="D61" s="32">
        <f>'Ethanol Balance Sheet'!Z130</f>
        <v>419.00900000000001</v>
      </c>
      <c r="E61" s="32">
        <f>'Ethanol Balance Sheet'!AA130</f>
        <v>418.64499999999998</v>
      </c>
      <c r="F61" s="32">
        <f>'Ethanol Balance Sheet'!AB130</f>
        <v>390.64699999999999</v>
      </c>
      <c r="G61" s="32">
        <f>'Ethanol Balance Sheet'!AC130</f>
        <v>389.346</v>
      </c>
      <c r="H61" s="32">
        <f>'Ethanol Balance Sheet'!AD130</f>
        <v>427.00099999999998</v>
      </c>
      <c r="I61" s="32">
        <f>'Ethanol Balance Sheet'!AE130</f>
        <v>414.44400000000002</v>
      </c>
      <c r="J61" s="33">
        <f>'Ethanol Balance Sheet'!AF130</f>
        <v>422.99400000000003</v>
      </c>
      <c r="K61" s="33">
        <f>'Ethanol Balance Sheet'!AG130</f>
        <v>431.589</v>
      </c>
      <c r="L61" s="33">
        <f>'Ethanol Balance Sheet'!AH130</f>
        <v>430.24378602683038</v>
      </c>
      <c r="M61" s="33">
        <f>'Ethanol Balance Sheet'!AI130</f>
        <v>431.15513123324973</v>
      </c>
      <c r="N61" s="3"/>
      <c r="X61" s="3"/>
    </row>
    <row r="62" spans="1:24">
      <c r="A62" s="31" t="str">
        <f t="shared" si="17"/>
        <v>Nov</v>
      </c>
      <c r="B62" s="32">
        <f>'Ethanol Balance Sheet'!X131</f>
        <v>387.77699999999999</v>
      </c>
      <c r="C62" s="32">
        <f>'Ethanol Balance Sheet'!Y131</f>
        <v>407.858</v>
      </c>
      <c r="D62" s="32">
        <f>'Ethanol Balance Sheet'!Z131</f>
        <v>429.12299999999999</v>
      </c>
      <c r="E62" s="32">
        <f>'Ethanol Balance Sheet'!AA131</f>
        <v>413.19099999999997</v>
      </c>
      <c r="F62" s="32">
        <f>'Ethanol Balance Sheet'!AB131</f>
        <v>413.47699999999998</v>
      </c>
      <c r="G62" s="32">
        <f>'Ethanol Balance Sheet'!AC131</f>
        <v>389.01600000000002</v>
      </c>
      <c r="H62" s="32">
        <f>'Ethanol Balance Sheet'!AD131</f>
        <v>429.20699999999999</v>
      </c>
      <c r="I62" s="32">
        <f>'Ethanol Balance Sheet'!AE131</f>
        <v>415.85700000000003</v>
      </c>
      <c r="J62" s="33">
        <f>'Ethanol Balance Sheet'!AF131</f>
        <v>421.50200000000001</v>
      </c>
      <c r="K62" s="33">
        <f>'Ethanol Balance Sheet'!AG131</f>
        <v>432.45299999999997</v>
      </c>
      <c r="L62" s="33">
        <f>'Ethanol Balance Sheet'!AH131</f>
        <v>422.31756389502283</v>
      </c>
      <c r="M62" s="33">
        <f>'Ethanol Balance Sheet'!AI131</f>
        <v>422.04955584751622</v>
      </c>
      <c r="N62" s="3"/>
      <c r="X62" s="3"/>
    </row>
    <row r="63" spans="1:24">
      <c r="A63" s="31" t="str">
        <f t="shared" si="17"/>
        <v>Dec</v>
      </c>
      <c r="B63" s="32">
        <f>'Ethanol Balance Sheet'!X132</f>
        <v>401.24200000000002</v>
      </c>
      <c r="C63" s="32">
        <f>'Ethanol Balance Sheet'!Y132</f>
        <v>424.89299999999997</v>
      </c>
      <c r="D63" s="32">
        <f>'Ethanol Balance Sheet'!Z132</f>
        <v>439.92899999999997</v>
      </c>
      <c r="E63" s="32">
        <f>'Ethanol Balance Sheet'!AA132</f>
        <v>418.029</v>
      </c>
      <c r="F63" s="32">
        <f>'Ethanol Balance Sheet'!AB132</f>
        <v>431.51400000000001</v>
      </c>
      <c r="G63" s="32">
        <f>'Ethanol Balance Sheet'!AC132</f>
        <v>388.22800000000001</v>
      </c>
      <c r="H63" s="32">
        <f>'Ethanol Balance Sheet'!AD132</f>
        <v>439.17200000000003</v>
      </c>
      <c r="I63" s="32">
        <f>'Ethanol Balance Sheet'!AE132</f>
        <v>391.81900000000002</v>
      </c>
      <c r="J63" s="33">
        <f>'Ethanol Balance Sheet'!AF132</f>
        <v>444.899</v>
      </c>
      <c r="K63" s="33">
        <f>'Ethanol Balance Sheet'!AG132</f>
        <v>441.62700000000001</v>
      </c>
      <c r="L63" s="33">
        <f>'Ethanol Balance Sheet'!AH132</f>
        <v>427.88809416385425</v>
      </c>
      <c r="M63" s="33">
        <f>'Ethanol Balance Sheet'!AI132</f>
        <v>435.26518062148421</v>
      </c>
      <c r="N63" s="3"/>
      <c r="X63" s="3"/>
    </row>
    <row r="64" spans="1:24" ht="15.75" thickBot="1">
      <c r="A64" s="34" t="s">
        <v>22</v>
      </c>
      <c r="B64" s="35">
        <f>SUM(B52:B63)</f>
        <v>4669.6710000000003</v>
      </c>
      <c r="C64" s="35">
        <f t="shared" ref="C64:M64" si="18">SUM(C52:C63)</f>
        <v>4734.7619999999997</v>
      </c>
      <c r="D64" s="35">
        <f t="shared" si="18"/>
        <v>4939.4390000000003</v>
      </c>
      <c r="E64" s="35">
        <f t="shared" si="18"/>
        <v>5051.1819999999989</v>
      </c>
      <c r="F64" s="35">
        <f t="shared" si="18"/>
        <v>4826.6639999999998</v>
      </c>
      <c r="G64" s="35">
        <f t="shared" si="18"/>
        <v>4267.6140000000005</v>
      </c>
      <c r="H64" s="35">
        <f t="shared" si="18"/>
        <v>4818.2309999999998</v>
      </c>
      <c r="I64" s="35">
        <f t="shared" si="18"/>
        <v>4826.8140000000003</v>
      </c>
      <c r="J64" s="36">
        <f t="shared" si="18"/>
        <v>4872.8790000000008</v>
      </c>
      <c r="K64" s="36">
        <f t="shared" si="18"/>
        <v>5069.8920000000016</v>
      </c>
      <c r="L64" s="36">
        <f t="shared" si="18"/>
        <v>4941.3068185814391</v>
      </c>
      <c r="M64" s="36">
        <f t="shared" si="18"/>
        <v>4959.9634263660737</v>
      </c>
      <c r="N64" s="3"/>
      <c r="X64" s="3"/>
    </row>
    <row r="65" spans="1:24">
      <c r="A65" s="37"/>
      <c r="B65" s="38"/>
      <c r="C65" s="39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"/>
      <c r="X65" s="3"/>
    </row>
    <row r="66" spans="1:24" ht="18.75" thickBot="1">
      <c r="A66" s="27" t="s">
        <v>24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3"/>
      <c r="X66" s="3"/>
    </row>
    <row r="67" spans="1:24" ht="15.75" thickBot="1">
      <c r="A67" s="29" t="s">
        <v>1</v>
      </c>
      <c r="B67" s="30">
        <f>B19</f>
        <v>2015</v>
      </c>
      <c r="C67" s="30">
        <f t="shared" ref="C67:M67" si="19">C19</f>
        <v>2016</v>
      </c>
      <c r="D67" s="30">
        <f t="shared" si="19"/>
        <v>2017</v>
      </c>
      <c r="E67" s="30">
        <f t="shared" si="19"/>
        <v>2018</v>
      </c>
      <c r="F67" s="30">
        <f t="shared" si="19"/>
        <v>2019</v>
      </c>
      <c r="G67" s="30">
        <f t="shared" si="19"/>
        <v>2020</v>
      </c>
      <c r="H67" s="30">
        <f t="shared" si="19"/>
        <v>2021</v>
      </c>
      <c r="I67" s="30">
        <f t="shared" si="19"/>
        <v>2022</v>
      </c>
      <c r="J67" s="30">
        <f t="shared" si="19"/>
        <v>2023</v>
      </c>
      <c r="K67" s="30">
        <f t="shared" si="19"/>
        <v>2024</v>
      </c>
      <c r="L67" s="30">
        <f t="shared" si="19"/>
        <v>2025</v>
      </c>
      <c r="M67" s="30">
        <f t="shared" si="19"/>
        <v>2026</v>
      </c>
      <c r="N67" s="3"/>
      <c r="X67" s="3"/>
    </row>
    <row r="68" spans="1:24">
      <c r="A68" s="31" t="str">
        <f t="shared" ref="A68:A79" si="20">A20</f>
        <v>Jan</v>
      </c>
      <c r="B68" s="32">
        <f>B84+B100</f>
        <v>91.272000000000006</v>
      </c>
      <c r="C68" s="32">
        <f t="shared" ref="C68:M79" si="21">C84+C100</f>
        <v>84.738</v>
      </c>
      <c r="D68" s="32">
        <f t="shared" si="21"/>
        <v>84.55</v>
      </c>
      <c r="E68" s="32">
        <f t="shared" si="21"/>
        <v>81.212999999999994</v>
      </c>
      <c r="F68" s="32">
        <f t="shared" si="21"/>
        <v>74.569000000000003</v>
      </c>
      <c r="G68" s="32">
        <f t="shared" si="21"/>
        <v>83.866000000000014</v>
      </c>
      <c r="H68" s="32">
        <f t="shared" si="21"/>
        <v>69.545000000000002</v>
      </c>
      <c r="I68" s="32">
        <f t="shared" si="21"/>
        <v>68.456999999999994</v>
      </c>
      <c r="J68" s="32">
        <f t="shared" si="21"/>
        <v>75.908999999999992</v>
      </c>
      <c r="K68" s="33">
        <f t="shared" si="21"/>
        <v>73.313796330246234</v>
      </c>
      <c r="L68" s="33">
        <f t="shared" si="21"/>
        <v>79.399391976817569</v>
      </c>
      <c r="M68" s="33">
        <f t="shared" si="21"/>
        <v>65.578158433535918</v>
      </c>
      <c r="N68" s="3"/>
      <c r="X68" s="3"/>
    </row>
    <row r="69" spans="1:24">
      <c r="A69" s="31" t="str">
        <f t="shared" si="20"/>
        <v>Feb</v>
      </c>
      <c r="B69" s="32">
        <f t="shared" ref="B69:K79" si="22">B85+B101</f>
        <v>77.903999999999996</v>
      </c>
      <c r="C69" s="32">
        <f t="shared" si="22"/>
        <v>88.021000000000001</v>
      </c>
      <c r="D69" s="32">
        <f t="shared" si="22"/>
        <v>85.787999999999997</v>
      </c>
      <c r="E69" s="32">
        <f t="shared" si="22"/>
        <v>83.962000000000003</v>
      </c>
      <c r="F69" s="32">
        <f t="shared" si="22"/>
        <v>76.401999999999987</v>
      </c>
      <c r="G69" s="32">
        <f t="shared" si="22"/>
        <v>78.431000000000012</v>
      </c>
      <c r="H69" s="32">
        <f t="shared" si="22"/>
        <v>69.554000000000002</v>
      </c>
      <c r="I69" s="32">
        <f t="shared" si="22"/>
        <v>72.070999999999998</v>
      </c>
      <c r="J69" s="32">
        <f t="shared" si="21"/>
        <v>71.903711519976696</v>
      </c>
      <c r="K69" s="33">
        <f t="shared" si="21"/>
        <v>71.276251883045347</v>
      </c>
      <c r="L69" s="33">
        <f t="shared" si="21"/>
        <v>69.194589619962784</v>
      </c>
      <c r="M69" s="33">
        <f t="shared" si="21"/>
        <v>65.740294120499783</v>
      </c>
      <c r="N69" s="3"/>
      <c r="X69" s="3"/>
    </row>
    <row r="70" spans="1:24">
      <c r="A70" s="31" t="str">
        <f t="shared" si="20"/>
        <v>Mar</v>
      </c>
      <c r="B70" s="32">
        <f t="shared" si="22"/>
        <v>90.44</v>
      </c>
      <c r="C70" s="32">
        <f t="shared" si="22"/>
        <v>86.475999999999999</v>
      </c>
      <c r="D70" s="32">
        <f t="shared" si="22"/>
        <v>91.704999999999998</v>
      </c>
      <c r="E70" s="32">
        <f t="shared" si="22"/>
        <v>82.986999999999995</v>
      </c>
      <c r="F70" s="32">
        <f t="shared" si="22"/>
        <v>83.352999999999994</v>
      </c>
      <c r="G70" s="32">
        <f t="shared" si="22"/>
        <v>74.085999999999999</v>
      </c>
      <c r="H70" s="32">
        <f t="shared" si="22"/>
        <v>79.463999999999999</v>
      </c>
      <c r="I70" s="32">
        <f t="shared" si="22"/>
        <v>71.963999999999999</v>
      </c>
      <c r="J70" s="32">
        <f t="shared" si="21"/>
        <v>80.200156310416062</v>
      </c>
      <c r="K70" s="33">
        <f t="shared" si="21"/>
        <v>79.843275663291251</v>
      </c>
      <c r="L70" s="33">
        <f t="shared" si="21"/>
        <v>71.901182657844117</v>
      </c>
      <c r="M70" s="33">
        <f t="shared" si="21"/>
        <v>69.660994396308269</v>
      </c>
      <c r="N70" s="3"/>
      <c r="X70" s="3"/>
    </row>
    <row r="71" spans="1:24">
      <c r="A71" s="31" t="str">
        <f t="shared" si="20"/>
        <v>Apr</v>
      </c>
      <c r="B71" s="32">
        <f t="shared" si="22"/>
        <v>87.599000000000004</v>
      </c>
      <c r="C71" s="32">
        <f t="shared" si="22"/>
        <v>89.796999999999997</v>
      </c>
      <c r="D71" s="32">
        <f t="shared" si="22"/>
        <v>91.73</v>
      </c>
      <c r="E71" s="32">
        <f t="shared" si="22"/>
        <v>83.963999999999999</v>
      </c>
      <c r="F71" s="32">
        <f t="shared" si="22"/>
        <v>83.935000000000002</v>
      </c>
      <c r="G71" s="32">
        <f t="shared" si="22"/>
        <v>82.405000000000001</v>
      </c>
      <c r="H71" s="32">
        <f t="shared" si="22"/>
        <v>80.180000000000007</v>
      </c>
      <c r="I71" s="32">
        <f t="shared" si="22"/>
        <v>78.007000000000005</v>
      </c>
      <c r="J71" s="32">
        <f t="shared" si="21"/>
        <v>76.06455913991941</v>
      </c>
      <c r="K71" s="33">
        <f t="shared" si="21"/>
        <v>75.572149025920979</v>
      </c>
      <c r="L71" s="33">
        <f t="shared" si="21"/>
        <v>76.312242590797098</v>
      </c>
      <c r="M71" s="33">
        <f t="shared" si="21"/>
        <v>77.167284175712524</v>
      </c>
      <c r="N71" s="3"/>
      <c r="X71" s="3"/>
    </row>
    <row r="72" spans="1:24">
      <c r="A72" s="31" t="str">
        <f t="shared" si="20"/>
        <v>May</v>
      </c>
      <c r="B72" s="32">
        <f t="shared" si="22"/>
        <v>95.346000000000004</v>
      </c>
      <c r="C72" s="32">
        <f t="shared" si="22"/>
        <v>89.316000000000003</v>
      </c>
      <c r="D72" s="32">
        <f t="shared" si="22"/>
        <v>92.506</v>
      </c>
      <c r="E72" s="32">
        <f t="shared" si="22"/>
        <v>86.113</v>
      </c>
      <c r="F72" s="32">
        <f t="shared" si="22"/>
        <v>87.335999999999999</v>
      </c>
      <c r="G72" s="32">
        <f t="shared" si="22"/>
        <v>79.169000000000011</v>
      </c>
      <c r="H72" s="32">
        <f t="shared" si="22"/>
        <v>83.787000000000006</v>
      </c>
      <c r="I72" s="32">
        <f t="shared" si="22"/>
        <v>81.36099999999999</v>
      </c>
      <c r="J72" s="32">
        <f t="shared" si="21"/>
        <v>76.650510592082895</v>
      </c>
      <c r="K72" s="33">
        <f t="shared" si="21"/>
        <v>79.453895838154949</v>
      </c>
      <c r="L72" s="33">
        <f t="shared" si="21"/>
        <v>75.857185577301792</v>
      </c>
      <c r="M72" s="33">
        <f t="shared" si="21"/>
        <v>76.966964888428535</v>
      </c>
      <c r="N72" s="3"/>
      <c r="X72" s="3"/>
    </row>
    <row r="73" spans="1:24">
      <c r="A73" s="31" t="str">
        <f t="shared" si="20"/>
        <v>Jun</v>
      </c>
      <c r="B73" s="32">
        <f t="shared" si="22"/>
        <v>88.418999999999997</v>
      </c>
      <c r="C73" s="32">
        <f t="shared" si="22"/>
        <v>90.944000000000003</v>
      </c>
      <c r="D73" s="32">
        <f t="shared" si="22"/>
        <v>86.480999999999995</v>
      </c>
      <c r="E73" s="32">
        <f t="shared" si="22"/>
        <v>88.545999999999992</v>
      </c>
      <c r="F73" s="32">
        <f t="shared" si="22"/>
        <v>87.010999999999996</v>
      </c>
      <c r="G73" s="32">
        <f t="shared" si="22"/>
        <v>84.706000000000003</v>
      </c>
      <c r="H73" s="32">
        <f t="shared" si="22"/>
        <v>79.540999999999997</v>
      </c>
      <c r="I73" s="32">
        <f t="shared" si="22"/>
        <v>73.657000000000011</v>
      </c>
      <c r="J73" s="32">
        <f>J89+J105</f>
        <v>76.546374162166842</v>
      </c>
      <c r="K73" s="33">
        <f t="shared" si="21"/>
        <v>78.72500760884094</v>
      </c>
      <c r="L73" s="33">
        <f t="shared" si="21"/>
        <v>73.219906837958035</v>
      </c>
      <c r="M73" s="33">
        <f t="shared" si="21"/>
        <v>72.196740927738688</v>
      </c>
      <c r="N73" s="3"/>
      <c r="X73" s="3"/>
    </row>
    <row r="74" spans="1:24">
      <c r="A74" s="31" t="str">
        <f t="shared" si="20"/>
        <v>Jul</v>
      </c>
      <c r="B74" s="32">
        <f t="shared" si="22"/>
        <v>91.116</v>
      </c>
      <c r="C74" s="32">
        <f t="shared" si="22"/>
        <v>91.515000000000001</v>
      </c>
      <c r="D74" s="32">
        <f t="shared" si="22"/>
        <v>95.807999999999993</v>
      </c>
      <c r="E74" s="32">
        <f t="shared" si="22"/>
        <v>87.584000000000003</v>
      </c>
      <c r="F74" s="32">
        <f t="shared" si="22"/>
        <v>88.113</v>
      </c>
      <c r="G74" s="32">
        <f t="shared" si="22"/>
        <v>80.49799999999999</v>
      </c>
      <c r="H74" s="32">
        <f t="shared" si="22"/>
        <v>82.075999999999993</v>
      </c>
      <c r="I74" s="32">
        <f t="shared" si="22"/>
        <v>71.760999999999996</v>
      </c>
      <c r="J74" s="33">
        <f t="shared" si="22"/>
        <v>80.643207591433082</v>
      </c>
      <c r="K74" s="33">
        <f t="shared" si="22"/>
        <v>80.763777326758614</v>
      </c>
      <c r="L74" s="33">
        <f t="shared" si="21"/>
        <v>72.324136784138702</v>
      </c>
      <c r="M74" s="33">
        <f t="shared" si="21"/>
        <v>70.467139956789254</v>
      </c>
      <c r="N74" s="3"/>
      <c r="X74" s="3"/>
    </row>
    <row r="75" spans="1:24">
      <c r="A75" s="31" t="str">
        <f t="shared" si="20"/>
        <v>Aug</v>
      </c>
      <c r="B75" s="32">
        <f t="shared" si="22"/>
        <v>90.006</v>
      </c>
      <c r="C75" s="32">
        <f t="shared" si="22"/>
        <v>90.418000000000006</v>
      </c>
      <c r="D75" s="32">
        <f t="shared" si="22"/>
        <v>96.721000000000004</v>
      </c>
      <c r="E75" s="32">
        <f t="shared" si="22"/>
        <v>83.238</v>
      </c>
      <c r="F75" s="32">
        <f t="shared" si="22"/>
        <v>84.078000000000003</v>
      </c>
      <c r="G75" s="32">
        <f t="shared" si="22"/>
        <v>78.796999999999997</v>
      </c>
      <c r="H75" s="32">
        <f t="shared" si="22"/>
        <v>79.643000000000001</v>
      </c>
      <c r="I75" s="32">
        <f t="shared" si="22"/>
        <v>69.00200000000001</v>
      </c>
      <c r="J75" s="33">
        <f t="shared" si="22"/>
        <v>78.605693582067829</v>
      </c>
      <c r="K75" s="33">
        <f t="shared" si="22"/>
        <v>81.273502106703233</v>
      </c>
      <c r="L75" s="33">
        <f t="shared" si="21"/>
        <v>71.057718003484695</v>
      </c>
      <c r="M75" s="33">
        <f t="shared" si="21"/>
        <v>71.121871050730874</v>
      </c>
      <c r="N75" s="3"/>
      <c r="X75" s="3"/>
    </row>
    <row r="76" spans="1:24">
      <c r="A76" s="31" t="str">
        <f t="shared" si="20"/>
        <v>Sep</v>
      </c>
      <c r="B76" s="32">
        <f t="shared" si="22"/>
        <v>86.991</v>
      </c>
      <c r="C76" s="32">
        <f t="shared" si="22"/>
        <v>89.363</v>
      </c>
      <c r="D76" s="32">
        <f t="shared" si="22"/>
        <v>94.474999999999994</v>
      </c>
      <c r="E76" s="32">
        <f t="shared" si="22"/>
        <v>84.811000000000007</v>
      </c>
      <c r="F76" s="32">
        <f t="shared" si="22"/>
        <v>82.13300000000001</v>
      </c>
      <c r="G76" s="32">
        <f t="shared" si="22"/>
        <v>83.573999999999998</v>
      </c>
      <c r="H76" s="32">
        <f t="shared" si="22"/>
        <v>80.122</v>
      </c>
      <c r="I76" s="32">
        <f t="shared" si="22"/>
        <v>68.698999999999998</v>
      </c>
      <c r="J76" s="33">
        <f t="shared" si="22"/>
        <v>74.585026013618318</v>
      </c>
      <c r="K76" s="33">
        <f t="shared" si="22"/>
        <v>77.588736792023298</v>
      </c>
      <c r="L76" s="33">
        <f t="shared" si="21"/>
        <v>71.656006909243928</v>
      </c>
      <c r="M76" s="33">
        <f t="shared" si="21"/>
        <v>69.437668521914944</v>
      </c>
      <c r="N76" s="3"/>
      <c r="X76" s="3"/>
    </row>
    <row r="77" spans="1:24">
      <c r="A77" s="31" t="str">
        <f t="shared" si="20"/>
        <v>Oct</v>
      </c>
      <c r="B77" s="32">
        <f t="shared" si="22"/>
        <v>88.512</v>
      </c>
      <c r="C77" s="32">
        <f t="shared" si="22"/>
        <v>86.748999999999995</v>
      </c>
      <c r="D77" s="32">
        <f t="shared" si="22"/>
        <v>90.748000000000005</v>
      </c>
      <c r="E77" s="32">
        <f t="shared" si="22"/>
        <v>82.210999999999999</v>
      </c>
      <c r="F77" s="32">
        <f t="shared" si="22"/>
        <v>82.759999999999991</v>
      </c>
      <c r="G77" s="32">
        <f t="shared" si="22"/>
        <v>80.931000000000012</v>
      </c>
      <c r="H77" s="32">
        <f t="shared" si="22"/>
        <v>79.407999999999987</v>
      </c>
      <c r="I77" s="32">
        <f t="shared" si="22"/>
        <v>78.649000000000001</v>
      </c>
      <c r="J77" s="33">
        <f t="shared" si="22"/>
        <v>78.371926681706697</v>
      </c>
      <c r="K77" s="33">
        <f t="shared" si="22"/>
        <v>76.705979421059993</v>
      </c>
      <c r="L77" s="33">
        <f t="shared" si="21"/>
        <v>73.54704566229529</v>
      </c>
      <c r="M77" s="33">
        <f t="shared" si="21"/>
        <v>71.465936544176202</v>
      </c>
      <c r="N77" s="3"/>
    </row>
    <row r="78" spans="1:24">
      <c r="A78" s="31" t="str">
        <f t="shared" si="20"/>
        <v>Nov</v>
      </c>
      <c r="B78" s="32">
        <f t="shared" si="22"/>
        <v>90.998999999999995</v>
      </c>
      <c r="C78" s="32">
        <f t="shared" si="22"/>
        <v>94.103999999999999</v>
      </c>
      <c r="D78" s="32">
        <f t="shared" si="22"/>
        <v>88.271999999999991</v>
      </c>
      <c r="E78" s="32">
        <f t="shared" si="22"/>
        <v>83.863</v>
      </c>
      <c r="F78" s="32">
        <f t="shared" si="22"/>
        <v>88.13300000000001</v>
      </c>
      <c r="G78" s="32">
        <f t="shared" si="22"/>
        <v>82.623999999999995</v>
      </c>
      <c r="H78" s="32">
        <f t="shared" si="22"/>
        <v>79.498000000000005</v>
      </c>
      <c r="I78" s="32">
        <f t="shared" si="22"/>
        <v>74.837999999999994</v>
      </c>
      <c r="J78" s="33">
        <f t="shared" si="22"/>
        <v>76.271261562470897</v>
      </c>
      <c r="K78" s="33">
        <f t="shared" si="22"/>
        <v>79.844246960848807</v>
      </c>
      <c r="L78" s="33">
        <f t="shared" si="21"/>
        <v>72.294926381248942</v>
      </c>
      <c r="M78" s="33">
        <f t="shared" si="21"/>
        <v>70.143451619583089</v>
      </c>
      <c r="N78" s="3"/>
    </row>
    <row r="79" spans="1:24">
      <c r="A79" s="31" t="str">
        <f t="shared" si="20"/>
        <v>Dec</v>
      </c>
      <c r="B79" s="32">
        <f t="shared" si="22"/>
        <v>88.731999999999999</v>
      </c>
      <c r="C79" s="32">
        <f t="shared" si="22"/>
        <v>92.644000000000005</v>
      </c>
      <c r="D79" s="32">
        <f t="shared" si="22"/>
        <v>85.908000000000001</v>
      </c>
      <c r="E79" s="32">
        <f t="shared" si="22"/>
        <v>79.426999999999992</v>
      </c>
      <c r="F79" s="32">
        <f t="shared" si="22"/>
        <v>87.856999999999999</v>
      </c>
      <c r="G79" s="32">
        <f t="shared" si="22"/>
        <v>79.218000000000004</v>
      </c>
      <c r="H79" s="32">
        <f t="shared" si="22"/>
        <v>76.359000000000009</v>
      </c>
      <c r="I79" s="32">
        <f t="shared" si="22"/>
        <v>72.268000000000001</v>
      </c>
      <c r="J79" s="33">
        <f t="shared" si="22"/>
        <v>80.763572844141351</v>
      </c>
      <c r="K79" s="33">
        <f t="shared" si="22"/>
        <v>78.471381043106362</v>
      </c>
      <c r="L79" s="33">
        <f t="shared" si="21"/>
        <v>71.054110820690653</v>
      </c>
      <c r="M79" s="33">
        <f t="shared" si="21"/>
        <v>69.72223350957421</v>
      </c>
      <c r="N79" s="3"/>
    </row>
    <row r="80" spans="1:24" ht="15.75" thickBot="1">
      <c r="A80" s="34" t="s">
        <v>22</v>
      </c>
      <c r="B80" s="35">
        <f>SUM(B68:B79)</f>
        <v>1067.336</v>
      </c>
      <c r="C80" s="35">
        <f t="shared" ref="C80:M80" si="23">SUM(C68:C79)</f>
        <v>1074.085</v>
      </c>
      <c r="D80" s="35">
        <f t="shared" si="23"/>
        <v>1084.692</v>
      </c>
      <c r="E80" s="35">
        <f t="shared" si="23"/>
        <v>1007.919</v>
      </c>
      <c r="F80" s="35">
        <f t="shared" si="23"/>
        <v>1005.6800000000001</v>
      </c>
      <c r="G80" s="35">
        <f t="shared" si="23"/>
        <v>968.30500000000006</v>
      </c>
      <c r="H80" s="35">
        <f t="shared" si="23"/>
        <v>939.17700000000002</v>
      </c>
      <c r="I80" s="35">
        <f t="shared" si="23"/>
        <v>880.73399999999992</v>
      </c>
      <c r="J80" s="36">
        <f t="shared" si="23"/>
        <v>926.51499999999999</v>
      </c>
      <c r="K80" s="36">
        <f t="shared" si="23"/>
        <v>932.83199999999999</v>
      </c>
      <c r="L80" s="36">
        <f t="shared" si="23"/>
        <v>877.8184438217836</v>
      </c>
      <c r="M80" s="36">
        <f t="shared" si="23"/>
        <v>849.66873814499218</v>
      </c>
      <c r="N80" s="3"/>
    </row>
    <row r="81" spans="1:14">
      <c r="A81" s="37"/>
      <c r="B81" s="38"/>
      <c r="C81" s="39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"/>
    </row>
    <row r="82" spans="1:14" ht="18.75" thickBot="1">
      <c r="A82" s="27" t="s">
        <v>25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3"/>
    </row>
    <row r="83" spans="1:14" ht="15.75" thickBot="1">
      <c r="A83" s="29" t="s">
        <v>1</v>
      </c>
      <c r="B83" s="30">
        <f>B19</f>
        <v>2015</v>
      </c>
      <c r="C83" s="30">
        <f t="shared" ref="C83:M83" si="24">C19</f>
        <v>2016</v>
      </c>
      <c r="D83" s="30">
        <f t="shared" si="24"/>
        <v>2017</v>
      </c>
      <c r="E83" s="30">
        <f t="shared" si="24"/>
        <v>2018</v>
      </c>
      <c r="F83" s="30">
        <f t="shared" si="24"/>
        <v>2019</v>
      </c>
      <c r="G83" s="30">
        <f t="shared" si="24"/>
        <v>2020</v>
      </c>
      <c r="H83" s="30">
        <f t="shared" si="24"/>
        <v>2021</v>
      </c>
      <c r="I83" s="30">
        <f t="shared" si="24"/>
        <v>2022</v>
      </c>
      <c r="J83" s="30">
        <f t="shared" si="24"/>
        <v>2023</v>
      </c>
      <c r="K83" s="30">
        <f t="shared" si="24"/>
        <v>2024</v>
      </c>
      <c r="L83" s="30">
        <f t="shared" si="24"/>
        <v>2025</v>
      </c>
      <c r="M83" s="30">
        <f t="shared" si="24"/>
        <v>2026</v>
      </c>
      <c r="N83" s="3"/>
    </row>
    <row r="84" spans="1:14">
      <c r="A84" s="31" t="str">
        <f t="shared" ref="A84:A95" si="25">A20</f>
        <v>Jan</v>
      </c>
      <c r="B84" s="32">
        <f>'Ethanol Balance Sheet'!W148</f>
        <v>47.883000000000003</v>
      </c>
      <c r="C84" s="32">
        <f>'Ethanol Balance Sheet'!X149</f>
        <v>43.406999999999996</v>
      </c>
      <c r="D84" s="32">
        <f>'Ethanol Balance Sheet'!Y149</f>
        <v>41.113999999999997</v>
      </c>
      <c r="E84" s="32">
        <f>'Ethanol Balance Sheet'!Z149</f>
        <v>40.304000000000002</v>
      </c>
      <c r="F84" s="32">
        <f>'Ethanol Balance Sheet'!AA149</f>
        <v>35.621000000000002</v>
      </c>
      <c r="G84" s="32">
        <f>'Ethanol Balance Sheet'!AB149</f>
        <v>43.404000000000003</v>
      </c>
      <c r="H84" s="32">
        <f>'Ethanol Balance Sheet'!AC149</f>
        <v>30.263000000000002</v>
      </c>
      <c r="I84" s="32">
        <f>'Ethanol Balance Sheet'!AD149</f>
        <v>27.620999999999999</v>
      </c>
      <c r="J84" s="32">
        <f>'Ethanol Balance Sheet'!AE149</f>
        <v>37.07</v>
      </c>
      <c r="K84" s="33">
        <f>'Ethanol Balance Sheet'!AF149</f>
        <v>33.112000000000002</v>
      </c>
      <c r="L84" s="33">
        <f>'Ethanol Balance Sheet'!AG149</f>
        <v>38.933999999999997</v>
      </c>
      <c r="M84" s="33">
        <f>'Ethanol Balance Sheet'!AH149</f>
        <v>25.588169081470767</v>
      </c>
      <c r="N84" s="3"/>
    </row>
    <row r="85" spans="1:14">
      <c r="A85" s="31" t="str">
        <f t="shared" si="25"/>
        <v>Feb</v>
      </c>
      <c r="B85" s="32">
        <f>'Ethanol Balance Sheet'!W149</f>
        <v>40.32</v>
      </c>
      <c r="C85" s="32">
        <f>'Ethanol Balance Sheet'!X150</f>
        <v>47.463000000000001</v>
      </c>
      <c r="D85" s="32">
        <f>'Ethanol Balance Sheet'!Y150</f>
        <v>46.65</v>
      </c>
      <c r="E85" s="32">
        <f>'Ethanol Balance Sheet'!Z150</f>
        <v>43.996000000000002</v>
      </c>
      <c r="F85" s="32">
        <f>'Ethanol Balance Sheet'!AA150</f>
        <v>39.116999999999997</v>
      </c>
      <c r="G85" s="32">
        <f>'Ethanol Balance Sheet'!AB150</f>
        <v>40.234000000000002</v>
      </c>
      <c r="H85" s="32">
        <f>'Ethanol Balance Sheet'!AC150</f>
        <v>35.531999999999996</v>
      </c>
      <c r="I85" s="32">
        <f>'Ethanol Balance Sheet'!AD150</f>
        <v>33.606999999999999</v>
      </c>
      <c r="J85" s="32">
        <f>'Ethanol Balance Sheet'!AE150</f>
        <v>34.000999999999998</v>
      </c>
      <c r="K85" s="33">
        <f>'Ethanol Balance Sheet'!AF150</f>
        <v>33.606999999999999</v>
      </c>
      <c r="L85" s="33">
        <f>'Ethanol Balance Sheet'!AG150</f>
        <v>31.438603068028954</v>
      </c>
      <c r="M85" s="33">
        <f>'Ethanol Balance Sheet'!AH150</f>
        <v>28.516859710167296</v>
      </c>
      <c r="N85" s="3"/>
    </row>
    <row r="86" spans="1:14">
      <c r="A86" s="31" t="str">
        <f t="shared" si="25"/>
        <v>Mar</v>
      </c>
      <c r="B86" s="32">
        <f>'Ethanol Balance Sheet'!W150</f>
        <v>46.091999999999999</v>
      </c>
      <c r="C86" s="32">
        <f>'Ethanol Balance Sheet'!X151</f>
        <v>42.34</v>
      </c>
      <c r="D86" s="32">
        <f>'Ethanol Balance Sheet'!Y151</f>
        <v>47.143999999999998</v>
      </c>
      <c r="E86" s="32">
        <f>'Ethanol Balance Sheet'!Z151</f>
        <v>39.591000000000001</v>
      </c>
      <c r="F86" s="32">
        <f>'Ethanol Balance Sheet'!AA151</f>
        <v>40.747999999999998</v>
      </c>
      <c r="G86" s="32">
        <f>'Ethanol Balance Sheet'!AB151</f>
        <v>31.077999999999999</v>
      </c>
      <c r="H86" s="32">
        <f>'Ethanol Balance Sheet'!AC151</f>
        <v>37.305</v>
      </c>
      <c r="I86" s="32">
        <f>'Ethanol Balance Sheet'!AD151</f>
        <v>28.995999999999999</v>
      </c>
      <c r="J86" s="32">
        <f>'Ethanol Balance Sheet'!AE151</f>
        <v>37.012999999999998</v>
      </c>
      <c r="K86" s="33">
        <f>'Ethanol Balance Sheet'!AF151</f>
        <v>36.488</v>
      </c>
      <c r="L86" s="33">
        <f>'Ethanol Balance Sheet'!AG151</f>
        <v>28.383640432327923</v>
      </c>
      <c r="M86" s="33">
        <f>'Ethanol Balance Sheet'!AH151</f>
        <v>26.553368612536644</v>
      </c>
      <c r="N86" s="3"/>
    </row>
    <row r="87" spans="1:14">
      <c r="A87" s="31" t="str">
        <f t="shared" si="25"/>
        <v>Apr</v>
      </c>
      <c r="B87" s="32">
        <f>'Ethanol Balance Sheet'!W151</f>
        <v>42.691000000000003</v>
      </c>
      <c r="C87" s="32">
        <f>'Ethanol Balance Sheet'!X152</f>
        <v>46.21</v>
      </c>
      <c r="D87" s="32">
        <f>'Ethanol Balance Sheet'!Y152</f>
        <v>46.95</v>
      </c>
      <c r="E87" s="32">
        <f>'Ethanol Balance Sheet'!Z152</f>
        <v>40.08</v>
      </c>
      <c r="F87" s="32">
        <f>'Ethanol Balance Sheet'!AA152</f>
        <v>41.204999999999998</v>
      </c>
      <c r="G87" s="32">
        <f>'Ethanol Balance Sheet'!AB152</f>
        <v>44.317</v>
      </c>
      <c r="H87" s="32">
        <f>'Ethanol Balance Sheet'!AC152</f>
        <v>36.662999999999997</v>
      </c>
      <c r="I87" s="32">
        <f>'Ethanol Balance Sheet'!AD152</f>
        <v>33.872999999999998</v>
      </c>
      <c r="J87" s="32">
        <f>'Ethanol Balance Sheet'!AE152</f>
        <v>33.237000000000002</v>
      </c>
      <c r="K87" s="33">
        <f>'Ethanol Balance Sheet'!AF152</f>
        <v>32.75</v>
      </c>
      <c r="L87" s="33">
        <f>'Ethanol Balance Sheet'!AG152</f>
        <v>33.461361857646978</v>
      </c>
      <c r="M87" s="33">
        <f>'Ethanol Balance Sheet'!AH152</f>
        <v>33.866420629024162</v>
      </c>
      <c r="N87" s="3"/>
    </row>
    <row r="88" spans="1:14">
      <c r="A88" s="31" t="str">
        <f t="shared" si="25"/>
        <v>May</v>
      </c>
      <c r="B88" s="32">
        <f>'Ethanol Balance Sheet'!W152</f>
        <v>47.720999999999997</v>
      </c>
      <c r="C88" s="32">
        <f>'Ethanol Balance Sheet'!X153</f>
        <v>44.761000000000003</v>
      </c>
      <c r="D88" s="32">
        <f>'Ethanol Balance Sheet'!Y153</f>
        <v>46.043999999999997</v>
      </c>
      <c r="E88" s="32">
        <f>'Ethanol Balance Sheet'!Z153</f>
        <v>41.277000000000001</v>
      </c>
      <c r="F88" s="32">
        <f>'Ethanol Balance Sheet'!AA153</f>
        <v>40.667999999999999</v>
      </c>
      <c r="G88" s="32">
        <f>'Ethanol Balance Sheet'!AB153</f>
        <v>41.551000000000002</v>
      </c>
      <c r="H88" s="32">
        <f>'Ethanol Balance Sheet'!AC153</f>
        <v>39.295000000000002</v>
      </c>
      <c r="I88" s="32">
        <f>'Ethanol Balance Sheet'!AD153</f>
        <v>36.344999999999999</v>
      </c>
      <c r="J88" s="32">
        <f>'Ethanol Balance Sheet'!AE153</f>
        <v>32.557000000000002</v>
      </c>
      <c r="K88" s="33">
        <f>'Ethanol Balance Sheet'!AF153</f>
        <v>35.295999999999999</v>
      </c>
      <c r="L88" s="33">
        <f>'Ethanol Balance Sheet'!AG153</f>
        <v>32.197750616770122</v>
      </c>
      <c r="M88" s="33">
        <f>'Ethanol Balance Sheet'!AH153</f>
        <v>32.610931761103586</v>
      </c>
      <c r="N88" s="3"/>
    </row>
    <row r="89" spans="1:14">
      <c r="A89" s="31" t="str">
        <f t="shared" si="25"/>
        <v>Jun</v>
      </c>
      <c r="B89" s="32">
        <f>'Ethanol Balance Sheet'!W153</f>
        <v>45.567999999999998</v>
      </c>
      <c r="C89" s="32">
        <f>'Ethanol Balance Sheet'!X154</f>
        <v>47.917999999999999</v>
      </c>
      <c r="D89" s="32">
        <f>'Ethanol Balance Sheet'!Y154</f>
        <v>42.481000000000002</v>
      </c>
      <c r="E89" s="32">
        <f>'Ethanol Balance Sheet'!Z154</f>
        <v>43.238999999999997</v>
      </c>
      <c r="F89" s="32">
        <f>'Ethanol Balance Sheet'!AA154</f>
        <v>43.454000000000001</v>
      </c>
      <c r="G89" s="32">
        <f>'Ethanol Balance Sheet'!AB154</f>
        <v>44.991</v>
      </c>
      <c r="H89" s="32">
        <f>'Ethanol Balance Sheet'!AC154</f>
        <v>37.659999999999997</v>
      </c>
      <c r="I89" s="32">
        <f>'Ethanol Balance Sheet'!AD154</f>
        <v>32.112000000000002</v>
      </c>
      <c r="J89" s="32">
        <f>'Ethanol Balance Sheet'!AE154</f>
        <v>33.789000000000001</v>
      </c>
      <c r="K89" s="33">
        <f>'Ethanol Balance Sheet'!AF154</f>
        <v>36.276000000000003</v>
      </c>
      <c r="L89" s="33">
        <f>'Ethanol Balance Sheet'!AG154</f>
        <v>30.985537344913098</v>
      </c>
      <c r="M89" s="33">
        <f>'Ethanol Balance Sheet'!AH154</f>
        <v>29.95456972961216</v>
      </c>
      <c r="N89" s="3"/>
    </row>
    <row r="90" spans="1:14">
      <c r="A90" s="31" t="str">
        <f t="shared" si="25"/>
        <v>Jul</v>
      </c>
      <c r="B90" s="32">
        <f>'Ethanol Balance Sheet'!W154</f>
        <v>46.976999999999997</v>
      </c>
      <c r="C90" s="32">
        <f>'Ethanol Balance Sheet'!X155</f>
        <v>46.951000000000001</v>
      </c>
      <c r="D90" s="32">
        <f>'Ethanol Balance Sheet'!Y155</f>
        <v>50.273000000000003</v>
      </c>
      <c r="E90" s="32">
        <f>'Ethanol Balance Sheet'!Z155</f>
        <v>42.331000000000003</v>
      </c>
      <c r="F90" s="32">
        <f>'Ethanol Balance Sheet'!AA155</f>
        <v>43.884</v>
      </c>
      <c r="G90" s="32">
        <f>'Ethanol Balance Sheet'!AB155</f>
        <v>39.808999999999997</v>
      </c>
      <c r="H90" s="32">
        <f>'Ethanol Balance Sheet'!AC155</f>
        <v>38.706000000000003</v>
      </c>
      <c r="I90" s="32">
        <f>'Ethanol Balance Sheet'!AD155</f>
        <v>28.28</v>
      </c>
      <c r="J90" s="33">
        <f>'Ethanol Balance Sheet'!AE155</f>
        <v>36.874000000000002</v>
      </c>
      <c r="K90" s="33">
        <f>'Ethanol Balance Sheet'!AF155</f>
        <v>37.082000000000001</v>
      </c>
      <c r="L90" s="33">
        <f>'Ethanol Balance Sheet'!AG155</f>
        <v>28.74303383229892</v>
      </c>
      <c r="M90" s="33">
        <f>'Ethanol Balance Sheet'!AH155</f>
        <v>26.819411503586991</v>
      </c>
      <c r="N90" s="3"/>
    </row>
    <row r="91" spans="1:14">
      <c r="A91" s="31" t="str">
        <f t="shared" si="25"/>
        <v>Aug</v>
      </c>
      <c r="B91" s="32">
        <f>'Ethanol Balance Sheet'!W155</f>
        <v>47.496000000000002</v>
      </c>
      <c r="C91" s="32">
        <f>'Ethanol Balance Sheet'!X156</f>
        <v>46.747999999999998</v>
      </c>
      <c r="D91" s="32">
        <f>'Ethanol Balance Sheet'!Y156</f>
        <v>45.56</v>
      </c>
      <c r="E91" s="32">
        <f>'Ethanol Balance Sheet'!Z156</f>
        <v>38.322000000000003</v>
      </c>
      <c r="F91" s="32">
        <f>'Ethanol Balance Sheet'!AA156</f>
        <v>40.171999999999997</v>
      </c>
      <c r="G91" s="32">
        <f>'Ethanol Balance Sheet'!AB156</f>
        <v>40.046999999999997</v>
      </c>
      <c r="H91" s="32">
        <f>'Ethanol Balance Sheet'!AC156</f>
        <v>35.923999999999999</v>
      </c>
      <c r="I91" s="32">
        <f>'Ethanol Balance Sheet'!AD156</f>
        <v>27.978999999999999</v>
      </c>
      <c r="J91" s="33">
        <f>'Ethanol Balance Sheet'!AE156</f>
        <v>35.786000000000001</v>
      </c>
      <c r="K91" s="33">
        <f>'Ethanol Balance Sheet'!AF156</f>
        <v>38.67</v>
      </c>
      <c r="L91" s="33">
        <f>'Ethanol Balance Sheet'!AG156</f>
        <v>28.708246210606376</v>
      </c>
      <c r="M91" s="33">
        <f>'Ethanol Balance Sheet'!AH156</f>
        <v>28.549578775826717</v>
      </c>
      <c r="N91" s="3"/>
    </row>
    <row r="92" spans="1:14">
      <c r="A92" s="31" t="str">
        <f t="shared" si="25"/>
        <v>Sep</v>
      </c>
      <c r="B92" s="32">
        <f>'Ethanol Balance Sheet'!X145</f>
        <v>45.085000000000001</v>
      </c>
      <c r="C92" s="32">
        <f>'Ethanol Balance Sheet'!Y145</f>
        <v>48.328000000000003</v>
      </c>
      <c r="D92" s="32">
        <f>'Ethanol Balance Sheet'!Z145</f>
        <v>51.082000000000001</v>
      </c>
      <c r="E92" s="32">
        <f>'Ethanol Balance Sheet'!AA145</f>
        <v>43.238</v>
      </c>
      <c r="F92" s="32">
        <f>'Ethanol Balance Sheet'!AB145</f>
        <v>42.45</v>
      </c>
      <c r="G92" s="32">
        <f>'Ethanol Balance Sheet'!AC145</f>
        <v>44.820999999999998</v>
      </c>
      <c r="H92" s="32">
        <f>'Ethanol Balance Sheet'!AD145</f>
        <v>40.951000000000001</v>
      </c>
      <c r="I92" s="32">
        <f>'Ethanol Balance Sheet'!AE145</f>
        <v>27.978999999999999</v>
      </c>
      <c r="J92" s="33">
        <f>'Ethanol Balance Sheet'!AF145</f>
        <v>34.268999999999998</v>
      </c>
      <c r="K92" s="33">
        <f>'Ethanol Balance Sheet'!AG145</f>
        <v>37.331000000000003</v>
      </c>
      <c r="L92" s="33">
        <f>'Ethanol Balance Sheet'!AH145</f>
        <v>31.27231438384996</v>
      </c>
      <c r="M92" s="33">
        <f>'Ethanol Balance Sheet'!AI145</f>
        <v>29.202426198915191</v>
      </c>
      <c r="N92" s="3"/>
    </row>
    <row r="93" spans="1:14">
      <c r="A93" s="31" t="str">
        <f t="shared" si="25"/>
        <v>Oct</v>
      </c>
      <c r="B93" s="32">
        <f>'Ethanol Balance Sheet'!X146</f>
        <v>46.125999999999998</v>
      </c>
      <c r="C93" s="32">
        <f>'Ethanol Balance Sheet'!Y146</f>
        <v>44.180999999999997</v>
      </c>
      <c r="D93" s="32">
        <f>'Ethanol Balance Sheet'!Z146</f>
        <v>46.542000000000002</v>
      </c>
      <c r="E93" s="32">
        <f>'Ethanol Balance Sheet'!AA146</f>
        <v>41.341999999999999</v>
      </c>
      <c r="F93" s="32">
        <f>'Ethanol Balance Sheet'!AB146</f>
        <v>43.183</v>
      </c>
      <c r="G93" s="32">
        <f>'Ethanol Balance Sheet'!AC146</f>
        <v>42.645000000000003</v>
      </c>
      <c r="H93" s="32">
        <f>'Ethanol Balance Sheet'!AD146</f>
        <v>37.659999999999997</v>
      </c>
      <c r="I93" s="32">
        <f>'Ethanol Balance Sheet'!AE146</f>
        <v>34.171999999999997</v>
      </c>
      <c r="J93" s="33">
        <f>'Ethanol Balance Sheet'!AF146</f>
        <v>37.036000000000001</v>
      </c>
      <c r="K93" s="33">
        <f>'Ethanol Balance Sheet'!AG146</f>
        <v>35.073999999999998</v>
      </c>
      <c r="L93" s="33">
        <f>'Ethanol Balance Sheet'!AH146</f>
        <v>31.48872600465711</v>
      </c>
      <c r="M93" s="33">
        <f>'Ethanol Balance Sheet'!AI146</f>
        <v>29.146744965174719</v>
      </c>
      <c r="N93" s="3"/>
    </row>
    <row r="94" spans="1:14">
      <c r="A94" s="31" t="str">
        <f t="shared" si="25"/>
        <v>Nov</v>
      </c>
      <c r="B94" s="32">
        <f>'Ethanol Balance Sheet'!X147</f>
        <v>50.064</v>
      </c>
      <c r="C94" s="32">
        <f>'Ethanol Balance Sheet'!Y147</f>
        <v>49.103999999999999</v>
      </c>
      <c r="D94" s="32">
        <f>'Ethanol Balance Sheet'!Z147</f>
        <v>47.783999999999999</v>
      </c>
      <c r="E94" s="32">
        <f>'Ethanol Balance Sheet'!AA147</f>
        <v>43.615000000000002</v>
      </c>
      <c r="F94" s="32">
        <f>'Ethanol Balance Sheet'!AB147</f>
        <v>47.7</v>
      </c>
      <c r="G94" s="32">
        <f>'Ethanol Balance Sheet'!AC147</f>
        <v>43.503</v>
      </c>
      <c r="H94" s="32">
        <f>'Ethanol Balance Sheet'!AD147</f>
        <v>38.706000000000003</v>
      </c>
      <c r="I94" s="32">
        <f>'Ethanol Balance Sheet'!AE147</f>
        <v>34.677999999999997</v>
      </c>
      <c r="J94" s="33">
        <f>'Ethanol Balance Sheet'!AF147</f>
        <v>35.783000000000001</v>
      </c>
      <c r="K94" s="33">
        <f>'Ethanol Balance Sheet'!AG147</f>
        <v>39.11</v>
      </c>
      <c r="L94" s="33">
        <f>'Ethanol Balance Sheet'!AH147</f>
        <v>31.490051311552804</v>
      </c>
      <c r="M94" s="33">
        <f>'Ethanol Balance Sheet'!AI147</f>
        <v>29.481328169454969</v>
      </c>
      <c r="N94" s="3"/>
    </row>
    <row r="95" spans="1:14">
      <c r="A95" s="31" t="str">
        <f t="shared" si="25"/>
        <v>Dec</v>
      </c>
      <c r="B95" s="32">
        <f>'Ethanol Balance Sheet'!X148</f>
        <v>47.008000000000003</v>
      </c>
      <c r="C95" s="32">
        <f>'Ethanol Balance Sheet'!Y148</f>
        <v>49.372</v>
      </c>
      <c r="D95" s="32">
        <f>'Ethanol Balance Sheet'!Z148</f>
        <v>44.655000000000001</v>
      </c>
      <c r="E95" s="32">
        <f>'Ethanol Balance Sheet'!AA148</f>
        <v>38.561999999999998</v>
      </c>
      <c r="F95" s="32">
        <f>'Ethanol Balance Sheet'!AB148</f>
        <v>46.899000000000001</v>
      </c>
      <c r="G95" s="32">
        <f>'Ethanol Balance Sheet'!AC148</f>
        <v>41.27</v>
      </c>
      <c r="H95" s="32">
        <f>'Ethanol Balance Sheet'!AD148</f>
        <v>35.707999999999998</v>
      </c>
      <c r="I95" s="32">
        <f>'Ethanol Balance Sheet'!AE148</f>
        <v>33.969000000000001</v>
      </c>
      <c r="J95" s="33">
        <f>'Ethanol Balance Sheet'!AF148</f>
        <v>39.1</v>
      </c>
      <c r="K95" s="33">
        <f>'Ethanol Balance Sheet'!AG148</f>
        <v>38.036000000000001</v>
      </c>
      <c r="L95" s="33">
        <f>'Ethanol Balance Sheet'!AH148</f>
        <v>30.715178759131447</v>
      </c>
      <c r="M95" s="33">
        <f>'Ethanol Balance Sheet'!AI148</f>
        <v>29.37892900811903</v>
      </c>
      <c r="N95" s="3"/>
    </row>
    <row r="96" spans="1:14" ht="15.75" thickBot="1">
      <c r="A96" s="34" t="s">
        <v>22</v>
      </c>
      <c r="B96" s="35">
        <f>SUM(B84:B95)</f>
        <v>553.03099999999995</v>
      </c>
      <c r="C96" s="35">
        <f t="shared" ref="C96:M96" si="26">SUM(C84:C95)</f>
        <v>556.7829999999999</v>
      </c>
      <c r="D96" s="35">
        <f t="shared" si="26"/>
        <v>556.279</v>
      </c>
      <c r="E96" s="35">
        <f t="shared" si="26"/>
        <v>495.89699999999999</v>
      </c>
      <c r="F96" s="35">
        <f t="shared" si="26"/>
        <v>505.101</v>
      </c>
      <c r="G96" s="35">
        <f t="shared" si="26"/>
        <v>497.67</v>
      </c>
      <c r="H96" s="35">
        <f t="shared" si="26"/>
        <v>444.37299999999993</v>
      </c>
      <c r="I96" s="35">
        <f t="shared" si="26"/>
        <v>379.61099999999993</v>
      </c>
      <c r="J96" s="36">
        <f t="shared" si="26"/>
        <v>426.51500000000004</v>
      </c>
      <c r="K96" s="36">
        <f t="shared" si="26"/>
        <v>432.83200000000005</v>
      </c>
      <c r="L96" s="36">
        <f t="shared" si="26"/>
        <v>377.81844382178372</v>
      </c>
      <c r="M96" s="36">
        <f t="shared" si="26"/>
        <v>349.66873814499223</v>
      </c>
      <c r="N96" s="3"/>
    </row>
    <row r="97" spans="1:14">
      <c r="A97" s="37"/>
      <c r="B97" s="38"/>
      <c r="C97" s="39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"/>
    </row>
    <row r="98" spans="1:14" ht="18.75" thickBot="1">
      <c r="A98" s="27" t="s">
        <v>26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3"/>
    </row>
    <row r="99" spans="1:14" ht="15.75" thickBot="1">
      <c r="A99" s="29" t="s">
        <v>1</v>
      </c>
      <c r="B99" s="30">
        <f>B35</f>
        <v>2015</v>
      </c>
      <c r="C99" s="30">
        <f t="shared" ref="C99:M99" si="27">C35</f>
        <v>2016</v>
      </c>
      <c r="D99" s="30">
        <f t="shared" si="27"/>
        <v>2017</v>
      </c>
      <c r="E99" s="30">
        <f t="shared" si="27"/>
        <v>2018</v>
      </c>
      <c r="F99" s="30">
        <f t="shared" si="27"/>
        <v>2019</v>
      </c>
      <c r="G99" s="30">
        <f t="shared" si="27"/>
        <v>2020</v>
      </c>
      <c r="H99" s="30">
        <f t="shared" si="27"/>
        <v>2021</v>
      </c>
      <c r="I99" s="30">
        <f t="shared" si="27"/>
        <v>2022</v>
      </c>
      <c r="J99" s="30">
        <f t="shared" si="27"/>
        <v>2023</v>
      </c>
      <c r="K99" s="30">
        <f t="shared" si="27"/>
        <v>2024</v>
      </c>
      <c r="L99" s="30">
        <f t="shared" si="27"/>
        <v>2025</v>
      </c>
      <c r="M99" s="30">
        <f t="shared" si="27"/>
        <v>2026</v>
      </c>
      <c r="N99" s="3"/>
    </row>
    <row r="100" spans="1:14">
      <c r="A100" s="31" t="str">
        <f t="shared" ref="A100:A111" si="28">A36</f>
        <v>Jan</v>
      </c>
      <c r="B100" s="32">
        <f>'NASS Data'!$H5</f>
        <v>43.389000000000003</v>
      </c>
      <c r="C100" s="32">
        <f>'NASS Data'!$H17</f>
        <v>41.331000000000003</v>
      </c>
      <c r="D100" s="32">
        <f>'NASS Data'!$H29</f>
        <v>43.436</v>
      </c>
      <c r="E100" s="32">
        <f>'NASS Data'!$H41</f>
        <v>40.908999999999999</v>
      </c>
      <c r="F100" s="32">
        <f>'NASS Data'!$H53</f>
        <v>38.948</v>
      </c>
      <c r="G100" s="32">
        <f>'NASS Data'!$H65</f>
        <v>40.462000000000003</v>
      </c>
      <c r="H100" s="32">
        <f>'NASS Data'!$H77</f>
        <v>39.281999999999996</v>
      </c>
      <c r="I100" s="32">
        <f>'NASS Data'!$H89</f>
        <v>40.835999999999999</v>
      </c>
      <c r="J100" s="32">
        <f>'NASS Data'!$H101</f>
        <v>38.838999999999999</v>
      </c>
      <c r="K100" s="33">
        <f t="shared" ref="K100:K110" si="29">K$112*(SUM(F100:J100)/SUM(F$112:J$112))</f>
        <v>40.201796330246232</v>
      </c>
      <c r="L100" s="33">
        <f t="shared" ref="L100:L110" si="30">L$112*(SUM(G100:K100)/SUM(G$112:K$112))</f>
        <v>40.465391976817571</v>
      </c>
      <c r="M100" s="33">
        <f t="shared" ref="M100:M110" si="31">M$112*(SUM(H100:L100)/SUM(H$112:L$112))</f>
        <v>39.989989352065145</v>
      </c>
      <c r="N100" s="3"/>
    </row>
    <row r="101" spans="1:14">
      <c r="A101" s="31" t="str">
        <f t="shared" si="28"/>
        <v>Feb</v>
      </c>
      <c r="B101" s="32">
        <f>'NASS Data'!$H6</f>
        <v>37.584000000000003</v>
      </c>
      <c r="C101" s="32">
        <f>'NASS Data'!$H18</f>
        <v>40.558</v>
      </c>
      <c r="D101" s="32">
        <f>'NASS Data'!$H30</f>
        <v>39.137999999999998</v>
      </c>
      <c r="E101" s="32">
        <f>'NASS Data'!$H42</f>
        <v>39.966000000000001</v>
      </c>
      <c r="F101" s="32">
        <f>'NASS Data'!$H54</f>
        <v>37.284999999999997</v>
      </c>
      <c r="G101" s="32">
        <f>'NASS Data'!$H66</f>
        <v>38.197000000000003</v>
      </c>
      <c r="H101" s="32">
        <f>'NASS Data'!$H78</f>
        <v>34.021999999999998</v>
      </c>
      <c r="I101" s="32">
        <f>'NASS Data'!$H90</f>
        <v>38.463999999999999</v>
      </c>
      <c r="J101" s="32">
        <f t="shared" ref="J101:J110" si="32">J$112*(SUM(E101:I101)/SUM(E$112:I$112))</f>
        <v>37.902711519976705</v>
      </c>
      <c r="K101" s="33">
        <f t="shared" si="29"/>
        <v>37.669251883045341</v>
      </c>
      <c r="L101" s="33">
        <f t="shared" si="30"/>
        <v>37.755986551933837</v>
      </c>
      <c r="M101" s="33">
        <f t="shared" si="31"/>
        <v>37.223434410332487</v>
      </c>
      <c r="N101" s="3"/>
    </row>
    <row r="102" spans="1:14">
      <c r="A102" s="31" t="str">
        <f t="shared" si="28"/>
        <v>Mar</v>
      </c>
      <c r="B102" s="32">
        <f>'NASS Data'!$H7</f>
        <v>44.347999999999999</v>
      </c>
      <c r="C102" s="32">
        <f>'NASS Data'!$H19</f>
        <v>44.136000000000003</v>
      </c>
      <c r="D102" s="32">
        <f>'NASS Data'!$H31</f>
        <v>44.561</v>
      </c>
      <c r="E102" s="32">
        <f>'NASS Data'!$H43</f>
        <v>43.396000000000001</v>
      </c>
      <c r="F102" s="32">
        <f>'NASS Data'!$H55</f>
        <v>42.604999999999997</v>
      </c>
      <c r="G102" s="32">
        <f>'NASS Data'!$H67</f>
        <v>43.008000000000003</v>
      </c>
      <c r="H102" s="32">
        <f>'NASS Data'!$H79</f>
        <v>42.158999999999999</v>
      </c>
      <c r="I102" s="32">
        <f>'NASS Data'!$H91</f>
        <v>42.968000000000004</v>
      </c>
      <c r="J102" s="32">
        <f t="shared" si="32"/>
        <v>43.187156310416064</v>
      </c>
      <c r="K102" s="33">
        <f t="shared" si="29"/>
        <v>43.355275663291259</v>
      </c>
      <c r="L102" s="33">
        <f t="shared" si="30"/>
        <v>43.517542225516188</v>
      </c>
      <c r="M102" s="33">
        <f t="shared" si="31"/>
        <v>43.107625783771631</v>
      </c>
      <c r="N102" s="3"/>
    </row>
    <row r="103" spans="1:14">
      <c r="A103" s="31" t="str">
        <f t="shared" si="28"/>
        <v>Apr</v>
      </c>
      <c r="B103" s="32">
        <f>'NASS Data'!$H8</f>
        <v>44.908000000000001</v>
      </c>
      <c r="C103" s="32">
        <f>'NASS Data'!$H20</f>
        <v>43.587000000000003</v>
      </c>
      <c r="D103" s="32">
        <f>'NASS Data'!$H32</f>
        <v>44.78</v>
      </c>
      <c r="E103" s="32">
        <f>'NASS Data'!$H44</f>
        <v>43.884</v>
      </c>
      <c r="F103" s="32">
        <f>'NASS Data'!$H56</f>
        <v>42.73</v>
      </c>
      <c r="G103" s="32">
        <f>'NASS Data'!$H68</f>
        <v>38.088000000000001</v>
      </c>
      <c r="H103" s="32">
        <f>'NASS Data'!$H80</f>
        <v>43.517000000000003</v>
      </c>
      <c r="I103" s="32">
        <f>'NASS Data'!$H92</f>
        <v>44.134</v>
      </c>
      <c r="J103" s="32">
        <f t="shared" si="32"/>
        <v>42.827559139919408</v>
      </c>
      <c r="K103" s="33">
        <f t="shared" si="29"/>
        <v>42.822149025920979</v>
      </c>
      <c r="L103" s="33">
        <f t="shared" si="30"/>
        <v>42.850880733150113</v>
      </c>
      <c r="M103" s="33">
        <f t="shared" si="31"/>
        <v>43.300863546688369</v>
      </c>
      <c r="N103" s="3"/>
    </row>
    <row r="104" spans="1:14">
      <c r="A104" s="31" t="str">
        <f t="shared" si="28"/>
        <v>May</v>
      </c>
      <c r="B104" s="32">
        <f>'NASS Data'!$H9</f>
        <v>47.625</v>
      </c>
      <c r="C104" s="32">
        <f>'NASS Data'!$H21</f>
        <v>44.555</v>
      </c>
      <c r="D104" s="32">
        <f>'NASS Data'!$H33</f>
        <v>46.462000000000003</v>
      </c>
      <c r="E104" s="32">
        <f>'NASS Data'!$H45</f>
        <v>44.835999999999999</v>
      </c>
      <c r="F104" s="32">
        <f>'NASS Data'!$H57</f>
        <v>46.667999999999999</v>
      </c>
      <c r="G104" s="32">
        <f>'NASS Data'!$H69</f>
        <v>37.618000000000002</v>
      </c>
      <c r="H104" s="32">
        <f>'NASS Data'!$H81</f>
        <v>44.491999999999997</v>
      </c>
      <c r="I104" s="32">
        <f>'NASS Data'!$H93</f>
        <v>45.015999999999998</v>
      </c>
      <c r="J104" s="32">
        <f t="shared" si="32"/>
        <v>44.093510592082893</v>
      </c>
      <c r="K104" s="33">
        <f t="shared" si="29"/>
        <v>44.157895838154957</v>
      </c>
      <c r="L104" s="33">
        <f t="shared" si="30"/>
        <v>43.659434960531669</v>
      </c>
      <c r="M104" s="33">
        <f t="shared" si="31"/>
        <v>44.356033127324949</v>
      </c>
      <c r="N104" s="3"/>
    </row>
    <row r="105" spans="1:14">
      <c r="A105" s="31" t="str">
        <f t="shared" si="28"/>
        <v>Jun</v>
      </c>
      <c r="B105" s="32">
        <f>'NASS Data'!$H10</f>
        <v>42.850999999999999</v>
      </c>
      <c r="C105" s="32">
        <f>'NASS Data'!$H22</f>
        <v>43.026000000000003</v>
      </c>
      <c r="D105" s="32">
        <f>'NASS Data'!$H34</f>
        <v>44</v>
      </c>
      <c r="E105" s="32">
        <f>'NASS Data'!$H46</f>
        <v>45.307000000000002</v>
      </c>
      <c r="F105" s="32">
        <f>'NASS Data'!$H58</f>
        <v>43.557000000000002</v>
      </c>
      <c r="G105" s="32">
        <f>'NASS Data'!$H70</f>
        <v>39.715000000000003</v>
      </c>
      <c r="H105" s="32">
        <f>'NASS Data'!$H82</f>
        <v>41.881</v>
      </c>
      <c r="I105" s="32">
        <f>'NASS Data'!$H94</f>
        <v>41.545000000000002</v>
      </c>
      <c r="J105" s="32">
        <f t="shared" si="32"/>
        <v>42.757374162166833</v>
      </c>
      <c r="K105" s="33">
        <f t="shared" si="29"/>
        <v>42.44900760884093</v>
      </c>
      <c r="L105" s="33">
        <f t="shared" si="30"/>
        <v>42.23436949304493</v>
      </c>
      <c r="M105" s="33">
        <f t="shared" si="31"/>
        <v>42.242171198126535</v>
      </c>
      <c r="N105" s="3"/>
    </row>
    <row r="106" spans="1:14">
      <c r="A106" s="31" t="str">
        <f t="shared" si="28"/>
        <v>Jul</v>
      </c>
      <c r="B106" s="32">
        <f>'NASS Data'!$H11</f>
        <v>44.139000000000003</v>
      </c>
      <c r="C106" s="32">
        <f>'NASS Data'!$H23</f>
        <v>44.564</v>
      </c>
      <c r="D106" s="32">
        <f>'NASS Data'!$H35</f>
        <v>45.534999999999997</v>
      </c>
      <c r="E106" s="32">
        <f>'NASS Data'!$H47</f>
        <v>45.253</v>
      </c>
      <c r="F106" s="32">
        <f>'NASS Data'!$H59</f>
        <v>44.228999999999999</v>
      </c>
      <c r="G106" s="32">
        <f>'NASS Data'!$H71</f>
        <v>40.689</v>
      </c>
      <c r="H106" s="32">
        <f>'NASS Data'!$H83</f>
        <v>43.37</v>
      </c>
      <c r="I106" s="32">
        <f>'NASS Data'!$H95</f>
        <v>43.481000000000002</v>
      </c>
      <c r="J106" s="33">
        <f t="shared" si="32"/>
        <v>43.76920759143308</v>
      </c>
      <c r="K106" s="33">
        <f t="shared" si="29"/>
        <v>43.681777326758613</v>
      </c>
      <c r="L106" s="33">
        <f t="shared" si="30"/>
        <v>43.581102951839782</v>
      </c>
      <c r="M106" s="33">
        <f t="shared" si="31"/>
        <v>43.647728453202255</v>
      </c>
      <c r="N106" s="3"/>
    </row>
    <row r="107" spans="1:14">
      <c r="A107" s="31" t="str">
        <f t="shared" si="28"/>
        <v>Aug</v>
      </c>
      <c r="B107" s="32">
        <f>'NASS Data'!$H12</f>
        <v>42.51</v>
      </c>
      <c r="C107" s="32">
        <f>'NASS Data'!$H24</f>
        <v>43.67</v>
      </c>
      <c r="D107" s="32">
        <f>'NASS Data'!$H36</f>
        <v>51.161000000000001</v>
      </c>
      <c r="E107" s="32">
        <f>'NASS Data'!$H48</f>
        <v>44.915999999999997</v>
      </c>
      <c r="F107" s="32">
        <f>'NASS Data'!$H60</f>
        <v>43.905999999999999</v>
      </c>
      <c r="G107" s="32">
        <f>'NASS Data'!$H72</f>
        <v>38.75</v>
      </c>
      <c r="H107" s="32">
        <f>'NASS Data'!$H84</f>
        <v>43.719000000000001</v>
      </c>
      <c r="I107" s="32">
        <f>'NASS Data'!$H96</f>
        <v>41.023000000000003</v>
      </c>
      <c r="J107" s="33">
        <f t="shared" si="32"/>
        <v>42.819693582067821</v>
      </c>
      <c r="K107" s="33">
        <f t="shared" si="29"/>
        <v>42.603502106703239</v>
      </c>
      <c r="L107" s="33">
        <f t="shared" si="30"/>
        <v>42.349471792878319</v>
      </c>
      <c r="M107" s="33">
        <f t="shared" si="31"/>
        <v>42.57229227490415</v>
      </c>
      <c r="N107" s="3"/>
    </row>
    <row r="108" spans="1:14">
      <c r="A108" s="31" t="str">
        <f t="shared" si="28"/>
        <v>Sep</v>
      </c>
      <c r="B108" s="32">
        <f>'NASS Data'!$H13</f>
        <v>41.905999999999999</v>
      </c>
      <c r="C108" s="32">
        <f>'NASS Data'!$H25</f>
        <v>41.034999999999997</v>
      </c>
      <c r="D108" s="32">
        <f>'NASS Data'!$H37</f>
        <v>43.393000000000001</v>
      </c>
      <c r="E108" s="32">
        <f>'NASS Data'!$H49</f>
        <v>41.573</v>
      </c>
      <c r="F108" s="32">
        <f>'NASS Data'!$H61</f>
        <v>39.683</v>
      </c>
      <c r="G108" s="32">
        <f>'NASS Data'!$H73</f>
        <v>38.753</v>
      </c>
      <c r="H108" s="32">
        <f>'NASS Data'!$H85</f>
        <v>39.170999999999999</v>
      </c>
      <c r="I108" s="32">
        <f>'NASS Data'!$H97</f>
        <v>40.72</v>
      </c>
      <c r="J108" s="33">
        <f t="shared" si="32"/>
        <v>40.316026013618313</v>
      </c>
      <c r="K108" s="33">
        <f t="shared" si="29"/>
        <v>40.257736792023302</v>
      </c>
      <c r="L108" s="33">
        <f t="shared" si="30"/>
        <v>40.383692525393975</v>
      </c>
      <c r="M108" s="33">
        <f t="shared" si="31"/>
        <v>40.235242322999753</v>
      </c>
      <c r="N108" s="3"/>
    </row>
    <row r="109" spans="1:14">
      <c r="A109" s="31" t="str">
        <f t="shared" si="28"/>
        <v>Oct</v>
      </c>
      <c r="B109" s="32">
        <f>'NASS Data'!$H14</f>
        <v>42.386000000000003</v>
      </c>
      <c r="C109" s="32">
        <f>'NASS Data'!$H26</f>
        <v>42.567999999999998</v>
      </c>
      <c r="D109" s="32">
        <f>'NASS Data'!$H38</f>
        <v>44.206000000000003</v>
      </c>
      <c r="E109" s="32">
        <f>'NASS Data'!$H50</f>
        <v>40.869</v>
      </c>
      <c r="F109" s="32">
        <f>'NASS Data'!$H62</f>
        <v>39.576999999999998</v>
      </c>
      <c r="G109" s="32">
        <f>'NASS Data'!$H74</f>
        <v>38.286000000000001</v>
      </c>
      <c r="H109" s="32">
        <f>'NASS Data'!$H86</f>
        <v>41.747999999999998</v>
      </c>
      <c r="I109" s="32">
        <f>'NASS Data'!$H98</f>
        <v>44.476999999999997</v>
      </c>
      <c r="J109" s="33">
        <f t="shared" si="32"/>
        <v>41.335926681706695</v>
      </c>
      <c r="K109" s="33">
        <f t="shared" si="29"/>
        <v>41.631979421059988</v>
      </c>
      <c r="L109" s="33">
        <f t="shared" si="30"/>
        <v>42.058319657638179</v>
      </c>
      <c r="M109" s="33">
        <f t="shared" si="31"/>
        <v>42.319191579001483</v>
      </c>
      <c r="N109" s="3"/>
    </row>
    <row r="110" spans="1:14">
      <c r="A110" s="31" t="str">
        <f t="shared" si="28"/>
        <v>Nov</v>
      </c>
      <c r="B110" s="32">
        <f>'NASS Data'!$H15</f>
        <v>40.935000000000002</v>
      </c>
      <c r="C110" s="32">
        <f>'NASS Data'!$H27</f>
        <v>45</v>
      </c>
      <c r="D110" s="32">
        <f>'NASS Data'!$H39</f>
        <v>40.488</v>
      </c>
      <c r="E110" s="32">
        <f>'NASS Data'!$H51</f>
        <v>40.247999999999998</v>
      </c>
      <c r="F110" s="32">
        <f>'NASS Data'!$H63</f>
        <v>40.433</v>
      </c>
      <c r="G110" s="32">
        <f>'NASS Data'!$H75</f>
        <v>39.121000000000002</v>
      </c>
      <c r="H110" s="32">
        <f>'NASS Data'!$H87</f>
        <v>40.792000000000002</v>
      </c>
      <c r="I110" s="32">
        <f>'NASS Data'!$H99</f>
        <v>40.159999999999997</v>
      </c>
      <c r="J110" s="33">
        <f t="shared" si="32"/>
        <v>40.488261562470889</v>
      </c>
      <c r="K110" s="33">
        <f t="shared" si="29"/>
        <v>40.7342469608488</v>
      </c>
      <c r="L110" s="33">
        <f t="shared" si="30"/>
        <v>40.804875069696138</v>
      </c>
      <c r="M110" s="33">
        <f t="shared" si="31"/>
        <v>40.662123450128114</v>
      </c>
      <c r="N110" s="3"/>
    </row>
    <row r="111" spans="1:14">
      <c r="A111" s="31" t="str">
        <f t="shared" si="28"/>
        <v>Dec</v>
      </c>
      <c r="B111" s="32">
        <f>'NASS Data'!$H16</f>
        <v>41.723999999999997</v>
      </c>
      <c r="C111" s="32">
        <f>'NASS Data'!$H28</f>
        <v>43.271999999999998</v>
      </c>
      <c r="D111" s="32">
        <f>'NASS Data'!$H40</f>
        <v>41.253</v>
      </c>
      <c r="E111" s="32">
        <f>'NASS Data'!$H52</f>
        <v>40.865000000000002</v>
      </c>
      <c r="F111" s="32">
        <f>'NASS Data'!$H64</f>
        <v>40.957999999999998</v>
      </c>
      <c r="G111" s="32">
        <f>'NASS Data'!$H76</f>
        <v>37.948</v>
      </c>
      <c r="H111" s="32">
        <f>'NASS Data'!$H88</f>
        <v>40.651000000000003</v>
      </c>
      <c r="I111" s="32">
        <f>'NASS Data'!$H100</f>
        <v>38.298999999999999</v>
      </c>
      <c r="J111" s="33">
        <f>J112-SUM(J100:J110)</f>
        <v>41.663572844141356</v>
      </c>
      <c r="K111" s="33">
        <f>K112-SUM(K100:K110)</f>
        <v>40.435381043106361</v>
      </c>
      <c r="L111" s="33">
        <f t="shared" ref="L111:M111" si="33">L112-SUM(L100:L110)</f>
        <v>40.338932061559206</v>
      </c>
      <c r="M111" s="33">
        <f t="shared" si="33"/>
        <v>40.343304501455179</v>
      </c>
      <c r="N111" s="3"/>
    </row>
    <row r="112" spans="1:14" ht="15.75" thickBot="1">
      <c r="A112" s="34" t="s">
        <v>22</v>
      </c>
      <c r="B112" s="35">
        <f>SUM(B100:B111)</f>
        <v>514.30500000000006</v>
      </c>
      <c r="C112" s="35">
        <f t="shared" ref="C112:I112" si="34">SUM(C100:C111)</f>
        <v>517.30200000000013</v>
      </c>
      <c r="D112" s="35">
        <f t="shared" si="34"/>
        <v>528.41300000000001</v>
      </c>
      <c r="E112" s="35">
        <f t="shared" si="34"/>
        <v>512.02199999999993</v>
      </c>
      <c r="F112" s="35">
        <f t="shared" si="34"/>
        <v>500.57899999999995</v>
      </c>
      <c r="G112" s="35">
        <f t="shared" si="34"/>
        <v>470.63499999999993</v>
      </c>
      <c r="H112" s="35">
        <f t="shared" si="34"/>
        <v>494.80399999999992</v>
      </c>
      <c r="I112" s="35">
        <f t="shared" si="34"/>
        <v>501.12299999999993</v>
      </c>
      <c r="J112" s="36">
        <v>500</v>
      </c>
      <c r="K112" s="36">
        <v>500</v>
      </c>
      <c r="L112" s="36">
        <v>500</v>
      </c>
      <c r="M112" s="36">
        <v>500</v>
      </c>
      <c r="N112" s="3"/>
    </row>
    <row r="113" spans="1:14">
      <c r="A113" s="37"/>
      <c r="B113" s="38"/>
      <c r="C113" s="39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"/>
    </row>
  </sheetData>
  <mergeCells count="1">
    <mergeCell ref="O11:P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FD4B-7B27-417E-97F3-9A72082609D0}">
  <dimension ref="A1:AA154"/>
  <sheetViews>
    <sheetView topLeftCell="N1" workbookViewId="0">
      <selection activeCell="P4" sqref="P4:X4"/>
    </sheetView>
  </sheetViews>
  <sheetFormatPr defaultColWidth="8.85546875" defaultRowHeight="15"/>
  <cols>
    <col min="1" max="1" width="10.85546875" customWidth="1"/>
    <col min="2" max="13" width="10" customWidth="1"/>
    <col min="17" max="18" width="9.140625" customWidth="1"/>
  </cols>
  <sheetData>
    <row r="1" spans="1:27" ht="18.75" thickBot="1">
      <c r="A1" s="27" t="s">
        <v>27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27" ht="15.75" thickBot="1">
      <c r="A2" s="40" t="s">
        <v>28</v>
      </c>
      <c r="B2" s="30">
        <f>'Corn Grind Forecast for Co-Prod'!B2</f>
        <v>2015</v>
      </c>
      <c r="C2" s="30">
        <f>'Corn Grind Forecast for Co-Prod'!C2</f>
        <v>2016</v>
      </c>
      <c r="D2" s="30">
        <f>'Corn Grind Forecast for Co-Prod'!D2</f>
        <v>2017</v>
      </c>
      <c r="E2" s="30">
        <f>'Corn Grind Forecast for Co-Prod'!E2</f>
        <v>2018</v>
      </c>
      <c r="F2" s="30">
        <f>'Corn Grind Forecast for Co-Prod'!F2</f>
        <v>2019</v>
      </c>
      <c r="G2" s="30">
        <f>'Corn Grind Forecast for Co-Prod'!G2</f>
        <v>2020</v>
      </c>
      <c r="H2" s="30">
        <f>'Corn Grind Forecast for Co-Prod'!H2</f>
        <v>2021</v>
      </c>
      <c r="I2" s="30">
        <f>'Corn Grind Forecast for Co-Prod'!I2</f>
        <v>2022</v>
      </c>
      <c r="J2" s="30">
        <f>'Corn Grind Forecast for Co-Prod'!J2</f>
        <v>2023</v>
      </c>
      <c r="K2" s="30">
        <f>'Corn Grind Forecast for Co-Prod'!K2</f>
        <v>2024</v>
      </c>
      <c r="L2" s="30">
        <f>'Corn Grind Forecast for Co-Prod'!L2</f>
        <v>2025</v>
      </c>
      <c r="M2" s="30">
        <f>'Corn Grind Forecast for Co-Prod'!M2</f>
        <v>2026</v>
      </c>
      <c r="O2" t="s">
        <v>29</v>
      </c>
    </row>
    <row r="3" spans="1:27" ht="15.75" thickBot="1">
      <c r="A3" s="31" t="s">
        <v>10</v>
      </c>
      <c r="B3" s="32"/>
      <c r="C3" s="32"/>
      <c r="D3" s="32"/>
      <c r="E3" s="32"/>
      <c r="F3" s="32"/>
      <c r="G3" s="32"/>
      <c r="H3" s="32"/>
      <c r="I3" s="32"/>
      <c r="J3" s="32"/>
      <c r="K3" s="33"/>
      <c r="L3" s="33"/>
      <c r="M3" s="33"/>
      <c r="P3" s="41" t="s">
        <v>30</v>
      </c>
      <c r="Q3" s="42" t="s">
        <v>31</v>
      </c>
      <c r="R3" s="42" t="s">
        <v>32</v>
      </c>
      <c r="S3" s="42" t="s">
        <v>33</v>
      </c>
      <c r="T3" s="42" t="s">
        <v>14</v>
      </c>
      <c r="U3" s="42" t="s">
        <v>34</v>
      </c>
      <c r="V3" s="42" t="s">
        <v>35</v>
      </c>
      <c r="W3" s="42" t="s">
        <v>36</v>
      </c>
      <c r="X3" s="42" t="s">
        <v>37</v>
      </c>
      <c r="Y3" s="42" t="s">
        <v>38</v>
      </c>
      <c r="Z3" s="42" t="s">
        <v>39</v>
      </c>
      <c r="AA3" s="42" t="s">
        <v>40</v>
      </c>
    </row>
    <row r="4" spans="1:27">
      <c r="A4" s="31" t="s">
        <v>11</v>
      </c>
      <c r="B4" s="32"/>
      <c r="C4" s="32"/>
      <c r="D4" s="32"/>
      <c r="E4" s="32"/>
      <c r="F4" s="32"/>
      <c r="G4" s="32"/>
      <c r="H4" s="32"/>
      <c r="I4" s="32"/>
      <c r="J4" s="33"/>
      <c r="K4" s="33"/>
      <c r="L4" s="33"/>
      <c r="M4" s="33"/>
      <c r="O4" s="43">
        <v>2015</v>
      </c>
      <c r="P4" s="44">
        <f t="array" ref="P4:X4">TRANSPOSE('[1]Corn Oil Balance Sheet'!W71:W79)</f>
        <v>326.33486340231633</v>
      </c>
      <c r="Q4" s="45">
        <v>325.58611741411153</v>
      </c>
      <c r="R4" s="45">
        <v>316.94214288784156</v>
      </c>
      <c r="S4" s="45">
        <v>301.22999112137387</v>
      </c>
      <c r="T4" s="45">
        <v>377.73335130263496</v>
      </c>
      <c r="U4" s="45">
        <v>353.95908004324554</v>
      </c>
      <c r="V4" s="45">
        <v>425.58880804215835</v>
      </c>
      <c r="W4" s="45">
        <v>432.35557078471135</v>
      </c>
      <c r="X4" s="45">
        <v>450.9860700910599</v>
      </c>
      <c r="Y4" s="45">
        <f t="array" ref="Y4:AA4">TRANSPOSE('[1]Corn Oil Balance Sheet'!X68:X70)</f>
        <v>0</v>
      </c>
      <c r="Z4" s="45" t="str">
        <v xml:space="preserve">15/16 </v>
      </c>
      <c r="AA4" s="45">
        <v>431.61689425884691</v>
      </c>
    </row>
    <row r="5" spans="1:27">
      <c r="A5" s="31" t="s">
        <v>12</v>
      </c>
      <c r="B5" s="32"/>
      <c r="C5" s="32"/>
      <c r="D5" s="32"/>
      <c r="E5" s="32"/>
      <c r="F5" s="32"/>
      <c r="G5" s="32"/>
      <c r="H5" s="32"/>
      <c r="I5" s="32"/>
      <c r="J5" s="33"/>
      <c r="K5" s="33"/>
      <c r="L5" s="33"/>
      <c r="M5" s="33"/>
      <c r="O5" s="46">
        <v>2016</v>
      </c>
      <c r="P5" s="47">
        <f t="array" ref="P5:X5">TRANSPOSE('[1]Corn Oil Balance Sheet'!X71:X79)</f>
        <v>429.51044497567301</v>
      </c>
      <c r="Q5" s="48">
        <v>399.00871894953053</v>
      </c>
      <c r="R5" s="48">
        <v>397.8520055300624</v>
      </c>
      <c r="S5" s="48">
        <v>440.06450824667382</v>
      </c>
      <c r="T5" s="48">
        <v>449.17349433558786</v>
      </c>
      <c r="U5" s="48">
        <v>414.96444989215973</v>
      </c>
      <c r="V5" s="48">
        <v>454.72704858411504</v>
      </c>
      <c r="W5" s="48">
        <v>474.67563316460581</v>
      </c>
      <c r="X5" s="48">
        <v>472.36062936498081</v>
      </c>
      <c r="Y5" s="48">
        <f t="array" ref="Y5:AA5">TRANSPOSE('[1]Corn Oil Balance Sheet'!Y68:Y70)</f>
        <v>0</v>
      </c>
      <c r="Z5" s="48" t="str">
        <v xml:space="preserve">16/17 </v>
      </c>
      <c r="AA5" s="48">
        <v>434.43197474664873</v>
      </c>
    </row>
    <row r="6" spans="1:27">
      <c r="A6" s="31" t="s">
        <v>13</v>
      </c>
      <c r="B6" s="32"/>
      <c r="C6" s="32"/>
      <c r="D6" s="32"/>
      <c r="E6" s="32"/>
      <c r="F6" s="32"/>
      <c r="G6" s="32"/>
      <c r="H6" s="32"/>
      <c r="I6" s="32"/>
      <c r="J6" s="33"/>
      <c r="K6" s="33"/>
      <c r="L6" s="33"/>
      <c r="M6" s="33"/>
      <c r="O6" s="49">
        <v>2017</v>
      </c>
      <c r="P6" s="50">
        <f t="array" ref="P6:X6">TRANSPOSE('[1]Corn Oil Balance Sheet'!Y71:Y79)</f>
        <v>416.6308676877282</v>
      </c>
      <c r="Q6" s="51">
        <v>421.41980150725669</v>
      </c>
      <c r="R6" s="51">
        <v>481.51527000000004</v>
      </c>
      <c r="S6" s="51">
        <v>435.67918000000003</v>
      </c>
      <c r="T6" s="51">
        <v>482.30713000000003</v>
      </c>
      <c r="U6" s="51">
        <v>446.21996000000001</v>
      </c>
      <c r="V6" s="51">
        <v>498.5128600000001</v>
      </c>
      <c r="W6" s="51">
        <v>444.99655000000001</v>
      </c>
      <c r="X6" s="51">
        <v>488.22964000000007</v>
      </c>
      <c r="Y6" s="51">
        <f t="array" ref="Y6:AA6">TRANSPOSE('[1]Corn Oil Balance Sheet'!Z68:Z70)</f>
        <v>0</v>
      </c>
      <c r="Z6" s="51" t="str">
        <v xml:space="preserve">17/18 </v>
      </c>
      <c r="AA6" s="51">
        <v>478.77938</v>
      </c>
    </row>
    <row r="7" spans="1:27">
      <c r="A7" s="31" t="s">
        <v>14</v>
      </c>
      <c r="B7" s="32"/>
      <c r="C7" s="32"/>
      <c r="D7" s="32"/>
      <c r="E7" s="32"/>
      <c r="F7" s="32"/>
      <c r="G7" s="32"/>
      <c r="H7" s="32"/>
      <c r="I7" s="32"/>
      <c r="J7" s="33"/>
      <c r="K7" s="33"/>
      <c r="L7" s="33"/>
      <c r="M7" s="33"/>
      <c r="O7" s="46">
        <v>2018</v>
      </c>
      <c r="P7" s="47">
        <f t="array" ref="P7:X7">TRANSPOSE('[1]Corn Oil Balance Sheet'!Z71:Z79)</f>
        <v>512.98964999999998</v>
      </c>
      <c r="Q7" s="48">
        <v>506.66984000000002</v>
      </c>
      <c r="R7" s="48">
        <v>479.87126999999998</v>
      </c>
      <c r="S7" s="48">
        <v>466.77133000000003</v>
      </c>
      <c r="T7" s="48">
        <v>435.32983000000007</v>
      </c>
      <c r="U7" s="48">
        <v>434.12423000000007</v>
      </c>
      <c r="V7" s="48">
        <v>454.70848000000001</v>
      </c>
      <c r="W7" s="48">
        <v>465.56847000000005</v>
      </c>
      <c r="X7" s="48">
        <v>487.56656000000009</v>
      </c>
      <c r="Y7" s="48">
        <f t="array" ref="Y7:AA7">TRANSPOSE('[1]Corn Oil Balance Sheet'!AA68:AA70)</f>
        <v>0</v>
      </c>
      <c r="Z7" s="48" t="str">
        <v xml:space="preserve">18/19 </v>
      </c>
      <c r="AA7" s="48">
        <v>452.99598000000003</v>
      </c>
    </row>
    <row r="8" spans="1:27">
      <c r="A8" s="31" t="s">
        <v>15</v>
      </c>
      <c r="B8" s="32"/>
      <c r="C8" s="32"/>
      <c r="D8" s="32"/>
      <c r="E8" s="32"/>
      <c r="F8" s="32"/>
      <c r="G8" s="32"/>
      <c r="H8" s="32"/>
      <c r="I8" s="32"/>
      <c r="J8" s="33"/>
      <c r="K8" s="33"/>
      <c r="L8" s="33"/>
      <c r="M8" s="33"/>
      <c r="O8" s="49">
        <v>2019</v>
      </c>
      <c r="P8" s="50">
        <f t="array" ref="P8:X8">TRANSPOSE('[1]Corn Oil Balance Sheet'!AA71:AA79)</f>
        <v>453.33848</v>
      </c>
      <c r="Q8" s="51">
        <v>459.60075000000006</v>
      </c>
      <c r="R8" s="51">
        <v>429.68131999999997</v>
      </c>
      <c r="S8" s="51">
        <v>394.90386999999998</v>
      </c>
      <c r="T8" s="51">
        <v>443.37858000000006</v>
      </c>
      <c r="U8" s="51">
        <v>436.4477500000001</v>
      </c>
      <c r="V8" s="51">
        <v>461.07761000000005</v>
      </c>
      <c r="W8" s="51">
        <v>470.93613000000005</v>
      </c>
      <c r="X8" s="51">
        <v>481.28785000000005</v>
      </c>
      <c r="Y8" s="52">
        <f t="array" ref="Y8:AA8">TRANSPOSE('[1]Corn Oil Balance Sheet'!AB68:AB70)</f>
        <v>0</v>
      </c>
      <c r="Z8" s="52" t="str">
        <v>19/20</v>
      </c>
      <c r="AA8" s="52">
        <v>396.95476000000002</v>
      </c>
    </row>
    <row r="9" spans="1:27">
      <c r="A9" s="31" t="s">
        <v>16</v>
      </c>
      <c r="B9" s="32"/>
      <c r="C9" s="32"/>
      <c r="D9" s="32"/>
      <c r="E9" s="32"/>
      <c r="F9" s="32"/>
      <c r="G9" s="32"/>
      <c r="H9" s="32"/>
      <c r="I9" s="32"/>
      <c r="J9" s="33"/>
      <c r="K9" s="33"/>
      <c r="L9" s="33"/>
      <c r="M9" s="33"/>
      <c r="O9" s="46">
        <v>2020</v>
      </c>
      <c r="P9" s="53">
        <f t="array" ref="P9:X9">TRANSPOSE('[1]Corn Oil Balance Sheet'!AB71:AB79)</f>
        <v>471.40604000000002</v>
      </c>
      <c r="Q9" s="54">
        <v>489.37907000000007</v>
      </c>
      <c r="R9" s="54">
        <v>451.5835100000001</v>
      </c>
      <c r="S9" s="54">
        <v>429.52651000000009</v>
      </c>
      <c r="T9" s="54">
        <v>447.94753000000003</v>
      </c>
      <c r="U9" s="54">
        <v>312.82991000000004</v>
      </c>
      <c r="V9" s="54">
        <v>387.0167800000001</v>
      </c>
      <c r="W9" s="54">
        <v>402.76218999999998</v>
      </c>
      <c r="X9" s="54">
        <v>432.87205000000006</v>
      </c>
      <c r="Y9" s="54">
        <f t="array" ref="Y9:AA9">TRANSPOSE('[1]Corn Oil Balance Sheet'!AC68:AC70)</f>
        <v>0</v>
      </c>
      <c r="Z9" s="54" t="str">
        <v>20/21</v>
      </c>
      <c r="AA9" s="54">
        <v>449.99979000000002</v>
      </c>
    </row>
    <row r="10" spans="1:27">
      <c r="A10" s="31" t="s">
        <v>17</v>
      </c>
      <c r="B10" s="32"/>
      <c r="C10" s="32"/>
      <c r="D10" s="32"/>
      <c r="E10" s="32"/>
      <c r="F10" s="32"/>
      <c r="G10" s="32"/>
      <c r="H10" s="32"/>
      <c r="I10" s="32"/>
      <c r="J10" s="33"/>
      <c r="K10" s="33"/>
      <c r="L10" s="33"/>
      <c r="M10" s="33"/>
      <c r="O10" s="49">
        <v>2021</v>
      </c>
      <c r="P10" s="55">
        <f t="array" ref="P10:X10">TRANSPOSE('[1]Corn Oil Balance Sheet'!AC71:AC79)</f>
        <v>464.8094900000001</v>
      </c>
      <c r="Q10" s="52">
        <v>453.70152999999999</v>
      </c>
      <c r="R10" s="52">
        <v>436.51762000000002</v>
      </c>
      <c r="S10" s="52">
        <v>348.08275000000003</v>
      </c>
      <c r="T10" s="52">
        <v>443.05526000000009</v>
      </c>
      <c r="U10" s="52">
        <v>421.9517800000001</v>
      </c>
      <c r="V10" s="52">
        <v>460.33644000000004</v>
      </c>
      <c r="W10" s="52">
        <v>450.57108000000005</v>
      </c>
      <c r="X10" s="52">
        <v>482.56332000000003</v>
      </c>
      <c r="Y10" s="52">
        <f t="array" ref="Y10:AA10">TRANSPOSE('[1]Corn Oil Balance Sheet'!AD68:AD70)</f>
        <v>0</v>
      </c>
      <c r="Z10" s="52" t="str">
        <v xml:space="preserve">21/22 </v>
      </c>
      <c r="AA10" s="52">
        <v>471.30329</v>
      </c>
    </row>
    <row r="11" spans="1:27">
      <c r="A11" s="31" t="s">
        <v>18</v>
      </c>
      <c r="B11" s="32"/>
      <c r="C11" s="32"/>
      <c r="D11" s="32"/>
      <c r="E11" s="32"/>
      <c r="F11" s="32"/>
      <c r="G11" s="32"/>
      <c r="H11" s="32"/>
      <c r="I11" s="32"/>
      <c r="J11" s="33"/>
      <c r="K11" s="33"/>
      <c r="L11" s="33"/>
      <c r="M11" s="33"/>
    </row>
    <row r="12" spans="1:27">
      <c r="A12" s="31" t="s">
        <v>19</v>
      </c>
      <c r="B12" s="32"/>
      <c r="C12" s="32"/>
      <c r="D12" s="32"/>
      <c r="E12" s="32"/>
      <c r="F12" s="32"/>
      <c r="G12" s="32"/>
      <c r="H12" s="32"/>
      <c r="I12" s="32"/>
      <c r="J12" s="33"/>
      <c r="K12" s="33"/>
      <c r="L12" s="33"/>
      <c r="M12" s="33"/>
      <c r="O12" t="s">
        <v>41</v>
      </c>
    </row>
    <row r="13" spans="1:27" ht="15.75" thickBot="1">
      <c r="A13" s="31" t="s">
        <v>20</v>
      </c>
      <c r="B13" s="32"/>
      <c r="C13" s="32"/>
      <c r="D13" s="32"/>
      <c r="E13" s="32"/>
      <c r="F13" s="32"/>
      <c r="G13" s="32"/>
      <c r="H13" s="32"/>
      <c r="I13" s="32"/>
      <c r="J13" s="33"/>
      <c r="K13" s="33"/>
      <c r="L13" s="33"/>
      <c r="M13" s="33"/>
      <c r="P13" s="41" t="s">
        <v>30</v>
      </c>
      <c r="Q13" s="42" t="s">
        <v>31</v>
      </c>
      <c r="R13" s="42" t="s">
        <v>32</v>
      </c>
      <c r="S13" s="42" t="s">
        <v>33</v>
      </c>
      <c r="T13" s="42" t="s">
        <v>14</v>
      </c>
      <c r="U13" s="42" t="s">
        <v>34</v>
      </c>
      <c r="V13" s="42" t="s">
        <v>35</v>
      </c>
      <c r="W13" s="42" t="s">
        <v>36</v>
      </c>
      <c r="X13" s="42" t="s">
        <v>37</v>
      </c>
      <c r="Y13" s="42" t="s">
        <v>38</v>
      </c>
      <c r="Z13" s="42" t="s">
        <v>39</v>
      </c>
      <c r="AA13" s="42" t="s">
        <v>40</v>
      </c>
    </row>
    <row r="14" spans="1:27">
      <c r="A14" s="31" t="s">
        <v>21</v>
      </c>
      <c r="B14" s="32"/>
      <c r="C14" s="32"/>
      <c r="D14" s="32"/>
      <c r="E14" s="32"/>
      <c r="F14" s="32"/>
      <c r="G14" s="32"/>
      <c r="H14" s="32"/>
      <c r="I14" s="32"/>
      <c r="J14" s="33"/>
      <c r="K14" s="33"/>
      <c r="L14" s="33"/>
      <c r="M14" s="33"/>
      <c r="O14" s="43">
        <v>2015</v>
      </c>
      <c r="P14" s="44">
        <f t="array" ref="P14:W14">TRANSPOSE('Corn Gluten Meal Balance Sheet'!W21:W28)</f>
        <v>90.617000000000004</v>
      </c>
      <c r="Q14" s="45">
        <v>80.855000000000004</v>
      </c>
      <c r="R14" s="45">
        <v>93.078000000000003</v>
      </c>
      <c r="S14" s="45">
        <v>89.355999999999995</v>
      </c>
      <c r="T14" s="45">
        <v>97.138999999999996</v>
      </c>
      <c r="U14" s="45">
        <v>92.236999999999995</v>
      </c>
      <c r="V14" s="45">
        <v>97.13</v>
      </c>
      <c r="W14" s="45">
        <v>96.072000000000003</v>
      </c>
      <c r="X14" s="45">
        <f t="array" ref="X14:AA14">TRANSPOSE('Corn Gluten Meal Balance Sheet'!X17:X20)</f>
        <v>86.522000000000006</v>
      </c>
      <c r="Y14" s="45">
        <v>83.212999999999994</v>
      </c>
      <c r="Z14" s="45">
        <v>84.504999999999995</v>
      </c>
      <c r="AA14" s="45">
        <v>88.921000000000006</v>
      </c>
    </row>
    <row r="15" spans="1:27" ht="15.75" thickBot="1">
      <c r="A15" s="34" t="s">
        <v>22</v>
      </c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O15" s="46">
        <v>2016</v>
      </c>
      <c r="P15" s="47">
        <f t="array" ref="P15:W15">TRANSPOSE('Corn Gluten Meal Balance Sheet'!X21:X28)</f>
        <v>87.266000000000005</v>
      </c>
      <c r="Q15" s="48">
        <v>83.643000000000001</v>
      </c>
      <c r="R15" s="48">
        <v>91.944999999999993</v>
      </c>
      <c r="S15" s="48">
        <v>84.915999999999997</v>
      </c>
      <c r="T15" s="48">
        <v>88.177000000000007</v>
      </c>
      <c r="U15" s="48">
        <v>84.034000000000006</v>
      </c>
      <c r="V15" s="48">
        <v>89.125</v>
      </c>
      <c r="W15" s="48">
        <v>87.793000000000006</v>
      </c>
      <c r="X15" s="48">
        <f t="array" ref="X15:AA15">TRANSPOSE('Corn Gluten Meal Balance Sheet'!Y17:Y20)</f>
        <v>86.724999999999994</v>
      </c>
      <c r="Y15" s="48">
        <v>86.227000000000004</v>
      </c>
      <c r="Z15" s="48">
        <v>84.091999999999999</v>
      </c>
      <c r="AA15" s="48">
        <v>89.091999999999999</v>
      </c>
    </row>
    <row r="16" spans="1:27">
      <c r="A16" s="37"/>
      <c r="B16" s="38"/>
      <c r="C16" s="39"/>
      <c r="D16" s="37"/>
      <c r="E16" s="37"/>
      <c r="F16" s="37"/>
      <c r="G16" s="37"/>
      <c r="H16" s="37"/>
      <c r="I16" s="37"/>
      <c r="J16" s="37"/>
      <c r="K16" s="37"/>
      <c r="L16" s="37"/>
      <c r="M16" s="37"/>
      <c r="O16" s="49">
        <v>2017</v>
      </c>
      <c r="P16" s="50">
        <f t="array" ref="P16:W16">TRANSPOSE('Corn Gluten Meal Balance Sheet'!Y21:Y28)</f>
        <v>90.593000000000004</v>
      </c>
      <c r="Q16" s="51">
        <v>78.78</v>
      </c>
      <c r="R16" s="51">
        <v>89.491</v>
      </c>
      <c r="S16" s="51">
        <v>90.132999999999996</v>
      </c>
      <c r="T16" s="51">
        <v>91.894999999999996</v>
      </c>
      <c r="U16" s="51">
        <v>86.805999999999997</v>
      </c>
      <c r="V16" s="51">
        <v>85.087000000000003</v>
      </c>
      <c r="W16" s="51">
        <v>92.822999999999993</v>
      </c>
      <c r="X16" s="51">
        <f t="array" ref="X16:AA16">TRANSPOSE('Corn Gluten Meal Balance Sheet'!Z17:Z20)</f>
        <v>87.322000000000003</v>
      </c>
      <c r="Y16" s="51">
        <v>93.462999999999994</v>
      </c>
      <c r="Z16" s="51">
        <v>90.366</v>
      </c>
      <c r="AA16" s="51">
        <v>91.091999999999999</v>
      </c>
    </row>
    <row r="17" spans="1:27" ht="18.75" thickBot="1">
      <c r="A17" s="27" t="s">
        <v>42</v>
      </c>
      <c r="B17" s="28"/>
      <c r="C17" s="28"/>
      <c r="D17" s="28"/>
      <c r="E17" s="28"/>
      <c r="F17" s="28">
        <v>2.6</v>
      </c>
      <c r="G17" s="28" t="s">
        <v>43</v>
      </c>
      <c r="H17" s="28"/>
      <c r="I17" s="28">
        <v>2.6</v>
      </c>
      <c r="J17" s="28" t="s">
        <v>44</v>
      </c>
      <c r="K17" s="28"/>
      <c r="L17" s="28"/>
      <c r="M17" s="28"/>
      <c r="O17" s="46">
        <v>2018</v>
      </c>
      <c r="P17" s="47">
        <f t="array" ref="P17:W17">TRANSPOSE('Corn Gluten Meal Balance Sheet'!Z21:Z28)</f>
        <v>91.519000000000005</v>
      </c>
      <c r="Q17" s="48">
        <v>90.924000000000007</v>
      </c>
      <c r="R17" s="48">
        <v>97.156999999999996</v>
      </c>
      <c r="S17" s="48">
        <v>91.427000000000007</v>
      </c>
      <c r="T17" s="48">
        <v>92.486999999999995</v>
      </c>
      <c r="U17" s="48">
        <v>93.356999999999999</v>
      </c>
      <c r="V17" s="48">
        <v>93.113</v>
      </c>
      <c r="W17" s="48">
        <v>91.947000000000003</v>
      </c>
      <c r="X17" s="48">
        <f t="array" ref="X17:AA17">TRANSPOSE('Corn Gluten Meal Balance Sheet'!AA17:AA20)</f>
        <v>83.262</v>
      </c>
      <c r="Y17" s="48">
        <v>90.899000000000001</v>
      </c>
      <c r="Z17" s="48">
        <v>85.51</v>
      </c>
      <c r="AA17" s="48">
        <v>88.638000000000005</v>
      </c>
    </row>
    <row r="18" spans="1:27" ht="15.75" thickBot="1">
      <c r="A18" s="40" t="s">
        <v>28</v>
      </c>
      <c r="B18" s="30">
        <f>B2</f>
        <v>2015</v>
      </c>
      <c r="C18" s="30">
        <f t="shared" ref="C18:M18" si="0">C2</f>
        <v>2016</v>
      </c>
      <c r="D18" s="30">
        <f t="shared" si="0"/>
        <v>2017</v>
      </c>
      <c r="E18" s="30">
        <f t="shared" si="0"/>
        <v>2018</v>
      </c>
      <c r="F18" s="30">
        <f t="shared" si="0"/>
        <v>2019</v>
      </c>
      <c r="G18" s="30">
        <f t="shared" si="0"/>
        <v>2020</v>
      </c>
      <c r="H18" s="30">
        <f t="shared" si="0"/>
        <v>2021</v>
      </c>
      <c r="I18" s="30">
        <f t="shared" si="0"/>
        <v>2022</v>
      </c>
      <c r="J18" s="30">
        <f t="shared" si="0"/>
        <v>2023</v>
      </c>
      <c r="K18" s="30">
        <f t="shared" si="0"/>
        <v>2024</v>
      </c>
      <c r="L18" s="30">
        <f t="shared" si="0"/>
        <v>2025</v>
      </c>
      <c r="M18" s="30">
        <f t="shared" si="0"/>
        <v>2026</v>
      </c>
      <c r="O18" s="49">
        <v>2019</v>
      </c>
      <c r="P18" s="50">
        <f t="array" ref="P18:W18">TRANSPOSE('Corn Gluten Meal Balance Sheet'!AA21:AA28)</f>
        <v>84.213999999999999</v>
      </c>
      <c r="Q18" s="51">
        <v>77.453999999999994</v>
      </c>
      <c r="R18" s="51">
        <v>88.89</v>
      </c>
      <c r="S18" s="51">
        <v>91.364000000000004</v>
      </c>
      <c r="T18" s="51">
        <v>93.185000000000002</v>
      </c>
      <c r="U18" s="51">
        <v>92.106999999999999</v>
      </c>
      <c r="V18" s="51">
        <v>93.494</v>
      </c>
      <c r="W18" s="51">
        <v>90.513000000000005</v>
      </c>
      <c r="X18" s="51">
        <f t="array" ref="X18:AA18">TRANSPOSE('Corn Gluten Meal Balance Sheet'!AB17:AB20)</f>
        <v>86.423000000000002</v>
      </c>
      <c r="Y18" s="52">
        <v>87.588999999999999</v>
      </c>
      <c r="Z18" s="52">
        <v>90.102000000000004</v>
      </c>
      <c r="AA18" s="52">
        <v>93.644000000000005</v>
      </c>
    </row>
    <row r="19" spans="1:27">
      <c r="A19" s="31" t="s">
        <v>10</v>
      </c>
      <c r="B19" s="32">
        <f>'NASS Data'!$R5</f>
        <v>90.617000000000004</v>
      </c>
      <c r="C19" s="32">
        <f>'NASS Data'!$R17</f>
        <v>87.266000000000005</v>
      </c>
      <c r="D19" s="32">
        <f>'NASS Data'!$R29</f>
        <v>90.593000000000004</v>
      </c>
      <c r="E19" s="32">
        <f>'NASS Data'!$R41</f>
        <v>91.519000000000005</v>
      </c>
      <c r="F19" s="32">
        <f>'NASS Data'!$R53</f>
        <v>84.213999999999999</v>
      </c>
      <c r="G19" s="32">
        <f>'NASS Data'!$R65</f>
        <v>93.096999999999994</v>
      </c>
      <c r="H19" s="32">
        <f>'NASS Data'!$R77</f>
        <v>116.178</v>
      </c>
      <c r="I19" s="32">
        <f>'NASS Data'!$R89</f>
        <v>102.711</v>
      </c>
      <c r="J19" s="32">
        <f>'NASS Data'!$R101</f>
        <v>117.94499999999999</v>
      </c>
      <c r="K19" s="33"/>
      <c r="L19" s="33"/>
      <c r="M19" s="33"/>
      <c r="O19" s="46">
        <v>2020</v>
      </c>
      <c r="P19" s="53">
        <f t="array" ref="P19:W19">TRANSPOSE('Corn Gluten Meal Balance Sheet'!AB21:AB28)</f>
        <v>93.096999999999994</v>
      </c>
      <c r="Q19" s="54">
        <v>88.021000000000001</v>
      </c>
      <c r="R19" s="54">
        <v>92.269000000000005</v>
      </c>
      <c r="S19" s="54">
        <v>76.897000000000006</v>
      </c>
      <c r="T19" s="54">
        <v>91.013000000000005</v>
      </c>
      <c r="U19" s="54">
        <v>90.257000000000005</v>
      </c>
      <c r="V19" s="54">
        <v>93.578000000000003</v>
      </c>
      <c r="W19" s="54">
        <v>86.406000000000006</v>
      </c>
      <c r="X19" s="54">
        <f t="array" ref="X19:AA19">TRANSPOSE('Corn Gluten Meal Balance Sheet'!AC17:AC20)</f>
        <v>85.347999999999999</v>
      </c>
      <c r="Y19" s="54">
        <v>108.84399999999999</v>
      </c>
      <c r="Z19" s="54">
        <v>108.624</v>
      </c>
      <c r="AA19" s="54">
        <v>113.754</v>
      </c>
    </row>
    <row r="20" spans="1:27">
      <c r="A20" s="31" t="s">
        <v>11</v>
      </c>
      <c r="B20" s="32">
        <f>'NASS Data'!$R6</f>
        <v>80.855000000000004</v>
      </c>
      <c r="C20" s="32">
        <f>'NASS Data'!$R18</f>
        <v>83.643000000000001</v>
      </c>
      <c r="D20" s="32">
        <f>'NASS Data'!$R30</f>
        <v>78.78</v>
      </c>
      <c r="E20" s="32">
        <f>'NASS Data'!$R42</f>
        <v>90.924000000000007</v>
      </c>
      <c r="F20" s="32">
        <f>'NASS Data'!$R54</f>
        <v>77.453999999999994</v>
      </c>
      <c r="G20" s="32">
        <f>'NASS Data'!$R66</f>
        <v>88.021000000000001</v>
      </c>
      <c r="H20" s="32">
        <f>'NASS Data'!$R78</f>
        <v>97.68</v>
      </c>
      <c r="I20" s="32">
        <f>'NASS Data'!$R90</f>
        <v>78.040000000000006</v>
      </c>
      <c r="J20" s="32">
        <f>'NASS Data'!$R102</f>
        <v>108.496</v>
      </c>
      <c r="K20" s="33"/>
      <c r="L20" s="33"/>
      <c r="M20" s="33"/>
      <c r="O20" s="49">
        <v>2021</v>
      </c>
      <c r="P20" s="55">
        <f t="array" ref="P20:W20">TRANSPOSE('Corn Gluten Meal Balance Sheet'!AC21:AC28)</f>
        <v>116.178</v>
      </c>
      <c r="Q20" s="52">
        <v>97.68</v>
      </c>
      <c r="R20" s="52">
        <v>113.36499999999999</v>
      </c>
      <c r="S20" s="52">
        <v>113.905</v>
      </c>
      <c r="T20" s="52">
        <v>114.13500000000001</v>
      </c>
      <c r="U20" s="52">
        <v>112.18899999999999</v>
      </c>
      <c r="V20" s="52">
        <v>103.107</v>
      </c>
      <c r="W20" s="52">
        <v>106.05</v>
      </c>
      <c r="X20" s="52">
        <f t="array" ref="X20:AA20">TRANSPOSE('Corn Gluten Meal Balance Sheet'!AD17:AD20)</f>
        <v>106.657</v>
      </c>
      <c r="Y20" s="52">
        <v>108.083</v>
      </c>
      <c r="Z20" s="52">
        <v>110.303</v>
      </c>
      <c r="AA20" s="52">
        <v>107.003</v>
      </c>
    </row>
    <row r="21" spans="1:27">
      <c r="A21" s="31" t="s">
        <v>12</v>
      </c>
      <c r="B21" s="32">
        <f>'NASS Data'!$R7</f>
        <v>93.078000000000003</v>
      </c>
      <c r="C21" s="32">
        <f>'NASS Data'!$R19</f>
        <v>91.944999999999993</v>
      </c>
      <c r="D21" s="32">
        <f>'NASS Data'!$R31</f>
        <v>89.491</v>
      </c>
      <c r="E21" s="32">
        <f>'NASS Data'!$R43</f>
        <v>97.156999999999996</v>
      </c>
      <c r="F21" s="32">
        <f>'NASS Data'!$R55</f>
        <v>88.89</v>
      </c>
      <c r="G21" s="32">
        <f>'NASS Data'!$R67</f>
        <v>92.269000000000005</v>
      </c>
      <c r="H21" s="32">
        <f>'NASS Data'!$R79</f>
        <v>113.36499999999999</v>
      </c>
      <c r="I21" s="32">
        <f>'NASS Data'!$R91</f>
        <v>109.13</v>
      </c>
      <c r="J21" s="32">
        <f>'NASS Data'!$R103</f>
        <v>117.55</v>
      </c>
      <c r="K21" s="33"/>
      <c r="L21" s="33"/>
      <c r="M21" s="33"/>
    </row>
    <row r="22" spans="1:27">
      <c r="A22" s="31" t="s">
        <v>13</v>
      </c>
      <c r="B22" s="32">
        <f>'NASS Data'!$R8</f>
        <v>89.355999999999995</v>
      </c>
      <c r="C22" s="32">
        <f>'NASS Data'!$R20</f>
        <v>84.915999999999997</v>
      </c>
      <c r="D22" s="32">
        <f>'NASS Data'!$R32</f>
        <v>90.132999999999996</v>
      </c>
      <c r="E22" s="32">
        <f>'NASS Data'!$R44</f>
        <v>91.427000000000007</v>
      </c>
      <c r="F22" s="32">
        <f>'NASS Data'!$R56</f>
        <v>91.364000000000004</v>
      </c>
      <c r="G22" s="32">
        <f>'NASS Data'!$R68</f>
        <v>76.897000000000006</v>
      </c>
      <c r="H22" s="32">
        <f>'NASS Data'!$R80</f>
        <v>113.905</v>
      </c>
      <c r="I22" s="32">
        <f>'NASS Data'!$R92</f>
        <v>102.67700000000001</v>
      </c>
      <c r="J22" s="32">
        <f>'NASS Data'!$R104</f>
        <v>109.13500000000001</v>
      </c>
      <c r="K22" s="33"/>
      <c r="L22" s="33"/>
      <c r="M22" s="33"/>
      <c r="O22" t="s">
        <v>45</v>
      </c>
    </row>
    <row r="23" spans="1:27" ht="15.75" thickBot="1">
      <c r="A23" s="31" t="s">
        <v>14</v>
      </c>
      <c r="B23" s="32">
        <f>'NASS Data'!$R9</f>
        <v>97.138999999999996</v>
      </c>
      <c r="C23" s="32">
        <f>'NASS Data'!$R21</f>
        <v>88.177000000000007</v>
      </c>
      <c r="D23" s="32">
        <f>'NASS Data'!$R33</f>
        <v>91.894999999999996</v>
      </c>
      <c r="E23" s="32">
        <f>'NASS Data'!$R45</f>
        <v>92.486999999999995</v>
      </c>
      <c r="F23" s="32">
        <f>'NASS Data'!$R57</f>
        <v>93.185000000000002</v>
      </c>
      <c r="G23" s="32">
        <f>'NASS Data'!$R69</f>
        <v>91.013000000000005</v>
      </c>
      <c r="H23" s="32">
        <f>'NASS Data'!$R81</f>
        <v>114.13500000000001</v>
      </c>
      <c r="I23" s="32">
        <f>'NASS Data'!$R93</f>
        <v>112.099</v>
      </c>
      <c r="J23" s="33"/>
      <c r="K23" s="33"/>
      <c r="L23" s="33"/>
      <c r="M23" s="33"/>
      <c r="P23" s="41" t="s">
        <v>30</v>
      </c>
      <c r="Q23" s="42" t="s">
        <v>31</v>
      </c>
      <c r="R23" s="42" t="s">
        <v>32</v>
      </c>
      <c r="S23" s="42" t="s">
        <v>33</v>
      </c>
      <c r="T23" s="42" t="s">
        <v>14</v>
      </c>
      <c r="U23" s="42" t="s">
        <v>34</v>
      </c>
      <c r="V23" s="42" t="s">
        <v>35</v>
      </c>
      <c r="W23" s="42" t="s">
        <v>36</v>
      </c>
      <c r="X23" s="42" t="s">
        <v>37</v>
      </c>
      <c r="Y23" s="42" t="s">
        <v>38</v>
      </c>
      <c r="Z23" s="42" t="s">
        <v>39</v>
      </c>
      <c r="AA23" s="42" t="s">
        <v>40</v>
      </c>
    </row>
    <row r="24" spans="1:27">
      <c r="A24" s="31" t="s">
        <v>15</v>
      </c>
      <c r="B24" s="32">
        <f>'NASS Data'!$R10</f>
        <v>92.236999999999995</v>
      </c>
      <c r="C24" s="32">
        <f>'NASS Data'!$R22</f>
        <v>84.034000000000006</v>
      </c>
      <c r="D24" s="32">
        <f>'NASS Data'!$R34</f>
        <v>86.805999999999997</v>
      </c>
      <c r="E24" s="32">
        <f>'NASS Data'!$R46</f>
        <v>93.356999999999999</v>
      </c>
      <c r="F24" s="32">
        <f>'NASS Data'!$R58</f>
        <v>92.106999999999999</v>
      </c>
      <c r="G24" s="32">
        <f>'NASS Data'!$R70</f>
        <v>90.257000000000005</v>
      </c>
      <c r="H24" s="32">
        <f>'NASS Data'!$R82</f>
        <v>112.18899999999999</v>
      </c>
      <c r="I24" s="32">
        <f>'NASS Data'!$R94</f>
        <v>91.72</v>
      </c>
      <c r="J24" s="33"/>
      <c r="K24" s="33"/>
      <c r="L24" s="33"/>
      <c r="M24" s="33"/>
      <c r="O24" s="43">
        <v>2015</v>
      </c>
      <c r="P24" s="44">
        <f t="array" ref="P24:W24">TRANSPOSE('DDG Balance Sheet'!W21:W28)</f>
        <v>4227.5200000000004</v>
      </c>
      <c r="Q24" s="45">
        <v>3714.4339999999997</v>
      </c>
      <c r="R24" s="45">
        <v>4114.2510000000002</v>
      </c>
      <c r="S24" s="45">
        <v>3790.0069999999996</v>
      </c>
      <c r="T24" s="45">
        <v>4064.125</v>
      </c>
      <c r="U24" s="45">
        <v>4002.509</v>
      </c>
      <c r="V24" s="45">
        <v>4048.223</v>
      </c>
      <c r="W24" s="45">
        <v>4005.33</v>
      </c>
      <c r="X24" s="45">
        <f t="array" ref="X24:AA24">TRANSPOSE('DDG Balance Sheet'!X17:X20)</f>
        <v>3952.0809999999997</v>
      </c>
      <c r="Y24" s="45">
        <v>4098.6170000000002</v>
      </c>
      <c r="Z24" s="45">
        <v>4000.4770000000003</v>
      </c>
      <c r="AA24" s="45">
        <v>4206.0680000000002</v>
      </c>
    </row>
    <row r="25" spans="1:27">
      <c r="A25" s="31" t="s">
        <v>16</v>
      </c>
      <c r="B25" s="32">
        <f>'NASS Data'!$R11</f>
        <v>97.13</v>
      </c>
      <c r="C25" s="32">
        <f>'NASS Data'!$R23</f>
        <v>89.125</v>
      </c>
      <c r="D25" s="32">
        <f>'NASS Data'!$R35</f>
        <v>85.087000000000003</v>
      </c>
      <c r="E25" s="32">
        <f>'NASS Data'!$R47</f>
        <v>93.113</v>
      </c>
      <c r="F25" s="32">
        <f>'NASS Data'!$R59</f>
        <v>93.494</v>
      </c>
      <c r="G25" s="32">
        <f>'NASS Data'!$R71</f>
        <v>93.578000000000003</v>
      </c>
      <c r="H25" s="32">
        <f>'NASS Data'!$R83</f>
        <v>103.107</v>
      </c>
      <c r="I25" s="32">
        <f>'NASS Data'!$R95</f>
        <v>105.79600000000001</v>
      </c>
      <c r="J25" s="33"/>
      <c r="K25" s="33"/>
      <c r="L25" s="33"/>
      <c r="M25" s="33"/>
      <c r="O25" s="46">
        <v>2016</v>
      </c>
      <c r="P25" s="47">
        <f t="array" ref="P25:W25">TRANSPOSE('DDG Balance Sheet'!X21:X28)</f>
        <v>4056.1759999999999</v>
      </c>
      <c r="Q25" s="48">
        <v>3813.9539999999997</v>
      </c>
      <c r="R25" s="48">
        <v>4080.8240000000001</v>
      </c>
      <c r="S25" s="48">
        <v>3786.4909999999995</v>
      </c>
      <c r="T25" s="48">
        <v>3916.3630000000003</v>
      </c>
      <c r="U25" s="48">
        <v>3867.7969999999996</v>
      </c>
      <c r="V25" s="48">
        <v>4040.1770000000001</v>
      </c>
      <c r="W25" s="48">
        <v>4085.3560000000002</v>
      </c>
      <c r="X25" s="48">
        <f t="array" ref="X25:AA25">TRANSPOSE('DDG Balance Sheet'!Y17:Y20)</f>
        <v>3932.3230000000003</v>
      </c>
      <c r="Y25" s="48">
        <v>4039.9210000000003</v>
      </c>
      <c r="Z25" s="48">
        <v>4089.2109999999998</v>
      </c>
      <c r="AA25" s="48">
        <v>4401.5069999999996</v>
      </c>
    </row>
    <row r="26" spans="1:27">
      <c r="A26" s="31" t="s">
        <v>17</v>
      </c>
      <c r="B26" s="32">
        <f>'NASS Data'!$R12</f>
        <v>96.072000000000003</v>
      </c>
      <c r="C26" s="32">
        <f>'NASS Data'!$R24</f>
        <v>87.793000000000006</v>
      </c>
      <c r="D26" s="32">
        <f>'NASS Data'!$R36</f>
        <v>92.822999999999993</v>
      </c>
      <c r="E26" s="32">
        <f>'NASS Data'!$R48</f>
        <v>91.947000000000003</v>
      </c>
      <c r="F26" s="32">
        <f>'NASS Data'!$R60</f>
        <v>90.513000000000005</v>
      </c>
      <c r="G26" s="32">
        <f>'NASS Data'!$R72</f>
        <v>86.406000000000006</v>
      </c>
      <c r="H26" s="32">
        <f>'NASS Data'!$R84</f>
        <v>106.05</v>
      </c>
      <c r="I26" s="32">
        <f>'NASS Data'!$R96</f>
        <v>102.538</v>
      </c>
      <c r="J26" s="33"/>
      <c r="K26" s="33"/>
      <c r="L26" s="33"/>
      <c r="M26" s="33"/>
      <c r="O26" s="49">
        <v>2017</v>
      </c>
      <c r="P26" s="50">
        <f t="array" ref="P26:W26">TRANSPOSE('DDG Balance Sheet'!Y21:Y28)</f>
        <v>4342.1710000000003</v>
      </c>
      <c r="Q26" s="51">
        <v>3896.1990000000001</v>
      </c>
      <c r="R26" s="51">
        <v>4271.2330000000002</v>
      </c>
      <c r="S26" s="51">
        <v>3923.5830000000001</v>
      </c>
      <c r="T26" s="51">
        <v>4164.2299999999996</v>
      </c>
      <c r="U26" s="51">
        <v>3972.3589999999999</v>
      </c>
      <c r="V26" s="51">
        <v>4159.53</v>
      </c>
      <c r="W26" s="51">
        <v>4318.4629999999997</v>
      </c>
      <c r="X26" s="51">
        <f t="array" ref="X26:AA26">TRANSPOSE('DDG Balance Sheet'!Z17:Z20)</f>
        <v>4011.4369999999999</v>
      </c>
      <c r="Y26" s="51">
        <v>4189.3490000000002</v>
      </c>
      <c r="Z26" s="51">
        <v>4279.2060000000001</v>
      </c>
      <c r="AA26" s="51">
        <v>4353.2579999999998</v>
      </c>
    </row>
    <row r="27" spans="1:27">
      <c r="A27" s="31" t="s">
        <v>18</v>
      </c>
      <c r="B27" s="32">
        <f>'NASS Data'!$R13</f>
        <v>86.522000000000006</v>
      </c>
      <c r="C27" s="32">
        <f>'NASS Data'!$R25</f>
        <v>86.724999999999994</v>
      </c>
      <c r="D27" s="32">
        <f>'NASS Data'!$R37</f>
        <v>87.322000000000003</v>
      </c>
      <c r="E27" s="32">
        <f>'NASS Data'!$R49</f>
        <v>83.262</v>
      </c>
      <c r="F27" s="32">
        <f>'NASS Data'!$R61</f>
        <v>86.423000000000002</v>
      </c>
      <c r="G27" s="32">
        <f>'NASS Data'!$R73</f>
        <v>85.347999999999999</v>
      </c>
      <c r="H27" s="32">
        <f>'NASS Data'!$R85</f>
        <v>106.657</v>
      </c>
      <c r="I27" s="32">
        <f>'NASS Data'!$R97</f>
        <v>101.78700000000001</v>
      </c>
      <c r="J27" s="33"/>
      <c r="K27" s="33"/>
      <c r="L27" s="33"/>
      <c r="M27" s="33"/>
      <c r="O27" s="46">
        <v>2018</v>
      </c>
      <c r="P27" s="47">
        <f t="array" ref="P27:W27">TRANSPOSE('DDG Balance Sheet'!Z21:Z28)</f>
        <v>4348.7520000000004</v>
      </c>
      <c r="Q27" s="48">
        <v>3917.4470000000001</v>
      </c>
      <c r="R27" s="48">
        <v>4282.6689999999999</v>
      </c>
      <c r="S27" s="48">
        <v>4084.864</v>
      </c>
      <c r="T27" s="48">
        <v>4225.6350000000002</v>
      </c>
      <c r="U27" s="48">
        <v>4106.3519999999999</v>
      </c>
      <c r="V27" s="48">
        <v>4250.6119999999992</v>
      </c>
      <c r="W27" s="48">
        <v>4295.942</v>
      </c>
      <c r="X27" s="48">
        <f t="array" ref="X27:AA27">TRANSPOSE('DDG Balance Sheet'!AA17:AA20)</f>
        <v>4032.2690000000002</v>
      </c>
      <c r="Y27" s="48">
        <v>4162.1709999999994</v>
      </c>
      <c r="Z27" s="48">
        <v>4094.0299999999997</v>
      </c>
      <c r="AA27" s="48">
        <v>4150.326</v>
      </c>
    </row>
    <row r="28" spans="1:27">
      <c r="A28" s="31" t="s">
        <v>19</v>
      </c>
      <c r="B28" s="32">
        <f>'NASS Data'!$R14</f>
        <v>83.212999999999994</v>
      </c>
      <c r="C28" s="32">
        <f>'NASS Data'!$R26</f>
        <v>86.227000000000004</v>
      </c>
      <c r="D28" s="32">
        <f>'NASS Data'!$R38</f>
        <v>93.462999999999994</v>
      </c>
      <c r="E28" s="32">
        <f>'NASS Data'!$R50</f>
        <v>90.899000000000001</v>
      </c>
      <c r="F28" s="32">
        <f>'NASS Data'!$R62</f>
        <v>87.588999999999999</v>
      </c>
      <c r="G28" s="32">
        <f>'NASS Data'!$R74</f>
        <v>108.84399999999999</v>
      </c>
      <c r="H28" s="32">
        <f>'NASS Data'!$R86</f>
        <v>108.083</v>
      </c>
      <c r="I28" s="32">
        <f>'NASS Data'!$R98</f>
        <v>116.27</v>
      </c>
      <c r="J28" s="33"/>
      <c r="K28" s="33"/>
      <c r="L28" s="33"/>
      <c r="M28" s="33"/>
      <c r="O28" s="49">
        <v>2019</v>
      </c>
      <c r="P28" s="50">
        <f t="array" ref="P28:W28">TRANSPOSE('DDG Balance Sheet'!AA21:AA28)</f>
        <v>4019.5609999999997</v>
      </c>
      <c r="Q28" s="51">
        <v>3669.7979999999998</v>
      </c>
      <c r="R28" s="51">
        <v>3937.6790000000001</v>
      </c>
      <c r="S28" s="51">
        <v>3951.0159999999996</v>
      </c>
      <c r="T28" s="51">
        <v>4144.2539999999999</v>
      </c>
      <c r="U28" s="51">
        <v>4014.826</v>
      </c>
      <c r="V28" s="51">
        <v>3942.0770000000002</v>
      </c>
      <c r="W28" s="51">
        <v>4042.5889999999999</v>
      </c>
      <c r="X28" s="51">
        <f t="array" ref="X28:AA28">TRANSPOSE('DDG Balance Sheet'!AB17:AB20)</f>
        <v>3692.2960000000003</v>
      </c>
      <c r="Y28" s="52">
        <v>3914.8310000000001</v>
      </c>
      <c r="Z28" s="52">
        <v>4003.2789999999995</v>
      </c>
      <c r="AA28" s="52">
        <v>4193.4520000000002</v>
      </c>
    </row>
    <row r="29" spans="1:27">
      <c r="A29" s="31" t="s">
        <v>20</v>
      </c>
      <c r="B29" s="32">
        <f>'NASS Data'!$R15</f>
        <v>84.504999999999995</v>
      </c>
      <c r="C29" s="32">
        <f>'NASS Data'!$R27</f>
        <v>84.091999999999999</v>
      </c>
      <c r="D29" s="32">
        <f>'NASS Data'!$R39</f>
        <v>90.366</v>
      </c>
      <c r="E29" s="32">
        <f>'NASS Data'!$R51</f>
        <v>85.51</v>
      </c>
      <c r="F29" s="32">
        <f>'NASS Data'!$R63</f>
        <v>90.102000000000004</v>
      </c>
      <c r="G29" s="32">
        <f>'NASS Data'!$R75</f>
        <v>108.624</v>
      </c>
      <c r="H29" s="32">
        <f>'NASS Data'!$R87</f>
        <v>110.303</v>
      </c>
      <c r="I29" s="32">
        <f>'NASS Data'!$R99</f>
        <v>112.372</v>
      </c>
      <c r="J29" s="33"/>
      <c r="K29" s="33"/>
      <c r="L29" s="33"/>
      <c r="M29" s="33"/>
      <c r="O29" s="46">
        <v>2020</v>
      </c>
      <c r="P29" s="53">
        <f t="array" ref="P29:W29">TRANSPOSE('DDG Balance Sheet'!AB21:AB28)</f>
        <v>4172.2690000000002</v>
      </c>
      <c r="Q29" s="54">
        <v>3829.8209999999999</v>
      </c>
      <c r="R29" s="54">
        <v>3657.9430000000002</v>
      </c>
      <c r="S29" s="54">
        <v>2158.1390000000001</v>
      </c>
      <c r="T29" s="54">
        <v>2377.7740000000003</v>
      </c>
      <c r="U29" s="54">
        <v>3066.0309999999999</v>
      </c>
      <c r="V29" s="54">
        <v>3427.5029999999997</v>
      </c>
      <c r="W29" s="54">
        <v>3448.3919999999998</v>
      </c>
      <c r="X29" s="54">
        <f t="array" ref="X29:AA29">TRANSPOSE('DDG Balance Sheet'!AC17:AC20)</f>
        <v>3442.7719999999999</v>
      </c>
      <c r="Y29" s="54">
        <v>3619.4520000000002</v>
      </c>
      <c r="Z29" s="54">
        <v>3665.8199999999997</v>
      </c>
      <c r="AA29" s="54">
        <v>3681.9030000000002</v>
      </c>
    </row>
    <row r="30" spans="1:27">
      <c r="A30" s="31" t="s">
        <v>21</v>
      </c>
      <c r="B30" s="32">
        <f>'NASS Data'!$R16</f>
        <v>88.921000000000006</v>
      </c>
      <c r="C30" s="32">
        <f>'NASS Data'!$R28</f>
        <v>89.091999999999999</v>
      </c>
      <c r="D30" s="32">
        <f>'NASS Data'!$R40</f>
        <v>91.091999999999999</v>
      </c>
      <c r="E30" s="32">
        <f>'NASS Data'!$R52</f>
        <v>88.638000000000005</v>
      </c>
      <c r="F30" s="32">
        <f>'NASS Data'!$R64</f>
        <v>93.644000000000005</v>
      </c>
      <c r="G30" s="32">
        <f>'NASS Data'!$R76</f>
        <v>113.754</v>
      </c>
      <c r="H30" s="32">
        <f>'NASS Data'!$R88</f>
        <v>107.003</v>
      </c>
      <c r="I30" s="32">
        <f>'NASS Data'!$R100</f>
        <v>99.584999999999994</v>
      </c>
      <c r="J30" s="33"/>
      <c r="K30" s="33"/>
      <c r="L30" s="33"/>
      <c r="M30" s="33"/>
      <c r="O30" s="49">
        <v>2021</v>
      </c>
      <c r="P30" s="55">
        <f t="array" ref="P30:W30">TRANSPOSE('DDG Balance Sheet'!AC21:AC28)</f>
        <v>3554.4750000000004</v>
      </c>
      <c r="Q30" s="52">
        <v>2932.308</v>
      </c>
      <c r="R30" s="52">
        <v>3677.5209999999997</v>
      </c>
      <c r="S30" s="52">
        <v>3562.9059999999999</v>
      </c>
      <c r="T30" s="52">
        <v>3752.3990000000003</v>
      </c>
      <c r="U30" s="52">
        <v>3821.8310000000001</v>
      </c>
      <c r="V30" s="52">
        <v>3833.3469999999998</v>
      </c>
      <c r="W30" s="52">
        <v>3688.4750000000004</v>
      </c>
      <c r="X30" s="52">
        <f t="array" ref="X30:AA30">TRANSPOSE('DDG Balance Sheet'!AD17:AD20)</f>
        <v>3665.723</v>
      </c>
      <c r="Y30" s="52">
        <v>4028.8229999999999</v>
      </c>
      <c r="Z30" s="52">
        <v>4221.268</v>
      </c>
      <c r="AA30" s="52">
        <v>4425.18</v>
      </c>
    </row>
    <row r="31" spans="1:27" ht="15.75" thickBot="1">
      <c r="A31" s="34" t="s">
        <v>22</v>
      </c>
      <c r="B31" s="35">
        <f>SUM(B19:B30)</f>
        <v>1079.645</v>
      </c>
      <c r="C31" s="35">
        <f t="shared" ref="C31:I31" si="1">SUM(C19:C30)</f>
        <v>1043.0350000000001</v>
      </c>
      <c r="D31" s="35">
        <f t="shared" si="1"/>
        <v>1067.8509999999999</v>
      </c>
      <c r="E31" s="35">
        <f t="shared" si="1"/>
        <v>1090.24</v>
      </c>
      <c r="F31" s="35">
        <f t="shared" si="1"/>
        <v>1068.9790000000003</v>
      </c>
      <c r="G31" s="35">
        <f t="shared" si="1"/>
        <v>1128.1079999999999</v>
      </c>
      <c r="H31" s="35">
        <f t="shared" si="1"/>
        <v>1308.655</v>
      </c>
      <c r="I31" s="35">
        <f t="shared" si="1"/>
        <v>1234.7250000000001</v>
      </c>
      <c r="J31" s="36"/>
      <c r="K31" s="36"/>
      <c r="L31" s="36"/>
      <c r="M31" s="36"/>
    </row>
    <row r="32" spans="1:27">
      <c r="A32" s="37"/>
      <c r="B32" s="38"/>
      <c r="C32" s="39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spans="1:27" ht="18.75" thickBot="1">
      <c r="A33" s="27" t="s">
        <v>46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1:27" ht="15.75" thickBot="1">
      <c r="A34" s="40" t="s">
        <v>28</v>
      </c>
      <c r="B34" s="30">
        <f>B2</f>
        <v>2015</v>
      </c>
      <c r="C34" s="30">
        <f t="shared" ref="C34:M34" si="2">C2</f>
        <v>2016</v>
      </c>
      <c r="D34" s="30">
        <f t="shared" si="2"/>
        <v>2017</v>
      </c>
      <c r="E34" s="30">
        <f t="shared" si="2"/>
        <v>2018</v>
      </c>
      <c r="F34" s="30">
        <f t="shared" si="2"/>
        <v>2019</v>
      </c>
      <c r="G34" s="30">
        <f t="shared" si="2"/>
        <v>2020</v>
      </c>
      <c r="H34" s="30">
        <f t="shared" si="2"/>
        <v>2021</v>
      </c>
      <c r="I34" s="30">
        <f t="shared" si="2"/>
        <v>2022</v>
      </c>
      <c r="J34" s="30">
        <f t="shared" si="2"/>
        <v>2023</v>
      </c>
      <c r="K34" s="30">
        <f t="shared" si="2"/>
        <v>2024</v>
      </c>
      <c r="L34" s="30">
        <f t="shared" si="2"/>
        <v>2025</v>
      </c>
      <c r="M34" s="30">
        <f t="shared" si="2"/>
        <v>2026</v>
      </c>
      <c r="P34" s="41" t="s">
        <v>30</v>
      </c>
      <c r="Q34" s="42" t="s">
        <v>31</v>
      </c>
      <c r="R34" s="42" t="s">
        <v>32</v>
      </c>
      <c r="S34" s="42" t="s">
        <v>33</v>
      </c>
      <c r="T34" s="42" t="s">
        <v>14</v>
      </c>
      <c r="U34" s="42" t="s">
        <v>34</v>
      </c>
      <c r="V34" s="42" t="s">
        <v>35</v>
      </c>
      <c r="W34" s="42" t="s">
        <v>36</v>
      </c>
      <c r="X34" s="42" t="s">
        <v>37</v>
      </c>
      <c r="Y34" s="42" t="s">
        <v>38</v>
      </c>
      <c r="Z34" s="42" t="s">
        <v>39</v>
      </c>
      <c r="AA34" s="42" t="s">
        <v>40</v>
      </c>
    </row>
    <row r="35" spans="1:27">
      <c r="A35" s="31" t="s">
        <v>10</v>
      </c>
      <c r="B35" s="32">
        <f>'NASS Data'!$Q5</f>
        <v>321.76799999999997</v>
      </c>
      <c r="C35" s="32">
        <f>'NASS Data'!$Q17</f>
        <v>321.95600000000002</v>
      </c>
      <c r="D35" s="32">
        <f>'NASS Data'!$Q29</f>
        <v>347.38900000000001</v>
      </c>
      <c r="E35" s="32">
        <f>'NASS Data'!$Q41</f>
        <v>303.96600000000001</v>
      </c>
      <c r="F35" s="32">
        <f>'NASS Data'!$Q53</f>
        <v>263.21800000000002</v>
      </c>
      <c r="G35" s="32">
        <f>'NASS Data'!$Q65</f>
        <v>308.08100000000002</v>
      </c>
      <c r="H35" s="32">
        <f>'NASS Data'!$Q77</f>
        <v>282.16300000000001</v>
      </c>
      <c r="I35" s="32">
        <f>'NASS Data'!$Q89</f>
        <v>271.89</v>
      </c>
      <c r="J35" s="32">
        <f>'NASS Data'!$Q101</f>
        <v>268.44600000000003</v>
      </c>
      <c r="K35" s="33"/>
      <c r="L35" s="33"/>
      <c r="M35" s="33"/>
      <c r="O35" s="43">
        <v>2015</v>
      </c>
      <c r="P35" s="44">
        <v>47.661785823624783</v>
      </c>
      <c r="Q35" s="45">
        <v>40.123670610474441</v>
      </c>
      <c r="R35" s="45">
        <v>45.878614364337658</v>
      </c>
      <c r="S35" s="45">
        <v>42.536482058337022</v>
      </c>
      <c r="T35" s="45">
        <v>47.205888294756065</v>
      </c>
      <c r="U35" s="45">
        <v>45.171104917941626</v>
      </c>
      <c r="V35" s="45">
        <v>47.021277589796654</v>
      </c>
      <c r="W35" s="45">
        <v>47.361013108572031</v>
      </c>
      <c r="X35" s="45">
        <v>43.527606787009631</v>
      </c>
      <c r="Y35" s="45">
        <v>44.66333441094654</v>
      </c>
      <c r="Z35" s="45">
        <v>45.991977264487396</v>
      </c>
      <c r="AA35" s="45">
        <v>50.064</v>
      </c>
    </row>
    <row r="36" spans="1:27">
      <c r="A36" s="31" t="s">
        <v>11</v>
      </c>
      <c r="B36" s="32">
        <f>'NASS Data'!$Q6</f>
        <v>283.99</v>
      </c>
      <c r="C36" s="32">
        <f>'NASS Data'!$Q18</f>
        <v>312.012</v>
      </c>
      <c r="D36" s="32">
        <f>'NASS Data'!$Q30</f>
        <v>269.32499999999999</v>
      </c>
      <c r="E36" s="32">
        <f>'NASS Data'!$Q42</f>
        <v>285.46600000000001</v>
      </c>
      <c r="F36" s="32">
        <f>'NASS Data'!$Q54</f>
        <v>250.857</v>
      </c>
      <c r="G36" s="32">
        <f>'NASS Data'!$Q66</f>
        <v>281.16000000000003</v>
      </c>
      <c r="H36" s="32">
        <f>'NASS Data'!$Q78</f>
        <v>217.60499999999999</v>
      </c>
      <c r="I36" s="32">
        <f>'NASS Data'!$Q90</f>
        <v>237.55500000000001</v>
      </c>
      <c r="J36" s="32">
        <f>'NASS Data'!$Q102</f>
        <v>247.81700000000001</v>
      </c>
      <c r="K36" s="33"/>
      <c r="L36" s="33"/>
      <c r="M36" s="33"/>
      <c r="O36" s="46">
        <v>2016</v>
      </c>
      <c r="P36" s="47">
        <v>47.339111946450366</v>
      </c>
      <c r="Q36" s="48">
        <v>43.428396131911462</v>
      </c>
      <c r="R36" s="48">
        <v>48.386749511676726</v>
      </c>
      <c r="S36" s="48">
        <v>43.098328358208953</v>
      </c>
      <c r="T36" s="48">
        <v>46.197947535783626</v>
      </c>
      <c r="U36" s="48">
        <v>44.790369045814096</v>
      </c>
      <c r="V36" s="48">
        <v>47.970020835120245</v>
      </c>
      <c r="W36" s="48">
        <v>46.976691787801478</v>
      </c>
      <c r="X36" s="48">
        <v>46.752814021501834</v>
      </c>
      <c r="Y36" s="48">
        <v>48.383568122685944</v>
      </c>
      <c r="Z36" s="48">
        <v>44.222093158175028</v>
      </c>
      <c r="AA36" s="48">
        <v>49.104000000000006</v>
      </c>
    </row>
    <row r="37" spans="1:27">
      <c r="A37" s="31" t="s">
        <v>12</v>
      </c>
      <c r="B37" s="32">
        <f>'NASS Data'!$Q7</f>
        <v>331.54700000000003</v>
      </c>
      <c r="C37" s="32">
        <f>'NASS Data'!$Q19</f>
        <v>342.66800000000001</v>
      </c>
      <c r="D37" s="32">
        <f>'NASS Data'!$Q31</f>
        <v>355.19400000000002</v>
      </c>
      <c r="E37" s="32">
        <f>'NASS Data'!$Q43</f>
        <v>319.75700000000001</v>
      </c>
      <c r="F37" s="32">
        <f>'NASS Data'!$Q55</f>
        <v>304.04700000000003</v>
      </c>
      <c r="G37" s="32">
        <f>'NASS Data'!$Q67</f>
        <v>291.86099999999999</v>
      </c>
      <c r="H37" s="32">
        <f>'NASS Data'!$Q79</f>
        <v>266.30799999999999</v>
      </c>
      <c r="I37" s="32">
        <f>'NASS Data'!$Q91</f>
        <v>250.25800000000001</v>
      </c>
      <c r="J37" s="32">
        <f>'NASS Data'!$Q103</f>
        <v>292.483</v>
      </c>
      <c r="K37" s="33"/>
      <c r="L37" s="33"/>
      <c r="M37" s="33"/>
      <c r="O37" s="49">
        <v>2017</v>
      </c>
      <c r="P37" s="50">
        <v>49.372</v>
      </c>
      <c r="Q37" s="51">
        <v>41.113999999999997</v>
      </c>
      <c r="R37" s="51">
        <v>46.65</v>
      </c>
      <c r="S37" s="51">
        <v>47.143999999999991</v>
      </c>
      <c r="T37" s="51">
        <v>46.949999999999996</v>
      </c>
      <c r="U37" s="51">
        <v>46.043999999999997</v>
      </c>
      <c r="V37" s="51">
        <v>42.481000000000009</v>
      </c>
      <c r="W37" s="51">
        <v>50.272999999999996</v>
      </c>
      <c r="X37" s="51">
        <v>45.559999999999995</v>
      </c>
      <c r="Y37" s="51">
        <v>51.082000000000001</v>
      </c>
      <c r="Z37" s="51">
        <v>46.535818691458132</v>
      </c>
      <c r="AA37" s="51">
        <v>47.707664658185372</v>
      </c>
    </row>
    <row r="38" spans="1:27">
      <c r="A38" s="31" t="s">
        <v>13</v>
      </c>
      <c r="B38" s="32">
        <f>'NASS Data'!$Q8</f>
        <v>313.88900000000001</v>
      </c>
      <c r="C38" s="32">
        <f>'NASS Data'!$Q20</f>
        <v>306.464</v>
      </c>
      <c r="D38" s="32">
        <f>'NASS Data'!$Q32</f>
        <v>346.37700000000001</v>
      </c>
      <c r="E38" s="32">
        <f>'NASS Data'!$Q44</f>
        <v>304.71600000000001</v>
      </c>
      <c r="F38" s="32">
        <f>'NASS Data'!$Q56</f>
        <v>296.68099999999998</v>
      </c>
      <c r="G38" s="32">
        <f>'NASS Data'!$Q68</f>
        <v>231.14500000000001</v>
      </c>
      <c r="H38" s="32">
        <f>'NASS Data'!$Q80</f>
        <v>291.55799999999999</v>
      </c>
      <c r="I38" s="32">
        <f>'NASS Data'!$Q92</f>
        <v>260.70999999999998</v>
      </c>
      <c r="J38" s="32">
        <f>'NASS Data'!$Q104</f>
        <v>269.495</v>
      </c>
      <c r="K38" s="33"/>
      <c r="L38" s="33"/>
      <c r="M38" s="33"/>
      <c r="O38" s="46">
        <v>2018</v>
      </c>
      <c r="P38" s="47">
        <v>46.79077055780791</v>
      </c>
      <c r="Q38" s="48">
        <v>42.65298093107787</v>
      </c>
      <c r="R38" s="48">
        <v>46.513370781490281</v>
      </c>
      <c r="S38" s="48">
        <v>43.999204865091578</v>
      </c>
      <c r="T38" s="48">
        <v>46.666059946875443</v>
      </c>
      <c r="U38" s="48">
        <v>45.705137578638336</v>
      </c>
      <c r="V38" s="48">
        <v>47.507260128617368</v>
      </c>
      <c r="W38" s="48">
        <v>47.828471284775617</v>
      </c>
      <c r="X38" s="48">
        <v>48.127494507036566</v>
      </c>
      <c r="Y38" s="48">
        <v>48.501486090116359</v>
      </c>
      <c r="Z38" s="48">
        <v>46.893642755724287</v>
      </c>
      <c r="AA38" s="48">
        <v>50.226744993894421</v>
      </c>
    </row>
    <row r="39" spans="1:27">
      <c r="A39" s="31" t="s">
        <v>14</v>
      </c>
      <c r="B39" s="32">
        <f>'NASS Data'!$Q9</f>
        <v>348.35500000000002</v>
      </c>
      <c r="C39" s="32">
        <f>'NASS Data'!$Q21</f>
        <v>332.97500000000002</v>
      </c>
      <c r="D39" s="32">
        <f>'NASS Data'!$Q33</f>
        <v>341.16699999999997</v>
      </c>
      <c r="E39" s="32">
        <f>'NASS Data'!$Q45</f>
        <v>291.54199999999997</v>
      </c>
      <c r="F39" s="32">
        <f>'NASS Data'!$Q57</f>
        <v>298.34699999999998</v>
      </c>
      <c r="G39" s="32">
        <f>'NASS Data'!$Q69</f>
        <v>291.06400000000002</v>
      </c>
      <c r="H39" s="32">
        <f>'NASS Data'!$Q81</f>
        <v>299.12299999999999</v>
      </c>
      <c r="I39" s="32">
        <f>'NASS Data'!$Q93</f>
        <v>294.36700000000002</v>
      </c>
      <c r="J39" s="33"/>
      <c r="K39" s="33"/>
      <c r="L39" s="33"/>
      <c r="M39" s="33"/>
      <c r="O39" s="49">
        <v>2019</v>
      </c>
      <c r="P39" s="50">
        <v>48.107334811159774</v>
      </c>
      <c r="Q39" s="51">
        <v>41.127829953563534</v>
      </c>
      <c r="R39" s="51">
        <v>47.256063442527946</v>
      </c>
      <c r="S39" s="51">
        <v>47.506435332053471</v>
      </c>
      <c r="T39" s="51">
        <v>49.536202586978227</v>
      </c>
      <c r="U39" s="51">
        <v>55.429998903690304</v>
      </c>
      <c r="V39" s="51">
        <v>53.600824742792945</v>
      </c>
      <c r="W39" s="51">
        <v>49.261744731880533</v>
      </c>
      <c r="X39" s="51">
        <v>47.447187453447981</v>
      </c>
      <c r="Y39" s="52">
        <v>47.805405438373469</v>
      </c>
      <c r="Z39" s="52">
        <v>47.364300206333589</v>
      </c>
      <c r="AA39" s="52">
        <v>46.776266929493957</v>
      </c>
    </row>
    <row r="40" spans="1:27">
      <c r="A40" s="31" t="s">
        <v>15</v>
      </c>
      <c r="B40" s="32">
        <f>'NASS Data'!$Q10</f>
        <v>321.209</v>
      </c>
      <c r="C40" s="32">
        <f>'NASS Data'!$Q22</f>
        <v>331.81200000000001</v>
      </c>
      <c r="D40" s="32">
        <f>'NASS Data'!$Q34</f>
        <v>341.21499999999997</v>
      </c>
      <c r="E40" s="32">
        <f>'NASS Data'!$Q46</f>
        <v>301.89600000000002</v>
      </c>
      <c r="F40" s="32">
        <f>'NASS Data'!$Q58</f>
        <v>286.101</v>
      </c>
      <c r="G40" s="32">
        <f>'NASS Data'!$Q70</f>
        <v>294.07400000000001</v>
      </c>
      <c r="H40" s="32">
        <f>'NASS Data'!$Q82</f>
        <v>287.839</v>
      </c>
      <c r="I40" s="32">
        <f>'NASS Data'!$Q94</f>
        <v>287.21100000000001</v>
      </c>
      <c r="J40" s="33"/>
      <c r="K40" s="33"/>
      <c r="L40" s="33"/>
      <c r="M40" s="33"/>
      <c r="O40" s="46">
        <v>2020</v>
      </c>
      <c r="P40" s="53">
        <v>46.376390389021296</v>
      </c>
      <c r="Q40" s="54">
        <v>50.183005333989378</v>
      </c>
      <c r="R40" s="54">
        <v>47.667198680096561</v>
      </c>
      <c r="S40" s="54">
        <v>52.869697370887209</v>
      </c>
      <c r="T40" s="54">
        <v>51.928713850595095</v>
      </c>
      <c r="U40" s="54">
        <v>53.886396573613162</v>
      </c>
      <c r="V40" s="54">
        <v>51.840578926447726</v>
      </c>
      <c r="W40" s="54">
        <v>44.284718174281402</v>
      </c>
      <c r="X40" s="54">
        <v>47.137301134239543</v>
      </c>
      <c r="Y40" s="54">
        <v>47.261307425596598</v>
      </c>
      <c r="Z40" s="54">
        <v>46.475418926375973</v>
      </c>
      <c r="AA40" s="54">
        <v>46.221019630099939</v>
      </c>
    </row>
    <row r="41" spans="1:27">
      <c r="A41" s="31" t="s">
        <v>16</v>
      </c>
      <c r="B41" s="32">
        <f>'NASS Data'!$Q11</f>
        <v>333.82799999999997</v>
      </c>
      <c r="C41" s="32">
        <f>'NASS Data'!$Q23</f>
        <v>339.7</v>
      </c>
      <c r="D41" s="32">
        <f>'NASS Data'!$Q35</f>
        <v>328.03100000000001</v>
      </c>
      <c r="E41" s="32">
        <f>'NASS Data'!$Q47</f>
        <v>321.447</v>
      </c>
      <c r="F41" s="32">
        <f>'NASS Data'!$Q59</f>
        <v>300.572</v>
      </c>
      <c r="G41" s="32">
        <f>'NASS Data'!$Q71</f>
        <v>305.19600000000003</v>
      </c>
      <c r="H41" s="32">
        <f>'NASS Data'!$Q83</f>
        <v>304.52699999999999</v>
      </c>
      <c r="I41" s="32">
        <f>'NASS Data'!$Q95</f>
        <v>271.334</v>
      </c>
      <c r="J41" s="33"/>
      <c r="K41" s="33"/>
      <c r="L41" s="33"/>
      <c r="M41" s="33"/>
      <c r="O41" s="49">
        <v>2021</v>
      </c>
      <c r="P41" s="55">
        <v>45.284991232851375</v>
      </c>
      <c r="Q41" s="52">
        <v>49.372069287914925</v>
      </c>
      <c r="R41" s="52">
        <v>47.129850333299146</v>
      </c>
      <c r="S41" s="52">
        <v>51.78371008919185</v>
      </c>
      <c r="T41" s="52">
        <v>52.235290604520685</v>
      </c>
      <c r="U41" s="52">
        <v>54.270937477320494</v>
      </c>
      <c r="V41" s="52">
        <v>52.355493014110486</v>
      </c>
      <c r="W41" s="52">
        <v>46.841854469804403</v>
      </c>
      <c r="X41" s="52">
        <v>47.137301134239543</v>
      </c>
      <c r="Y41" s="52">
        <v>47.261307425596598</v>
      </c>
      <c r="Z41" s="52">
        <v>46.475418926375973</v>
      </c>
      <c r="AA41" s="52">
        <v>46.221019630099939</v>
      </c>
    </row>
    <row r="42" spans="1:27">
      <c r="A42" s="31" t="s">
        <v>17</v>
      </c>
      <c r="B42" s="32">
        <f>'NASS Data'!$Q12</f>
        <v>343.476</v>
      </c>
      <c r="C42" s="32">
        <f>'NASS Data'!$Q24</f>
        <v>336.916</v>
      </c>
      <c r="D42" s="32">
        <f>'NASS Data'!$Q36</f>
        <v>367.666</v>
      </c>
      <c r="E42" s="32">
        <f>'NASS Data'!$Q48</f>
        <v>325.54700000000003</v>
      </c>
      <c r="F42" s="32">
        <f>'NASS Data'!$Q60</f>
        <v>306.375</v>
      </c>
      <c r="G42" s="32">
        <f>'NASS Data'!$Q72</f>
        <v>260.45299999999997</v>
      </c>
      <c r="H42" s="32">
        <f>'NASS Data'!$Q84</f>
        <v>274.358</v>
      </c>
      <c r="I42" s="32">
        <f>'NASS Data'!$Q96</f>
        <v>248.85599999999999</v>
      </c>
      <c r="J42" s="33"/>
      <c r="K42" s="33"/>
      <c r="L42" s="33"/>
      <c r="M42" s="33"/>
    </row>
    <row r="43" spans="1:27">
      <c r="A43" s="31" t="s">
        <v>18</v>
      </c>
      <c r="B43" s="32">
        <f>'NASS Data'!$Q13</f>
        <v>312.54300000000001</v>
      </c>
      <c r="C43" s="32">
        <f>'NASS Data'!$Q25</f>
        <v>326.21100000000001</v>
      </c>
      <c r="D43" s="32">
        <f>'NASS Data'!$Q37</f>
        <v>321.50599999999997</v>
      </c>
      <c r="E43" s="32">
        <f>'NASS Data'!$Q49</f>
        <v>293.548</v>
      </c>
      <c r="F43" s="32">
        <f>'NASS Data'!$Q61</f>
        <v>289.79700000000003</v>
      </c>
      <c r="G43" s="32">
        <f>'NASS Data'!$Q73</f>
        <v>284.40899999999999</v>
      </c>
      <c r="H43" s="32">
        <f>'NASS Data'!$Q85</f>
        <v>280.23200000000003</v>
      </c>
      <c r="I43" s="32">
        <f>'NASS Data'!$Q97</f>
        <v>238.46799999999999</v>
      </c>
      <c r="J43" s="33"/>
      <c r="K43" s="33"/>
      <c r="L43" s="33"/>
      <c r="M43" s="33"/>
      <c r="P43" s="56" t="s">
        <v>47</v>
      </c>
    </row>
    <row r="44" spans="1:27" ht="15.75" thickBot="1">
      <c r="A44" s="31" t="s">
        <v>19</v>
      </c>
      <c r="B44" s="32">
        <f>'NASS Data'!$Q14</f>
        <v>326.05500000000001</v>
      </c>
      <c r="C44" s="32">
        <f>'NASS Data'!$Q26</f>
        <v>342.589</v>
      </c>
      <c r="D44" s="32">
        <f>'NASS Data'!$Q38</f>
        <v>353.39400000000001</v>
      </c>
      <c r="E44" s="32">
        <f>'NASS Data'!$Q50</f>
        <v>282.71300000000002</v>
      </c>
      <c r="F44" s="32">
        <f>'NASS Data'!$Q62</f>
        <v>293.89</v>
      </c>
      <c r="G44" s="32">
        <f>'NASS Data'!$Q74</f>
        <v>293.79300000000001</v>
      </c>
      <c r="H44" s="32">
        <f>'NASS Data'!$Q86</f>
        <v>300.63400000000001</v>
      </c>
      <c r="I44" s="32">
        <f>'NASS Data'!$Q98</f>
        <v>268.67200000000003</v>
      </c>
      <c r="J44" s="33"/>
      <c r="K44" s="33"/>
      <c r="L44" s="33"/>
      <c r="M44" s="33"/>
      <c r="P44" s="41" t="s">
        <v>30</v>
      </c>
      <c r="Q44" s="42" t="s">
        <v>31</v>
      </c>
      <c r="R44" s="42" t="s">
        <v>32</v>
      </c>
      <c r="S44" s="42" t="s">
        <v>33</v>
      </c>
      <c r="T44" s="42" t="s">
        <v>14</v>
      </c>
      <c r="U44" s="42" t="s">
        <v>34</v>
      </c>
      <c r="V44" s="42" t="s">
        <v>35</v>
      </c>
      <c r="W44" s="42" t="s">
        <v>36</v>
      </c>
      <c r="X44" s="42" t="s">
        <v>37</v>
      </c>
      <c r="Y44" s="42" t="s">
        <v>38</v>
      </c>
      <c r="Z44" s="42" t="s">
        <v>39</v>
      </c>
      <c r="AA44" s="42" t="s">
        <v>40</v>
      </c>
    </row>
    <row r="45" spans="1:27">
      <c r="A45" s="31" t="s">
        <v>20</v>
      </c>
      <c r="B45" s="32">
        <f>'NASS Data'!$Q15</f>
        <v>322.74099999999999</v>
      </c>
      <c r="C45" s="32">
        <f>'NASS Data'!$Q27</f>
        <v>309.30500000000001</v>
      </c>
      <c r="D45" s="32">
        <f>'NASS Data'!$Q39</f>
        <v>311.95699999999999</v>
      </c>
      <c r="E45" s="32">
        <f>'NASS Data'!$Q51</f>
        <v>285.36200000000002</v>
      </c>
      <c r="F45" s="32">
        <f>'NASS Data'!$Q63</f>
        <v>272.089</v>
      </c>
      <c r="G45" s="32">
        <f>'NASS Data'!$Q75</f>
        <v>295.358</v>
      </c>
      <c r="H45" s="32">
        <f>'NASS Data'!$Q87</f>
        <v>278.43400000000003</v>
      </c>
      <c r="I45" s="32">
        <f>'NASS Data'!$Q99</f>
        <v>277.37900000000002</v>
      </c>
      <c r="J45" s="33"/>
      <c r="K45" s="33"/>
      <c r="L45" s="33"/>
      <c r="M45" s="33"/>
      <c r="O45" s="43">
        <v>2015</v>
      </c>
      <c r="P45" s="44">
        <v>47.661785823624783</v>
      </c>
      <c r="Q45" s="45">
        <v>40.123670610474441</v>
      </c>
      <c r="R45" s="45">
        <v>45.878614364337658</v>
      </c>
      <c r="S45" s="45">
        <v>42.536482058337022</v>
      </c>
      <c r="T45" s="45">
        <v>47.205888294756065</v>
      </c>
      <c r="U45" s="45">
        <v>45.171104917941626</v>
      </c>
      <c r="V45" s="45">
        <v>47.021277589796654</v>
      </c>
      <c r="W45" s="45">
        <v>47.361013108572031</v>
      </c>
      <c r="X45" s="45">
        <v>43.527606787009631</v>
      </c>
      <c r="Y45" s="45">
        <v>44.66333441094654</v>
      </c>
      <c r="Z45" s="45">
        <v>45.991977264487396</v>
      </c>
      <c r="AA45" s="45">
        <v>50.064</v>
      </c>
    </row>
    <row r="46" spans="1:27">
      <c r="A46" s="31" t="s">
        <v>21</v>
      </c>
      <c r="B46" s="32">
        <f>'NASS Data'!$Q16</f>
        <v>340.46</v>
      </c>
      <c r="C46" s="32">
        <f>'NASS Data'!$Q28</f>
        <v>349.226</v>
      </c>
      <c r="D46" s="32">
        <f>'NASS Data'!$Q40</f>
        <v>318.69400000000002</v>
      </c>
      <c r="E46" s="32">
        <f>'NASS Data'!$Q52</f>
        <v>290.178</v>
      </c>
      <c r="F46" s="32">
        <f>'NASS Data'!$Q64</f>
        <v>306.31799999999998</v>
      </c>
      <c r="G46" s="32">
        <f>'NASS Data'!$Q76</f>
        <v>309.298</v>
      </c>
      <c r="H46" s="32">
        <f>'NASS Data'!$Q88</f>
        <v>285.387</v>
      </c>
      <c r="I46" s="32">
        <f>'NASS Data'!$Q100</f>
        <v>252.78800000000001</v>
      </c>
      <c r="J46" s="33"/>
      <c r="K46" s="33"/>
      <c r="L46" s="33"/>
      <c r="M46" s="33"/>
      <c r="O46" s="46">
        <v>2016</v>
      </c>
      <c r="P46" s="47">
        <v>47.339111946450366</v>
      </c>
      <c r="Q46" s="48">
        <v>43.428396131911462</v>
      </c>
      <c r="R46" s="48">
        <v>48.386749511676726</v>
      </c>
      <c r="S46" s="48">
        <v>43.098328358208953</v>
      </c>
      <c r="T46" s="48">
        <v>46.197947535783626</v>
      </c>
      <c r="U46" s="48">
        <v>44.790369045814096</v>
      </c>
      <c r="V46" s="48">
        <v>47.970020835120245</v>
      </c>
      <c r="W46" s="48">
        <v>46.976691787801478</v>
      </c>
      <c r="X46" s="48">
        <v>46.752814021501834</v>
      </c>
      <c r="Y46" s="48">
        <v>48.383568122685944</v>
      </c>
      <c r="Z46" s="48">
        <v>44.222093158175028</v>
      </c>
      <c r="AA46" s="48">
        <v>49.104000000000006</v>
      </c>
    </row>
    <row r="47" spans="1:27" ht="15.75" thickBot="1">
      <c r="A47" s="34" t="s">
        <v>22</v>
      </c>
      <c r="B47" s="35">
        <f>SUM(B35:B46)</f>
        <v>3899.8610000000003</v>
      </c>
      <c r="C47" s="35">
        <f t="shared" ref="C47:I47" si="3">SUM(C35:C46)</f>
        <v>3951.8339999999998</v>
      </c>
      <c r="D47" s="35">
        <f t="shared" si="3"/>
        <v>4001.915</v>
      </c>
      <c r="E47" s="35">
        <f t="shared" si="3"/>
        <v>3606.1380000000004</v>
      </c>
      <c r="F47" s="35">
        <f t="shared" si="3"/>
        <v>3468.2920000000004</v>
      </c>
      <c r="G47" s="35">
        <f t="shared" si="3"/>
        <v>3445.8920000000007</v>
      </c>
      <c r="H47" s="35">
        <f t="shared" si="3"/>
        <v>3368.1680000000006</v>
      </c>
      <c r="I47" s="35">
        <f t="shared" si="3"/>
        <v>3159.4879999999998</v>
      </c>
      <c r="J47" s="36"/>
      <c r="K47" s="36"/>
      <c r="L47" s="36"/>
      <c r="M47" s="36"/>
      <c r="O47" s="49">
        <v>2017</v>
      </c>
      <c r="P47" s="50">
        <v>49.372</v>
      </c>
      <c r="Q47" s="51">
        <v>41.113999999999997</v>
      </c>
      <c r="R47" s="51">
        <v>46.65</v>
      </c>
      <c r="S47" s="51">
        <v>47.143999999999991</v>
      </c>
      <c r="T47" s="51">
        <v>46.949999999999996</v>
      </c>
      <c r="U47" s="51">
        <v>46.043999999999997</v>
      </c>
      <c r="V47" s="51">
        <v>42.481000000000009</v>
      </c>
      <c r="W47" s="51">
        <v>50.272999999999996</v>
      </c>
      <c r="X47" s="51">
        <v>45.559999999999995</v>
      </c>
      <c r="Y47" s="51">
        <v>51.082000000000001</v>
      </c>
      <c r="Z47" s="51">
        <v>46.535818691458132</v>
      </c>
      <c r="AA47" s="51">
        <v>47.707664658185372</v>
      </c>
    </row>
    <row r="48" spans="1:27">
      <c r="A48" s="37"/>
      <c r="B48" s="38"/>
      <c r="C48" s="39"/>
      <c r="D48" s="37"/>
      <c r="E48" s="37"/>
      <c r="F48" s="37"/>
      <c r="G48" s="37"/>
      <c r="H48" s="37"/>
      <c r="I48" s="37"/>
      <c r="J48" s="37"/>
      <c r="K48" s="37"/>
      <c r="L48" s="37"/>
      <c r="M48" s="37"/>
      <c r="O48" s="46">
        <v>2018</v>
      </c>
      <c r="P48" s="47">
        <v>46.79077055780791</v>
      </c>
      <c r="Q48" s="48">
        <v>42.65298093107787</v>
      </c>
      <c r="R48" s="48">
        <v>46.513370781490281</v>
      </c>
      <c r="S48" s="48">
        <v>43.999204865091578</v>
      </c>
      <c r="T48" s="48">
        <v>46.666059946875443</v>
      </c>
      <c r="U48" s="48">
        <v>45.705137578638336</v>
      </c>
      <c r="V48" s="48">
        <v>47.507260128617368</v>
      </c>
      <c r="W48" s="48">
        <v>47.828471284775617</v>
      </c>
      <c r="X48" s="48">
        <v>48.127494507036566</v>
      </c>
      <c r="Y48" s="48">
        <v>48.501486090116359</v>
      </c>
      <c r="Z48" s="48">
        <v>46.893642755724287</v>
      </c>
      <c r="AA48" s="48">
        <v>50.226744993894421</v>
      </c>
    </row>
    <row r="49" spans="1:27" ht="18.75" thickBot="1">
      <c r="A49" s="27" t="s">
        <v>48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O49" s="49">
        <v>2019</v>
      </c>
      <c r="P49" s="50">
        <v>48.107334811159774</v>
      </c>
      <c r="Q49" s="51">
        <v>41.127829953563534</v>
      </c>
      <c r="R49" s="51">
        <v>47.256063442527946</v>
      </c>
      <c r="S49" s="51">
        <v>47.506435332053471</v>
      </c>
      <c r="T49" s="51">
        <v>49.536202586978227</v>
      </c>
      <c r="U49" s="52">
        <v>55.429998903690304</v>
      </c>
      <c r="V49" s="52">
        <v>53.600824742792945</v>
      </c>
      <c r="W49" s="52">
        <v>49.261744731880533</v>
      </c>
      <c r="X49" s="52">
        <v>47.447187453447981</v>
      </c>
      <c r="Y49" s="52">
        <v>47.805405438373469</v>
      </c>
      <c r="Z49" s="52">
        <v>47.364300206333589</v>
      </c>
      <c r="AA49" s="52">
        <v>46.776266929493957</v>
      </c>
    </row>
    <row r="50" spans="1:27" ht="15.75" thickBot="1">
      <c r="A50" s="40" t="s">
        <v>28</v>
      </c>
      <c r="B50" s="30">
        <f>B2</f>
        <v>2015</v>
      </c>
      <c r="C50" s="30">
        <f t="shared" ref="C50:M50" si="4">C2</f>
        <v>2016</v>
      </c>
      <c r="D50" s="30">
        <f t="shared" si="4"/>
        <v>2017</v>
      </c>
      <c r="E50" s="30">
        <f t="shared" si="4"/>
        <v>2018</v>
      </c>
      <c r="F50" s="30">
        <f t="shared" si="4"/>
        <v>2019</v>
      </c>
      <c r="G50" s="30">
        <f t="shared" si="4"/>
        <v>2020</v>
      </c>
      <c r="H50" s="30">
        <f t="shared" si="4"/>
        <v>2021</v>
      </c>
      <c r="I50" s="30">
        <f t="shared" si="4"/>
        <v>2022</v>
      </c>
      <c r="J50" s="30">
        <f t="shared" si="4"/>
        <v>2023</v>
      </c>
      <c r="K50" s="30">
        <f t="shared" si="4"/>
        <v>2024</v>
      </c>
      <c r="L50" s="30">
        <f t="shared" si="4"/>
        <v>2025</v>
      </c>
      <c r="M50" s="30">
        <f t="shared" si="4"/>
        <v>2026</v>
      </c>
      <c r="O50" s="46">
        <v>2020</v>
      </c>
      <c r="P50" s="53">
        <v>46.376390389021296</v>
      </c>
      <c r="Q50" s="54">
        <v>50.183005333989378</v>
      </c>
      <c r="R50" s="54">
        <v>47.667198680096561</v>
      </c>
      <c r="S50" s="54">
        <v>52.869697370887209</v>
      </c>
      <c r="T50" s="54">
        <v>51.928713850595095</v>
      </c>
      <c r="U50" s="54">
        <v>53.886396573613162</v>
      </c>
      <c r="V50" s="54">
        <v>51.840578926447726</v>
      </c>
      <c r="W50" s="54">
        <v>44.284718174281402</v>
      </c>
      <c r="X50" s="54">
        <v>47.137301134239543</v>
      </c>
      <c r="Y50" s="54">
        <v>47.261307425596598</v>
      </c>
      <c r="Z50" s="54">
        <v>46.475418926375973</v>
      </c>
      <c r="AA50" s="54">
        <v>46.221019630099939</v>
      </c>
    </row>
    <row r="51" spans="1:27">
      <c r="A51" s="31" t="s">
        <v>10</v>
      </c>
      <c r="B51" s="32">
        <f>'NASS Data'!$T5</f>
        <v>313.39999999999998</v>
      </c>
      <c r="C51" s="32">
        <f>'NASS Data'!$T17</f>
        <v>291.88200000000001</v>
      </c>
      <c r="D51" s="32">
        <f>'NASS Data'!$T29</f>
        <v>315.42</v>
      </c>
      <c r="E51" s="32">
        <f>'NASS Data'!$T41</f>
        <v>275.28399999999999</v>
      </c>
      <c r="F51" s="32">
        <f>'NASS Data'!$T53</f>
        <v>253.10300000000001</v>
      </c>
      <c r="G51" s="32">
        <f>'NASS Data'!$T65</f>
        <v>258.48099999999999</v>
      </c>
      <c r="H51" s="32">
        <f>'NASS Data'!$T77</f>
        <v>214.62299999999999</v>
      </c>
      <c r="I51" s="32">
        <f>'NASS Data'!$T89</f>
        <v>197.17500000000001</v>
      </c>
      <c r="J51" s="32">
        <f>'NASS Data'!$T101</f>
        <v>208.09</v>
      </c>
      <c r="K51" s="33"/>
      <c r="L51" s="33"/>
      <c r="M51" s="33"/>
      <c r="O51" s="49">
        <v>2021</v>
      </c>
      <c r="P51" s="55">
        <v>45.284991232851375</v>
      </c>
      <c r="Q51" s="52">
        <v>49.372069287914925</v>
      </c>
      <c r="R51" s="52">
        <v>47.129850333299146</v>
      </c>
      <c r="S51" s="52">
        <v>51.78371008919185</v>
      </c>
      <c r="T51" s="52">
        <v>52.235290604520685</v>
      </c>
      <c r="U51" s="52">
        <v>54.270937477320494</v>
      </c>
      <c r="V51" s="52">
        <v>52.355493014110486</v>
      </c>
      <c r="W51" s="52">
        <v>46.841854469804403</v>
      </c>
      <c r="X51" s="52">
        <v>47.137301134239543</v>
      </c>
      <c r="Y51" s="52">
        <v>47.261307425596598</v>
      </c>
      <c r="Z51" s="52">
        <v>46.475418926375973</v>
      </c>
      <c r="AA51" s="52">
        <v>46.221019630099939</v>
      </c>
    </row>
    <row r="52" spans="1:27">
      <c r="A52" s="31" t="s">
        <v>11</v>
      </c>
      <c r="B52" s="32">
        <f>'NASS Data'!$T6</f>
        <v>274.76299999999998</v>
      </c>
      <c r="C52" s="32">
        <f>'NASS Data'!$T18</f>
        <v>277.43400000000003</v>
      </c>
      <c r="D52" s="32">
        <f>'NASS Data'!$T30</f>
        <v>292.52600000000001</v>
      </c>
      <c r="E52" s="32">
        <f>'NASS Data'!$T42</f>
        <v>254.749</v>
      </c>
      <c r="F52" s="32">
        <f>'NASS Data'!$T54</f>
        <v>224.333</v>
      </c>
      <c r="G52" s="32">
        <f>'NASS Data'!$T66</f>
        <v>235.941</v>
      </c>
      <c r="H52" s="32">
        <f>'NASS Data'!$T78</f>
        <v>169.005</v>
      </c>
      <c r="I52" s="32">
        <f>'NASS Data'!$T90</f>
        <v>190.577</v>
      </c>
      <c r="J52" s="32">
        <f>'NASS Data'!$T102</f>
        <v>185.05099999999999</v>
      </c>
      <c r="K52" s="33"/>
      <c r="L52" s="33"/>
      <c r="M52" s="33"/>
    </row>
    <row r="53" spans="1:27">
      <c r="A53" s="31" t="s">
        <v>12</v>
      </c>
      <c r="B53" s="32">
        <f>'NASS Data'!$T7</f>
        <v>308.44400000000002</v>
      </c>
      <c r="C53" s="32">
        <f>'NASS Data'!$T19</f>
        <v>290.565</v>
      </c>
      <c r="D53" s="32">
        <f>'NASS Data'!$T31</f>
        <v>307.81400000000002</v>
      </c>
      <c r="E53" s="32">
        <f>'NASS Data'!$T43</f>
        <v>276.35000000000002</v>
      </c>
      <c r="F53" s="32">
        <f>'NASS Data'!$T55</f>
        <v>224.85</v>
      </c>
      <c r="G53" s="32">
        <f>'NASS Data'!$T67</f>
        <v>245.209</v>
      </c>
      <c r="H53" s="32">
        <f>'NASS Data'!$T79</f>
        <v>206.83099999999999</v>
      </c>
      <c r="I53" s="32">
        <f>'NASS Data'!$T91</f>
        <v>226.86</v>
      </c>
      <c r="J53" s="32">
        <f>'NASS Data'!$T103</f>
        <v>187.12</v>
      </c>
      <c r="K53" s="33"/>
      <c r="L53" s="33"/>
      <c r="M53" s="33"/>
    </row>
    <row r="54" spans="1:27">
      <c r="A54" s="31" t="s">
        <v>13</v>
      </c>
      <c r="B54" s="32">
        <f>'NASS Data'!$T8</f>
        <v>314.04700000000003</v>
      </c>
      <c r="C54" s="32">
        <f>'NASS Data'!$T20</f>
        <v>301.28300000000002</v>
      </c>
      <c r="D54" s="32">
        <f>'NASS Data'!$T32</f>
        <v>283.83499999999998</v>
      </c>
      <c r="E54" s="32">
        <f>'NASS Data'!$T44</f>
        <v>254.63800000000001</v>
      </c>
      <c r="F54" s="32">
        <f>'NASS Data'!$T56</f>
        <v>253.959</v>
      </c>
      <c r="G54" s="32">
        <f>'NASS Data'!$T68</f>
        <v>188.25800000000001</v>
      </c>
      <c r="H54" s="32">
        <f>'NASS Data'!$T80</f>
        <v>202.49100000000001</v>
      </c>
      <c r="I54" s="32">
        <f>'NASS Data'!$T92</f>
        <v>221.071</v>
      </c>
      <c r="J54" s="32">
        <f>'NASS Data'!$T104</f>
        <v>194.48500000000001</v>
      </c>
      <c r="K54" s="33"/>
      <c r="L54" s="33"/>
      <c r="M54" s="33"/>
    </row>
    <row r="55" spans="1:27">
      <c r="A55" s="31" t="s">
        <v>14</v>
      </c>
      <c r="B55" s="32">
        <f>'NASS Data'!$T9</f>
        <v>323.43599999999998</v>
      </c>
      <c r="C55" s="32">
        <f>'NASS Data'!$T21</f>
        <v>306.42399999999998</v>
      </c>
      <c r="D55" s="32">
        <f>'NASS Data'!$T33</f>
        <v>313.87599999999998</v>
      </c>
      <c r="E55" s="32">
        <f>'NASS Data'!$T45</f>
        <v>280.97899999999998</v>
      </c>
      <c r="F55" s="32">
        <f>'NASS Data'!$T57</f>
        <v>269.96699999999998</v>
      </c>
      <c r="G55" s="32">
        <f>'NASS Data'!$T69</f>
        <v>224.69499999999999</v>
      </c>
      <c r="H55" s="32">
        <f>'NASS Data'!$T81</f>
        <v>208.57499999999999</v>
      </c>
      <c r="I55" s="32">
        <f>'NASS Data'!$T93</f>
        <v>205.50800000000001</v>
      </c>
      <c r="J55" s="33"/>
      <c r="K55" s="33"/>
      <c r="L55" s="33"/>
      <c r="M55" s="33"/>
    </row>
    <row r="56" spans="1:27">
      <c r="A56" s="31" t="s">
        <v>15</v>
      </c>
      <c r="B56" s="32">
        <f>'NASS Data'!$T10</f>
        <v>304.024</v>
      </c>
      <c r="C56" s="32">
        <f>'NASS Data'!$T22</f>
        <v>312.49700000000001</v>
      </c>
      <c r="D56" s="32">
        <f>'NASS Data'!$T34</f>
        <v>297.77999999999997</v>
      </c>
      <c r="E56" s="32">
        <f>'NASS Data'!$T46</f>
        <v>262.16800000000001</v>
      </c>
      <c r="F56" s="32">
        <f>'NASS Data'!$T58</f>
        <v>250.82599999999999</v>
      </c>
      <c r="G56" s="32">
        <f>'NASS Data'!$T70</f>
        <v>244.09700000000001</v>
      </c>
      <c r="H56" s="32">
        <f>'NASS Data'!$T82</f>
        <v>207.751</v>
      </c>
      <c r="I56" s="32">
        <f>'NASS Data'!$T94</f>
        <v>202.95099999999999</v>
      </c>
      <c r="J56" s="33"/>
      <c r="K56" s="33"/>
      <c r="L56" s="33"/>
      <c r="M56" s="33"/>
    </row>
    <row r="57" spans="1:27">
      <c r="A57" s="31" t="s">
        <v>16</v>
      </c>
      <c r="B57" s="32">
        <f>'NASS Data'!$T11</f>
        <v>316.79000000000002</v>
      </c>
      <c r="C57" s="32">
        <f>'NASS Data'!$T23</f>
        <v>331.94900000000001</v>
      </c>
      <c r="D57" s="32">
        <f>'NASS Data'!$T35</f>
        <v>272.16500000000002</v>
      </c>
      <c r="E57" s="32">
        <f>'NASS Data'!$T47</f>
        <v>263.13900000000001</v>
      </c>
      <c r="F57" s="32">
        <f>'NASS Data'!$T59</f>
        <v>252.084</v>
      </c>
      <c r="G57" s="32">
        <f>'NASS Data'!$T71</f>
        <v>264.77800000000002</v>
      </c>
      <c r="H57" s="32">
        <f>'NASS Data'!$T83</f>
        <v>209.83600000000001</v>
      </c>
      <c r="I57" s="32">
        <f>'NASS Data'!$T95</f>
        <v>221.76400000000001</v>
      </c>
      <c r="J57" s="33"/>
      <c r="K57" s="33"/>
      <c r="L57" s="33"/>
      <c r="M57" s="33"/>
    </row>
    <row r="58" spans="1:27">
      <c r="A58" s="31" t="s">
        <v>17</v>
      </c>
      <c r="B58" s="32">
        <f>'NASS Data'!$T12</f>
        <v>290.65199999999999</v>
      </c>
      <c r="C58" s="32">
        <f>'NASS Data'!$T24</f>
        <v>309.077</v>
      </c>
      <c r="D58" s="32">
        <f>'NASS Data'!$T36</f>
        <v>325.58</v>
      </c>
      <c r="E58" s="32">
        <f>'NASS Data'!$T48</f>
        <v>256.26799999999997</v>
      </c>
      <c r="F58" s="32">
        <f>'NASS Data'!$T60</f>
        <v>261.24299999999999</v>
      </c>
      <c r="G58" s="32">
        <f>'NASS Data'!$T72</f>
        <v>252.006</v>
      </c>
      <c r="H58" s="32">
        <f>'NASS Data'!$T84</f>
        <v>205.63399999999999</v>
      </c>
      <c r="I58" s="32">
        <f>'NASS Data'!$T96</f>
        <v>189.203</v>
      </c>
      <c r="J58" s="33"/>
      <c r="K58" s="33"/>
      <c r="L58" s="33"/>
      <c r="M58" s="33"/>
    </row>
    <row r="59" spans="1:27">
      <c r="A59" s="31" t="s">
        <v>18</v>
      </c>
      <c r="B59" s="32">
        <f>'NASS Data'!$T13</f>
        <v>286.61500000000001</v>
      </c>
      <c r="C59" s="32">
        <f>'NASS Data'!$T25</f>
        <v>303.50400000000002</v>
      </c>
      <c r="D59" s="32">
        <f>'NASS Data'!$T37</f>
        <v>279.654</v>
      </c>
      <c r="E59" s="32">
        <f>'NASS Data'!$T49</f>
        <v>229.18299999999999</v>
      </c>
      <c r="F59" s="32">
        <f>'NASS Data'!$T61</f>
        <v>208.64500000000001</v>
      </c>
      <c r="G59" s="32">
        <f>'NASS Data'!$T73</f>
        <v>251.19900000000001</v>
      </c>
      <c r="H59" s="32">
        <f>'NASS Data'!$T85</f>
        <v>208.33500000000001</v>
      </c>
      <c r="I59" s="32">
        <f>'NASS Data'!$T97</f>
        <v>192.999</v>
      </c>
      <c r="J59" s="33"/>
      <c r="K59" s="33"/>
      <c r="L59" s="33"/>
      <c r="M59" s="33"/>
    </row>
    <row r="60" spans="1:27">
      <c r="A60" s="31" t="s">
        <v>19</v>
      </c>
      <c r="B60" s="32">
        <f>'NASS Data'!$T14</f>
        <v>296.95400000000001</v>
      </c>
      <c r="C60" s="32">
        <f>'NASS Data'!$T26</f>
        <v>300.80799999999999</v>
      </c>
      <c r="D60" s="32">
        <f>'NASS Data'!$T38</f>
        <v>302.61799999999999</v>
      </c>
      <c r="E60" s="32">
        <f>'NASS Data'!$T50</f>
        <v>245.68100000000001</v>
      </c>
      <c r="F60" s="32">
        <f>'NASS Data'!$T62</f>
        <v>233.34800000000001</v>
      </c>
      <c r="G60" s="32">
        <f>'NASS Data'!$T74</f>
        <v>244.61799999999999</v>
      </c>
      <c r="H60" s="32">
        <f>'NASS Data'!$T86</f>
        <v>212.45500000000001</v>
      </c>
      <c r="I60" s="32">
        <f>'NASS Data'!$T98</f>
        <v>208.273</v>
      </c>
      <c r="J60" s="33"/>
      <c r="K60" s="33"/>
      <c r="L60" s="33"/>
      <c r="M60" s="33"/>
    </row>
    <row r="61" spans="1:27">
      <c r="A61" s="31" t="s">
        <v>20</v>
      </c>
      <c r="B61" s="32">
        <f>'NASS Data'!$T15</f>
        <v>289.17099999999999</v>
      </c>
      <c r="C61" s="32">
        <f>'NASS Data'!$T27</f>
        <v>326.55</v>
      </c>
      <c r="D61" s="32">
        <f>'NASS Data'!$T39</f>
        <v>303.209</v>
      </c>
      <c r="E61" s="32">
        <f>'NASS Data'!$T51</f>
        <v>257.00299999999999</v>
      </c>
      <c r="F61" s="32">
        <f>'NASS Data'!$T63</f>
        <v>262.089</v>
      </c>
      <c r="G61" s="32">
        <f>'NASS Data'!$T75</f>
        <v>230.61099999999999</v>
      </c>
      <c r="H61" s="32">
        <f>'NASS Data'!$T87</f>
        <v>211.26</v>
      </c>
      <c r="I61" s="32">
        <f>'NASS Data'!$T99</f>
        <v>203.89099999999999</v>
      </c>
      <c r="J61" s="33"/>
      <c r="K61" s="33"/>
      <c r="L61" s="33"/>
      <c r="M61" s="33"/>
    </row>
    <row r="62" spans="1:27">
      <c r="A62" s="31" t="s">
        <v>21</v>
      </c>
      <c r="B62" s="32">
        <f>'NASS Data'!$T16</f>
        <v>307.87400000000002</v>
      </c>
      <c r="C62" s="32">
        <f>'NASS Data'!$T28</f>
        <v>317.75900000000001</v>
      </c>
      <c r="D62" s="32">
        <f>'NASS Data'!$T40</f>
        <v>309.76499999999999</v>
      </c>
      <c r="E62" s="32">
        <f>'NASS Data'!$T52</f>
        <v>256.14600000000002</v>
      </c>
      <c r="F62" s="32">
        <f>'NASS Data'!$T64</f>
        <v>257.38099999999997</v>
      </c>
      <c r="G62" s="32">
        <f>'NASS Data'!$T76</f>
        <v>185.18700000000001</v>
      </c>
      <c r="H62" s="32">
        <f>'NASS Data'!$T88</f>
        <v>214.346</v>
      </c>
      <c r="I62" s="32">
        <f>'NASS Data'!$T100</f>
        <v>188.584</v>
      </c>
      <c r="J62" s="33"/>
      <c r="K62" s="33"/>
      <c r="L62" s="33"/>
      <c r="M62" s="33"/>
    </row>
    <row r="63" spans="1:27" ht="15.75" thickBot="1">
      <c r="A63" s="34" t="s">
        <v>22</v>
      </c>
      <c r="B63" s="35">
        <f>SUM(B51:B62)</f>
        <v>3626.17</v>
      </c>
      <c r="C63" s="35">
        <f t="shared" ref="C63:I63" si="5">SUM(C51:C62)</f>
        <v>3669.732</v>
      </c>
      <c r="D63" s="35">
        <f t="shared" si="5"/>
        <v>3604.2419999999997</v>
      </c>
      <c r="E63" s="35">
        <f t="shared" si="5"/>
        <v>3111.5880000000006</v>
      </c>
      <c r="F63" s="35">
        <f t="shared" si="5"/>
        <v>2951.828</v>
      </c>
      <c r="G63" s="35">
        <f t="shared" si="5"/>
        <v>2825.08</v>
      </c>
      <c r="H63" s="35">
        <f t="shared" si="5"/>
        <v>2471.1419999999998</v>
      </c>
      <c r="I63" s="35">
        <f t="shared" si="5"/>
        <v>2448.8559999999998</v>
      </c>
      <c r="J63" s="36"/>
      <c r="K63" s="36"/>
      <c r="L63" s="36"/>
      <c r="M63" s="36"/>
    </row>
    <row r="64" spans="1:27">
      <c r="A64" s="37"/>
      <c r="B64" s="38"/>
      <c r="C64" s="39"/>
      <c r="D64" s="37"/>
      <c r="E64" s="37"/>
      <c r="F64" s="37"/>
      <c r="G64" s="37"/>
      <c r="H64" s="37"/>
      <c r="I64" s="37"/>
      <c r="J64" s="37"/>
      <c r="K64" s="37"/>
      <c r="L64" s="37"/>
      <c r="M64" s="37"/>
    </row>
    <row r="65" spans="1:13" ht="18.75" thickBot="1">
      <c r="A65" s="27" t="s">
        <v>49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ht="15.75" thickBot="1">
      <c r="A66" s="40" t="s">
        <v>28</v>
      </c>
      <c r="B66" s="30">
        <f>B2</f>
        <v>2015</v>
      </c>
      <c r="C66" s="30">
        <f t="shared" ref="C66:M66" si="6">C2</f>
        <v>2016</v>
      </c>
      <c r="D66" s="30">
        <f t="shared" si="6"/>
        <v>2017</v>
      </c>
      <c r="E66" s="30">
        <f t="shared" si="6"/>
        <v>2018</v>
      </c>
      <c r="F66" s="30">
        <f t="shared" si="6"/>
        <v>2019</v>
      </c>
      <c r="G66" s="30">
        <f t="shared" si="6"/>
        <v>2020</v>
      </c>
      <c r="H66" s="30">
        <f t="shared" si="6"/>
        <v>2021</v>
      </c>
      <c r="I66" s="30">
        <f t="shared" si="6"/>
        <v>2022</v>
      </c>
      <c r="J66" s="30">
        <f t="shared" si="6"/>
        <v>2023</v>
      </c>
      <c r="K66" s="30">
        <f t="shared" si="6"/>
        <v>2024</v>
      </c>
      <c r="L66" s="30">
        <f t="shared" si="6"/>
        <v>2025</v>
      </c>
      <c r="M66" s="30">
        <f t="shared" si="6"/>
        <v>2026</v>
      </c>
    </row>
    <row r="67" spans="1:13">
      <c r="A67" s="31" t="s">
        <v>10</v>
      </c>
      <c r="B67" s="32">
        <f>'NASS Data'!$L5</f>
        <v>438.93599999999998</v>
      </c>
      <c r="C67" s="32">
        <f>'NASS Data'!$L17</f>
        <v>383.13099999999997</v>
      </c>
      <c r="D67" s="32">
        <f>'NASS Data'!$L29</f>
        <v>430.92899999999997</v>
      </c>
      <c r="E67" s="32">
        <f>'NASS Data'!$L41</f>
        <v>406.64800000000002</v>
      </c>
      <c r="F67" s="32">
        <f>'NASS Data'!$L53</f>
        <v>369.64699999999999</v>
      </c>
      <c r="G67" s="32">
        <f>'NASS Data'!$L65</f>
        <v>358.47800000000001</v>
      </c>
      <c r="H67" s="32">
        <f>'NASS Data'!$L77</f>
        <v>342.55700000000002</v>
      </c>
      <c r="I67" s="32">
        <f>'NASS Data'!$L89</f>
        <v>356.95699999999999</v>
      </c>
      <c r="J67" s="32">
        <f>'NASS Data'!$L101</f>
        <v>374.75299999999999</v>
      </c>
      <c r="K67" s="33"/>
      <c r="L67" s="33"/>
      <c r="M67" s="33"/>
    </row>
    <row r="68" spans="1:13">
      <c r="A68" s="31" t="s">
        <v>11</v>
      </c>
      <c r="B68" s="32">
        <f>'NASS Data'!$L6</f>
        <v>405.02499999999998</v>
      </c>
      <c r="C68" s="32">
        <f>'NASS Data'!$L18</f>
        <v>367.43599999999998</v>
      </c>
      <c r="D68" s="32">
        <f>'NASS Data'!$L30</f>
        <v>373.09899999999999</v>
      </c>
      <c r="E68" s="32">
        <f>'NASS Data'!$L42</f>
        <v>371.02600000000001</v>
      </c>
      <c r="F68" s="32">
        <f>'NASS Data'!$L54</f>
        <v>336.464</v>
      </c>
      <c r="G68" s="32">
        <f>'NASS Data'!$L66</f>
        <v>328.113</v>
      </c>
      <c r="H68" s="32">
        <f>'NASS Data'!$L78</f>
        <v>262.26100000000002</v>
      </c>
      <c r="I68" s="32">
        <f>'NASS Data'!$L90</f>
        <v>303.78800000000001</v>
      </c>
      <c r="J68" s="32">
        <f>'NASS Data'!$L102</f>
        <v>338.86900000000003</v>
      </c>
      <c r="K68" s="33"/>
      <c r="L68" s="33"/>
      <c r="M68" s="33"/>
    </row>
    <row r="69" spans="1:13">
      <c r="A69" s="31" t="s">
        <v>12</v>
      </c>
      <c r="B69" s="32">
        <f>'NASS Data'!$L7</f>
        <v>438.72800000000001</v>
      </c>
      <c r="C69" s="32">
        <f>'NASS Data'!$L19</f>
        <v>384.73899999999998</v>
      </c>
      <c r="D69" s="32">
        <f>'NASS Data'!$L31</f>
        <v>425.21300000000002</v>
      </c>
      <c r="E69" s="32">
        <f>'NASS Data'!$L43</f>
        <v>417.19</v>
      </c>
      <c r="F69" s="32">
        <f>'NASS Data'!$L55</f>
        <v>386.41300000000001</v>
      </c>
      <c r="G69" s="32">
        <f>'NASS Data'!$L67</f>
        <v>317.411</v>
      </c>
      <c r="H69" s="32">
        <f>'NASS Data'!$L79</f>
        <v>368.07499999999999</v>
      </c>
      <c r="I69" s="32">
        <f>'NASS Data'!$L91</f>
        <v>372.81299999999999</v>
      </c>
      <c r="J69" s="32">
        <f>'NASS Data'!$L103</f>
        <v>387.43799999999999</v>
      </c>
      <c r="K69" s="33"/>
      <c r="L69" s="33"/>
      <c r="M69" s="33"/>
    </row>
    <row r="70" spans="1:13">
      <c r="A70" s="31" t="s">
        <v>13</v>
      </c>
      <c r="B70" s="32">
        <f>'NASS Data'!$L8</f>
        <v>411.66399999999999</v>
      </c>
      <c r="C70" s="32">
        <f>'NASS Data'!$L20</f>
        <v>374.75</v>
      </c>
      <c r="D70" s="32">
        <f>'NASS Data'!$L32</f>
        <v>437.91399999999999</v>
      </c>
      <c r="E70" s="32">
        <f>'NASS Data'!$L44</f>
        <v>372.74099999999999</v>
      </c>
      <c r="F70" s="32">
        <f>'NASS Data'!$L56</f>
        <v>376.77499999999998</v>
      </c>
      <c r="G70" s="32">
        <f>'NASS Data'!$L68</f>
        <v>173.465</v>
      </c>
      <c r="H70" s="32">
        <f>'NASS Data'!$L80</f>
        <v>342.87</v>
      </c>
      <c r="I70" s="32">
        <f>'NASS Data'!$L92</f>
        <v>328.69099999999997</v>
      </c>
      <c r="J70" s="32">
        <f>'NASS Data'!$L104</f>
        <v>364.96699999999998</v>
      </c>
      <c r="K70" s="33"/>
      <c r="L70" s="33"/>
      <c r="M70" s="33"/>
    </row>
    <row r="71" spans="1:13">
      <c r="A71" s="31" t="s">
        <v>14</v>
      </c>
      <c r="B71" s="32">
        <f>'NASS Data'!$L9</f>
        <v>418.44799999999998</v>
      </c>
      <c r="C71" s="32">
        <f>'NASS Data'!$L21</f>
        <v>411.46699999999998</v>
      </c>
      <c r="D71" s="32">
        <f>'NASS Data'!$L33</f>
        <v>435.64</v>
      </c>
      <c r="E71" s="32">
        <f>'NASS Data'!$L45</f>
        <v>392.07</v>
      </c>
      <c r="F71" s="32">
        <f>'NASS Data'!$L57</f>
        <v>401.17099999999999</v>
      </c>
      <c r="G71" s="32">
        <f>'NASS Data'!$L69</f>
        <v>205.75</v>
      </c>
      <c r="H71" s="32">
        <f>'NASS Data'!$L81</f>
        <v>380.62</v>
      </c>
      <c r="I71" s="32">
        <f>'NASS Data'!$L93</f>
        <v>322.85500000000002</v>
      </c>
      <c r="J71" s="33"/>
      <c r="K71" s="33"/>
      <c r="L71" s="33"/>
      <c r="M71" s="33"/>
    </row>
    <row r="72" spans="1:13">
      <c r="A72" s="31" t="s">
        <v>15</v>
      </c>
      <c r="B72" s="32">
        <f>'NASS Data'!$L10</f>
        <v>407.25900000000001</v>
      </c>
      <c r="C72" s="32">
        <f>'NASS Data'!$L22</f>
        <v>392.43799999999999</v>
      </c>
      <c r="D72" s="32">
        <f>'NASS Data'!$L34</f>
        <v>471.49200000000002</v>
      </c>
      <c r="E72" s="32">
        <f>'NASS Data'!$L46</f>
        <v>374.274</v>
      </c>
      <c r="F72" s="32">
        <f>'NASS Data'!$L58</f>
        <v>369.39400000000001</v>
      </c>
      <c r="G72" s="32">
        <f>'NASS Data'!$L70</f>
        <v>268.20100000000002</v>
      </c>
      <c r="H72" s="32">
        <f>'NASS Data'!$L82</f>
        <v>370.69400000000002</v>
      </c>
      <c r="I72" s="32">
        <f>'NASS Data'!$L94</f>
        <v>346.59100000000001</v>
      </c>
      <c r="J72" s="33"/>
      <c r="K72" s="33"/>
      <c r="L72" s="33"/>
      <c r="M72" s="33"/>
    </row>
    <row r="73" spans="1:13">
      <c r="A73" s="31" t="s">
        <v>16</v>
      </c>
      <c r="B73" s="32">
        <f>'NASS Data'!$L11</f>
        <v>450.82900000000001</v>
      </c>
      <c r="C73" s="32">
        <f>'NASS Data'!$L23</f>
        <v>404.75799999999998</v>
      </c>
      <c r="D73" s="32">
        <f>'NASS Data'!$L35</f>
        <v>471.12400000000002</v>
      </c>
      <c r="E73" s="32">
        <f>'NASS Data'!$L47</f>
        <v>390.08</v>
      </c>
      <c r="F73" s="32">
        <f>'NASS Data'!$L59</f>
        <v>379.68900000000002</v>
      </c>
      <c r="G73" s="32">
        <f>'NASS Data'!$L71</f>
        <v>335.52100000000002</v>
      </c>
      <c r="H73" s="32">
        <f>'NASS Data'!$L83</f>
        <v>341.13600000000002</v>
      </c>
      <c r="I73" s="32">
        <f>'NASS Data'!$L95</f>
        <v>334.12200000000001</v>
      </c>
      <c r="J73" s="33"/>
      <c r="K73" s="33"/>
      <c r="L73" s="33"/>
      <c r="M73" s="33"/>
    </row>
    <row r="74" spans="1:13">
      <c r="A74" s="31" t="s">
        <v>17</v>
      </c>
      <c r="B74" s="32">
        <f>'NASS Data'!$L12</f>
        <v>452.96899999999999</v>
      </c>
      <c r="C74" s="32">
        <f>'NASS Data'!$L24</f>
        <v>428.74799999999999</v>
      </c>
      <c r="D74" s="32">
        <f>'NASS Data'!$L36</f>
        <v>472.70499999999998</v>
      </c>
      <c r="E74" s="32">
        <f>'NASS Data'!$L48</f>
        <v>394.90800000000002</v>
      </c>
      <c r="F74" s="32">
        <f>'NASS Data'!$L60</f>
        <v>336.04300000000001</v>
      </c>
      <c r="G74" s="32">
        <f>'NASS Data'!$L72</f>
        <v>342.654</v>
      </c>
      <c r="H74" s="32">
        <f>'NASS Data'!$L84</f>
        <v>295.25400000000002</v>
      </c>
      <c r="I74" s="32">
        <f>'NASS Data'!$L96</f>
        <v>335.88499999999999</v>
      </c>
      <c r="J74" s="33"/>
      <c r="K74" s="33"/>
      <c r="L74" s="33"/>
      <c r="M74" s="33"/>
    </row>
    <row r="75" spans="1:13">
      <c r="A75" s="31" t="s">
        <v>18</v>
      </c>
      <c r="B75" s="32">
        <f>'NASS Data'!$L13</f>
        <v>420.45800000000003</v>
      </c>
      <c r="C75" s="32">
        <f>'NASS Data'!$L25</f>
        <v>398.12400000000002</v>
      </c>
      <c r="D75" s="32">
        <f>'NASS Data'!$L37</f>
        <v>454.22</v>
      </c>
      <c r="E75" s="32">
        <f>'NASS Data'!$L49</f>
        <v>376.51</v>
      </c>
      <c r="F75" s="32">
        <f>'NASS Data'!$L61</f>
        <v>286.84899999999999</v>
      </c>
      <c r="G75" s="32">
        <f>'NASS Data'!$L73</f>
        <v>341.15600000000001</v>
      </c>
      <c r="H75" s="32">
        <f>'NASS Data'!$L85</f>
        <v>293.34399999999999</v>
      </c>
      <c r="I75" s="32">
        <f>'NASS Data'!$L97</f>
        <v>281.98399999999998</v>
      </c>
      <c r="J75" s="33"/>
      <c r="K75" s="33"/>
      <c r="L75" s="33"/>
      <c r="M75" s="33"/>
    </row>
    <row r="76" spans="1:13">
      <c r="A76" s="31" t="s">
        <v>19</v>
      </c>
      <c r="B76" s="32">
        <f>'NASS Data'!$L14</f>
        <v>438.02699999999999</v>
      </c>
      <c r="C76" s="32">
        <f>'NASS Data'!$L26</f>
        <v>448.35500000000002</v>
      </c>
      <c r="D76" s="32">
        <f>'NASS Data'!$L38</f>
        <v>449.19900000000001</v>
      </c>
      <c r="E76" s="32">
        <f>'NASS Data'!$L50</f>
        <v>378.00299999999999</v>
      </c>
      <c r="F76" s="32">
        <f>'NASS Data'!$L62</f>
        <v>348.762</v>
      </c>
      <c r="G76" s="32">
        <f>'NASS Data'!$L74</f>
        <v>377.96</v>
      </c>
      <c r="H76" s="32">
        <f>'NASS Data'!$L86</f>
        <v>383.93900000000002</v>
      </c>
      <c r="I76" s="32">
        <f>'NASS Data'!$L98</f>
        <v>388.99299999999999</v>
      </c>
      <c r="J76" s="33"/>
      <c r="K76" s="33"/>
      <c r="L76" s="33"/>
      <c r="M76" s="33"/>
    </row>
    <row r="77" spans="1:13">
      <c r="A77" s="31" t="s">
        <v>20</v>
      </c>
      <c r="B77" s="32">
        <f>'NASS Data'!$L15</f>
        <v>413.01900000000001</v>
      </c>
      <c r="C77" s="32">
        <f>'NASS Data'!$L27</f>
        <v>423.892</v>
      </c>
      <c r="D77" s="32">
        <f>'NASS Data'!$L39</f>
        <v>430.22399999999999</v>
      </c>
      <c r="E77" s="32">
        <f>'NASS Data'!$L51</f>
        <v>376.137</v>
      </c>
      <c r="F77" s="32">
        <f>'NASS Data'!$L63</f>
        <v>316.39</v>
      </c>
      <c r="G77" s="32">
        <f>'NASS Data'!$L75</f>
        <v>372.899</v>
      </c>
      <c r="H77" s="32">
        <f>'NASS Data'!$L87</f>
        <v>379.07100000000003</v>
      </c>
      <c r="I77" s="32">
        <f>'NASS Data'!$L99</f>
        <v>381.11399999999998</v>
      </c>
      <c r="J77" s="33"/>
      <c r="K77" s="33"/>
      <c r="L77" s="33"/>
      <c r="M77" s="33"/>
    </row>
    <row r="78" spans="1:13">
      <c r="A78" s="31" t="s">
        <v>21</v>
      </c>
      <c r="B78" s="32">
        <f>'NASS Data'!$L16</f>
        <v>423.63200000000001</v>
      </c>
      <c r="C78" s="32">
        <f>'NASS Data'!$L28</f>
        <v>442.82400000000001</v>
      </c>
      <c r="D78" s="32">
        <f>'NASS Data'!$L40</f>
        <v>442.42700000000002</v>
      </c>
      <c r="E78" s="32">
        <f>'NASS Data'!$L52</f>
        <v>357.19600000000003</v>
      </c>
      <c r="F78" s="32">
        <f>'NASS Data'!$L64</f>
        <v>388.15600000000001</v>
      </c>
      <c r="G78" s="32">
        <f>'NASS Data'!$L76</f>
        <v>364.53199999999998</v>
      </c>
      <c r="H78" s="32">
        <f>'NASS Data'!$L88</f>
        <v>383.19600000000003</v>
      </c>
      <c r="I78" s="32">
        <f>'NASS Data'!$L100</f>
        <v>317.50400000000002</v>
      </c>
      <c r="J78" s="33"/>
      <c r="K78" s="33"/>
      <c r="L78" s="33"/>
      <c r="M78" s="33"/>
    </row>
    <row r="79" spans="1:13" ht="15.75" thickBot="1">
      <c r="A79" s="34" t="s">
        <v>22</v>
      </c>
      <c r="B79" s="35">
        <f>SUM(B67:B78)</f>
        <v>5118.9939999999997</v>
      </c>
      <c r="C79" s="35">
        <f t="shared" ref="C79:I79" si="7">SUM(C67:C78)</f>
        <v>4860.6620000000003</v>
      </c>
      <c r="D79" s="35">
        <f t="shared" si="7"/>
        <v>5294.1859999999997</v>
      </c>
      <c r="E79" s="35">
        <f t="shared" si="7"/>
        <v>4606.7830000000004</v>
      </c>
      <c r="F79" s="35">
        <f t="shared" si="7"/>
        <v>4295.7530000000006</v>
      </c>
      <c r="G79" s="35">
        <f t="shared" si="7"/>
        <v>3786.14</v>
      </c>
      <c r="H79" s="35">
        <f t="shared" si="7"/>
        <v>4143.0169999999998</v>
      </c>
      <c r="I79" s="35">
        <f t="shared" si="7"/>
        <v>4071.297</v>
      </c>
      <c r="J79" s="36"/>
      <c r="K79" s="36"/>
      <c r="L79" s="36"/>
      <c r="M79" s="36"/>
    </row>
    <row r="80" spans="1:13">
      <c r="A80" s="37"/>
      <c r="B80" s="38"/>
      <c r="C80" s="39"/>
      <c r="D80" s="37"/>
      <c r="E80" s="37"/>
      <c r="F80" s="37"/>
      <c r="G80" s="37"/>
      <c r="H80" s="37"/>
      <c r="I80" s="37"/>
      <c r="J80" s="37"/>
      <c r="K80" s="37"/>
      <c r="L80" s="37"/>
      <c r="M80" s="37"/>
    </row>
    <row r="81" spans="1:19" ht="18.75" thickBot="1">
      <c r="A81" s="27" t="s">
        <v>50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</row>
    <row r="82" spans="1:19" ht="15.75" thickBot="1">
      <c r="A82" s="40" t="s">
        <v>28</v>
      </c>
      <c r="B82" s="30">
        <f>B2</f>
        <v>2015</v>
      </c>
      <c r="C82" s="30">
        <f t="shared" ref="C82:M82" si="8">C2</f>
        <v>2016</v>
      </c>
      <c r="D82" s="30">
        <f t="shared" si="8"/>
        <v>2017</v>
      </c>
      <c r="E82" s="30">
        <f t="shared" si="8"/>
        <v>2018</v>
      </c>
      <c r="F82" s="30">
        <f t="shared" si="8"/>
        <v>2019</v>
      </c>
      <c r="G82" s="30">
        <f t="shared" si="8"/>
        <v>2020</v>
      </c>
      <c r="H82" s="30">
        <f t="shared" si="8"/>
        <v>2021</v>
      </c>
      <c r="I82" s="30">
        <f t="shared" si="8"/>
        <v>2022</v>
      </c>
      <c r="J82" s="30">
        <f t="shared" si="8"/>
        <v>2023</v>
      </c>
      <c r="K82" s="30">
        <f t="shared" si="8"/>
        <v>2024</v>
      </c>
      <c r="L82" s="30">
        <f t="shared" si="8"/>
        <v>2025</v>
      </c>
      <c r="M82" s="30">
        <f t="shared" si="8"/>
        <v>2026</v>
      </c>
    </row>
    <row r="83" spans="1:19">
      <c r="A83" s="31" t="s">
        <v>10</v>
      </c>
      <c r="B83" s="32">
        <f>'NASS Data'!$M5</f>
        <v>1831.393</v>
      </c>
      <c r="C83" s="32">
        <f>'NASS Data'!$M17</f>
        <v>1905.165</v>
      </c>
      <c r="D83" s="32">
        <f>'NASS Data'!$M29</f>
        <v>2073.7399999999998</v>
      </c>
      <c r="E83" s="32">
        <f>'NASS Data'!$M41</f>
        <v>1986.2570000000001</v>
      </c>
      <c r="F83" s="32">
        <f>'NASS Data'!$M53</f>
        <v>1822.623</v>
      </c>
      <c r="G83" s="32">
        <f>'NASS Data'!$M65</f>
        <v>1950.153</v>
      </c>
      <c r="H83" s="32">
        <f>'NASS Data'!$M77</f>
        <v>1753.4010000000001</v>
      </c>
      <c r="I83" s="32">
        <f>'NASS Data'!$M89</f>
        <v>1929.115</v>
      </c>
      <c r="J83" s="32">
        <f>'NASS Data'!$M101</f>
        <v>1714.3889999999999</v>
      </c>
      <c r="K83" s="33"/>
      <c r="L83" s="33"/>
      <c r="M83" s="33"/>
    </row>
    <row r="84" spans="1:19">
      <c r="A84" s="31" t="s">
        <v>11</v>
      </c>
      <c r="B84" s="32">
        <f>'NASS Data'!$M6</f>
        <v>1622.4670000000001</v>
      </c>
      <c r="C84" s="32">
        <f>'NASS Data'!$M18</f>
        <v>1795.472</v>
      </c>
      <c r="D84" s="32">
        <f>'NASS Data'!$M30</f>
        <v>1893.9480000000001</v>
      </c>
      <c r="E84" s="32">
        <f>'NASS Data'!$M42</f>
        <v>1829.2719999999999</v>
      </c>
      <c r="F84" s="32">
        <f>'NASS Data'!$M54</f>
        <v>1691.758</v>
      </c>
      <c r="G84" s="32">
        <f>'NASS Data'!$M66</f>
        <v>1813.6089999999999</v>
      </c>
      <c r="H84" s="32">
        <f>'NASS Data'!$M78</f>
        <v>1406.4269999999999</v>
      </c>
      <c r="I84" s="32">
        <f>'NASS Data'!$M90</f>
        <v>1693.2529999999999</v>
      </c>
      <c r="J84" s="32">
        <f>'NASS Data'!$M102</f>
        <v>1560.7170000000001</v>
      </c>
      <c r="K84" s="33"/>
      <c r="L84" s="33"/>
      <c r="M84" s="33"/>
    </row>
    <row r="85" spans="1:19">
      <c r="A85" s="31" t="s">
        <v>12</v>
      </c>
      <c r="B85" s="32">
        <f>'NASS Data'!$M7</f>
        <v>1781.5630000000001</v>
      </c>
      <c r="C85" s="32">
        <f>'NASS Data'!$M19</f>
        <v>1919.5070000000001</v>
      </c>
      <c r="D85" s="32">
        <f>'NASS Data'!$M31</f>
        <v>1997.3879999999999</v>
      </c>
      <c r="E85" s="32">
        <f>'NASS Data'!$M43</f>
        <v>1942.75</v>
      </c>
      <c r="F85" s="32">
        <f>'NASS Data'!$M55</f>
        <v>1855.9749999999999</v>
      </c>
      <c r="G85" s="32">
        <f>'NASS Data'!$M67</f>
        <v>1647.029</v>
      </c>
      <c r="H85" s="32">
        <f>'NASS Data'!$M79</f>
        <v>1803.4939999999999</v>
      </c>
      <c r="I85" s="32">
        <f>'NASS Data'!$M91</f>
        <v>1877.338</v>
      </c>
      <c r="J85" s="32">
        <f>'NASS Data'!$M103</f>
        <v>1705.3710000000001</v>
      </c>
      <c r="K85" s="33"/>
      <c r="L85" s="33"/>
      <c r="M85" s="33"/>
    </row>
    <row r="86" spans="1:19">
      <c r="A86" s="31" t="s">
        <v>13</v>
      </c>
      <c r="B86" s="32">
        <f>'NASS Data'!$M8</f>
        <v>1663.38</v>
      </c>
      <c r="C86" s="32">
        <f>'NASS Data'!$M20</f>
        <v>1717.0239999999999</v>
      </c>
      <c r="D86" s="32">
        <f>'NASS Data'!$M32</f>
        <v>1752.27</v>
      </c>
      <c r="E86" s="32">
        <f>'NASS Data'!$M44</f>
        <v>1831.598</v>
      </c>
      <c r="F86" s="32">
        <f>'NASS Data'!$M56</f>
        <v>1858.3050000000001</v>
      </c>
      <c r="G86" s="32">
        <f>'NASS Data'!$M68</f>
        <v>1013.914</v>
      </c>
      <c r="H86" s="32">
        <f>'NASS Data'!$M80</f>
        <v>1768.002</v>
      </c>
      <c r="I86" s="32">
        <f>'NASS Data'!$M92</f>
        <v>1704.6980000000001</v>
      </c>
      <c r="J86" s="32">
        <f>'NASS Data'!$M104</f>
        <v>1619.6769999999999</v>
      </c>
      <c r="K86" s="33"/>
      <c r="L86" s="33"/>
      <c r="M86" s="33"/>
    </row>
    <row r="87" spans="1:19">
      <c r="A87" s="31" t="s">
        <v>14</v>
      </c>
      <c r="B87" s="32">
        <f>'NASS Data'!$M9</f>
        <v>1861.7950000000001</v>
      </c>
      <c r="C87" s="32">
        <f>'NASS Data'!$M21</f>
        <v>1845.2380000000001</v>
      </c>
      <c r="D87" s="32">
        <f>'NASS Data'!$M33</f>
        <v>1906.472</v>
      </c>
      <c r="E87" s="32">
        <f>'NASS Data'!$M45</f>
        <v>1968.7280000000001</v>
      </c>
      <c r="F87" s="32">
        <f>'NASS Data'!$M57</f>
        <v>1942.7919999999999</v>
      </c>
      <c r="G87" s="32">
        <f>'NASS Data'!$M69</f>
        <v>1233.6079999999999</v>
      </c>
      <c r="H87" s="32">
        <f>'NASS Data'!$M81</f>
        <v>1942.7619999999999</v>
      </c>
      <c r="I87" s="32">
        <f>'NASS Data'!$M93</f>
        <v>1896.665</v>
      </c>
      <c r="J87" s="33"/>
      <c r="K87" s="33"/>
      <c r="L87" s="33"/>
      <c r="M87" s="33"/>
    </row>
    <row r="88" spans="1:19">
      <c r="A88" s="31" t="s">
        <v>15</v>
      </c>
      <c r="B88" s="32">
        <f>'NASS Data'!$M10</f>
        <v>1950.2139999999999</v>
      </c>
      <c r="C88" s="32">
        <f>'NASS Data'!$M22</f>
        <v>1893.816</v>
      </c>
      <c r="D88" s="32">
        <f>'NASS Data'!$M34</f>
        <v>1802.194</v>
      </c>
      <c r="E88" s="32">
        <f>'NASS Data'!$M46</f>
        <v>2020.6969999999999</v>
      </c>
      <c r="F88" s="32">
        <f>'NASS Data'!$M58</f>
        <v>1959.56</v>
      </c>
      <c r="G88" s="32">
        <f>'NASS Data'!$M70</f>
        <v>1664.1310000000001</v>
      </c>
      <c r="H88" s="32">
        <f>'NASS Data'!$M82</f>
        <v>1925.037</v>
      </c>
      <c r="I88" s="32">
        <f>'NASS Data'!$M94</f>
        <v>1918.6110000000001</v>
      </c>
      <c r="J88" s="33"/>
      <c r="K88" s="33"/>
      <c r="L88" s="33"/>
      <c r="M88" s="33"/>
    </row>
    <row r="89" spans="1:19">
      <c r="A89" s="31" t="s">
        <v>16</v>
      </c>
      <c r="B89" s="32">
        <f>'NASS Data'!$M11</f>
        <v>1975.1990000000001</v>
      </c>
      <c r="C89" s="32">
        <f>'NASS Data'!$M23</f>
        <v>2047.52</v>
      </c>
      <c r="D89" s="32">
        <f>'NASS Data'!$M35</f>
        <v>1921.7439999999999</v>
      </c>
      <c r="E89" s="32">
        <f>'NASS Data'!$M47</f>
        <v>2109.1089999999999</v>
      </c>
      <c r="F89" s="32">
        <f>'NASS Data'!$M59</f>
        <v>1985.82</v>
      </c>
      <c r="G89" s="32">
        <f>'NASS Data'!$M71</f>
        <v>1865.1310000000001</v>
      </c>
      <c r="H89" s="32">
        <f>'NASS Data'!$M83</f>
        <v>1970.1389999999999</v>
      </c>
      <c r="I89" s="32">
        <f>'NASS Data'!$M95</f>
        <v>1934.355</v>
      </c>
      <c r="J89" s="33"/>
      <c r="K89" s="33"/>
      <c r="L89" s="33"/>
      <c r="M89" s="33"/>
    </row>
    <row r="90" spans="1:19">
      <c r="A90" s="31" t="s">
        <v>17</v>
      </c>
      <c r="B90" s="32">
        <f>'NASS Data'!$M12</f>
        <v>1928.7159999999999</v>
      </c>
      <c r="C90" s="32">
        <f>'NASS Data'!$M24</f>
        <v>2072.6990000000001</v>
      </c>
      <c r="D90" s="32">
        <f>'NASS Data'!$M36</f>
        <v>2060.482</v>
      </c>
      <c r="E90" s="32">
        <f>'NASS Data'!$M48</f>
        <v>2185.674</v>
      </c>
      <c r="F90" s="32">
        <f>'NASS Data'!$M60</f>
        <v>2014.491</v>
      </c>
      <c r="G90" s="32">
        <f>'NASS Data'!$M72</f>
        <v>1805.45</v>
      </c>
      <c r="H90" s="32">
        <f>'NASS Data'!$M84</f>
        <v>1827.3779999999999</v>
      </c>
      <c r="I90" s="32">
        <f>'NASS Data'!$M96</f>
        <v>1867.7349999999999</v>
      </c>
      <c r="J90" s="33"/>
      <c r="K90" s="33"/>
      <c r="L90" s="33"/>
      <c r="M90" s="33"/>
    </row>
    <row r="91" spans="1:19">
      <c r="A91" s="31" t="s">
        <v>18</v>
      </c>
      <c r="B91" s="32">
        <f>'NASS Data'!$M13</f>
        <v>1875.1</v>
      </c>
      <c r="C91" s="32">
        <f>'NASS Data'!$M25</f>
        <v>1964.2139999999999</v>
      </c>
      <c r="D91" s="32">
        <f>'NASS Data'!$M37</f>
        <v>1854.144</v>
      </c>
      <c r="E91" s="32">
        <f>'NASS Data'!$M49</f>
        <v>1951.327</v>
      </c>
      <c r="F91" s="32">
        <f>'NASS Data'!$M61</f>
        <v>1788.73</v>
      </c>
      <c r="G91" s="32">
        <f>'NASS Data'!$M73</f>
        <v>1736.318</v>
      </c>
      <c r="H91" s="32">
        <f>'NASS Data'!$M85</f>
        <v>1761.0340000000001</v>
      </c>
      <c r="I91" s="32">
        <f>'NASS Data'!$M97</f>
        <v>1613.088</v>
      </c>
      <c r="J91" s="33"/>
      <c r="K91" s="33"/>
      <c r="L91" s="33"/>
      <c r="M91" s="33"/>
    </row>
    <row r="92" spans="1:19">
      <c r="A92" s="31" t="s">
        <v>19</v>
      </c>
      <c r="B92" s="32">
        <f>'NASS Data'!$M14</f>
        <v>1921.44</v>
      </c>
      <c r="C92" s="32">
        <f>'NASS Data'!$M26</f>
        <v>1927.2819999999999</v>
      </c>
      <c r="D92" s="32">
        <f>'NASS Data'!$M38</f>
        <v>1961.7629999999999</v>
      </c>
      <c r="E92" s="32">
        <f>'NASS Data'!$M50</f>
        <v>1979.896</v>
      </c>
      <c r="F92" s="32">
        <f>'NASS Data'!$M62</f>
        <v>1832.1849999999999</v>
      </c>
      <c r="G92" s="32">
        <f>'NASS Data'!$M74</f>
        <v>1823.6210000000001</v>
      </c>
      <c r="H92" s="32">
        <f>'NASS Data'!$M86</f>
        <v>1948.8119999999999</v>
      </c>
      <c r="I92" s="32">
        <f>'NASS Data'!$M98</f>
        <v>1745.4190000000001</v>
      </c>
      <c r="J92" s="33"/>
      <c r="K92" s="33"/>
      <c r="L92" s="33"/>
      <c r="M92" s="33"/>
    </row>
    <row r="93" spans="1:19">
      <c r="A93" s="31" t="s">
        <v>20</v>
      </c>
      <c r="B93" s="32">
        <f>'NASS Data'!$M15</f>
        <v>1903.3130000000001</v>
      </c>
      <c r="C93" s="32">
        <f>'NASS Data'!$M27</f>
        <v>1995.252</v>
      </c>
      <c r="D93" s="32">
        <f>'NASS Data'!$M39</f>
        <v>1996.8689999999999</v>
      </c>
      <c r="E93" s="32">
        <f>'NASS Data'!$M51</f>
        <v>1930.259</v>
      </c>
      <c r="F93" s="32">
        <f>'NASS Data'!$M63</f>
        <v>1880.4880000000001</v>
      </c>
      <c r="G93" s="32">
        <f>'NASS Data'!$M75</f>
        <v>1794.0350000000001</v>
      </c>
      <c r="H93" s="32">
        <f>'NASS Data'!$M87</f>
        <v>1997.444</v>
      </c>
      <c r="I93" s="32">
        <f>'NASS Data'!$M99</f>
        <v>1778.479</v>
      </c>
      <c r="J93" s="33"/>
      <c r="K93" s="33"/>
      <c r="L93" s="33"/>
      <c r="M93" s="33"/>
    </row>
    <row r="94" spans="1:19">
      <c r="A94" s="31" t="s">
        <v>21</v>
      </c>
      <c r="B94" s="32">
        <f>'NASS Data'!$M16</f>
        <v>1941.7080000000001</v>
      </c>
      <c r="C94" s="32">
        <f>'NASS Data'!$M28</f>
        <v>2095.5500000000002</v>
      </c>
      <c r="D94" s="32">
        <f>'NASS Data'!$M40</f>
        <v>1967.7449999999999</v>
      </c>
      <c r="E94" s="32">
        <f>'NASS Data'!$M52</f>
        <v>1924.1990000000001</v>
      </c>
      <c r="F94" s="32">
        <f>'NASS Data'!$M64</f>
        <v>1908.251</v>
      </c>
      <c r="G94" s="32">
        <f>'NASS Data'!$M76</f>
        <v>1787.124</v>
      </c>
      <c r="H94" s="32">
        <f>'NASS Data'!$M88</f>
        <v>2073.1880000000001</v>
      </c>
      <c r="I94" s="32">
        <f>'NASS Data'!$M100</f>
        <v>1679.6</v>
      </c>
      <c r="J94" s="33"/>
      <c r="K94" s="33"/>
      <c r="L94" s="33"/>
      <c r="M94" s="33"/>
    </row>
    <row r="95" spans="1:19" ht="15.75" thickBot="1">
      <c r="A95" s="34" t="s">
        <v>22</v>
      </c>
      <c r="B95" s="35">
        <f>SUM(B83:B94)</f>
        <v>22256.288</v>
      </c>
      <c r="C95" s="35">
        <f t="shared" ref="C95:I95" si="9">SUM(C83:C94)</f>
        <v>23178.738999999998</v>
      </c>
      <c r="D95" s="35">
        <f t="shared" si="9"/>
        <v>23188.758999999995</v>
      </c>
      <c r="E95" s="35">
        <f t="shared" si="9"/>
        <v>23659.766000000003</v>
      </c>
      <c r="F95" s="35">
        <f t="shared" si="9"/>
        <v>22540.978000000003</v>
      </c>
      <c r="G95" s="35">
        <f t="shared" si="9"/>
        <v>20134.123</v>
      </c>
      <c r="H95" s="35">
        <f t="shared" si="9"/>
        <v>22177.118000000002</v>
      </c>
      <c r="I95" s="35">
        <f t="shared" si="9"/>
        <v>21638.356</v>
      </c>
      <c r="J95" s="36"/>
      <c r="K95" s="36"/>
      <c r="L95" s="36"/>
      <c r="M95" s="36"/>
    </row>
    <row r="96" spans="1:19">
      <c r="A96" s="37"/>
      <c r="B96" s="38"/>
      <c r="C96" s="39"/>
      <c r="D96" s="37"/>
      <c r="E96" s="37"/>
      <c r="F96" s="37"/>
      <c r="G96" s="37"/>
      <c r="H96" s="37"/>
      <c r="I96" s="37"/>
      <c r="J96" s="37"/>
      <c r="K96" s="37"/>
      <c r="L96" s="37"/>
      <c r="M96" s="37"/>
      <c r="P96">
        <v>2023</v>
      </c>
      <c r="Q96">
        <v>2024</v>
      </c>
      <c r="R96">
        <v>2025</v>
      </c>
      <c r="S96">
        <v>2026</v>
      </c>
    </row>
    <row r="97" spans="1:19">
      <c r="O97" s="57" t="s">
        <v>51</v>
      </c>
      <c r="P97" s="58">
        <v>2.5000000000000001E-2</v>
      </c>
      <c r="Q97" s="58">
        <v>2.5000000000000001E-2</v>
      </c>
      <c r="R97" s="58">
        <v>2.5000000000000001E-2</v>
      </c>
      <c r="S97" s="58">
        <v>2.5000000000000001E-2</v>
      </c>
    </row>
    <row r="98" spans="1:19" ht="18.75" thickBot="1">
      <c r="A98" s="27" t="s">
        <v>52</v>
      </c>
      <c r="O98" s="57" t="s">
        <v>53</v>
      </c>
      <c r="P98" s="58">
        <v>4.0000000000000001E-3</v>
      </c>
      <c r="Q98" s="58">
        <v>4.0000000000000001E-3</v>
      </c>
      <c r="R98" s="58">
        <v>4.0000000000000001E-3</v>
      </c>
      <c r="S98" s="58">
        <v>4.0000000000000001E-3</v>
      </c>
    </row>
    <row r="99" spans="1:19" ht="15.75" thickBot="1">
      <c r="A99" s="40" t="s">
        <v>54</v>
      </c>
      <c r="B99" s="30">
        <v>2014</v>
      </c>
      <c r="C99" s="30">
        <f t="shared" ref="C99:N99" si="10">B2</f>
        <v>2015</v>
      </c>
      <c r="D99" s="30">
        <f t="shared" si="10"/>
        <v>2016</v>
      </c>
      <c r="E99" s="30">
        <f t="shared" si="10"/>
        <v>2017</v>
      </c>
      <c r="F99" s="30">
        <f t="shared" si="10"/>
        <v>2018</v>
      </c>
      <c r="G99" s="30">
        <f t="shared" si="10"/>
        <v>2019</v>
      </c>
      <c r="H99" s="30">
        <f t="shared" si="10"/>
        <v>2020</v>
      </c>
      <c r="I99" s="30">
        <f t="shared" si="10"/>
        <v>2021</v>
      </c>
      <c r="J99" s="30">
        <f t="shared" si="10"/>
        <v>2022</v>
      </c>
      <c r="K99" s="30">
        <f t="shared" si="10"/>
        <v>2023</v>
      </c>
      <c r="L99" s="30">
        <f t="shared" si="10"/>
        <v>2024</v>
      </c>
      <c r="M99" s="30">
        <f t="shared" si="10"/>
        <v>2025</v>
      </c>
      <c r="N99" s="30">
        <f t="shared" si="10"/>
        <v>2026</v>
      </c>
    </row>
    <row r="100" spans="1:19">
      <c r="A100" s="31" t="s">
        <v>10</v>
      </c>
      <c r="B100" s="32">
        <v>73812</v>
      </c>
      <c r="C100" s="32">
        <v>73996</v>
      </c>
      <c r="D100" s="32">
        <v>73645</v>
      </c>
      <c r="E100" s="32">
        <v>73561</v>
      </c>
      <c r="F100" s="32">
        <v>74607</v>
      </c>
      <c r="G100" s="32">
        <v>73360</v>
      </c>
      <c r="H100" s="32">
        <v>76532</v>
      </c>
      <c r="I100" s="32">
        <v>73745</v>
      </c>
      <c r="J100" s="32">
        <v>75632</v>
      </c>
      <c r="K100" s="33">
        <f t="shared" ref="K100:K110" si="11">K$112*(SUM(F100:J100)/SUM(F$112:J$112))</f>
        <v>75736.895700349924</v>
      </c>
      <c r="L100" s="33">
        <f t="shared" ref="L100:L110" si="12">L$112*(SUM(G100:K100)/SUM(G$112:K$112))</f>
        <v>76079.416968606267</v>
      </c>
      <c r="M100" s="33">
        <f t="shared" ref="M100:N110" si="13">M$112*(SUM(H100:L100)/SUM(H$112:L$112))</f>
        <v>76587.088073214269</v>
      </c>
      <c r="N100" s="33">
        <f t="shared" si="13"/>
        <v>76581.330250697152</v>
      </c>
    </row>
    <row r="101" spans="1:19">
      <c r="A101" s="31" t="s">
        <v>11</v>
      </c>
      <c r="B101" s="32">
        <v>73226</v>
      </c>
      <c r="C101" s="32">
        <v>73409</v>
      </c>
      <c r="D101" s="32">
        <v>73061</v>
      </c>
      <c r="E101" s="32">
        <v>72977</v>
      </c>
      <c r="F101" s="32">
        <v>74014</v>
      </c>
      <c r="G101" s="32">
        <v>72777</v>
      </c>
      <c r="H101" s="32">
        <v>75925</v>
      </c>
      <c r="I101" s="32">
        <v>73159</v>
      </c>
      <c r="J101" s="32">
        <v>75031</v>
      </c>
      <c r="K101" s="33">
        <f t="shared" si="11"/>
        <v>75135.256172190755</v>
      </c>
      <c r="L101" s="33">
        <f t="shared" si="12"/>
        <v>75475.124712777106</v>
      </c>
      <c r="M101" s="33">
        <f t="shared" si="13"/>
        <v>75978.825846543434</v>
      </c>
      <c r="N101" s="33">
        <f t="shared" si="13"/>
        <v>75972.946572705419</v>
      </c>
    </row>
    <row r="102" spans="1:19">
      <c r="A102" s="31" t="s">
        <v>12</v>
      </c>
      <c r="B102" s="32">
        <v>77689</v>
      </c>
      <c r="C102" s="32">
        <v>77884</v>
      </c>
      <c r="D102" s="32">
        <v>77514</v>
      </c>
      <c r="E102" s="32">
        <v>77425</v>
      </c>
      <c r="F102" s="32">
        <v>78526</v>
      </c>
      <c r="G102" s="32">
        <v>77213</v>
      </c>
      <c r="H102" s="32">
        <v>80553</v>
      </c>
      <c r="I102" s="32">
        <v>77619</v>
      </c>
      <c r="J102" s="32">
        <v>79605</v>
      </c>
      <c r="K102" s="33">
        <f t="shared" si="11"/>
        <v>79715.414331005202</v>
      </c>
      <c r="L102" s="33">
        <f t="shared" si="12"/>
        <v>80075.961847410013</v>
      </c>
      <c r="M102" s="33">
        <f t="shared" si="13"/>
        <v>80610.441557001628</v>
      </c>
      <c r="N102" s="33">
        <f t="shared" si="13"/>
        <v>80604.271699583536</v>
      </c>
    </row>
    <row r="103" spans="1:19">
      <c r="A103" s="31" t="s">
        <v>13</v>
      </c>
      <c r="B103" s="32">
        <v>75717</v>
      </c>
      <c r="C103" s="32">
        <v>75805</v>
      </c>
      <c r="D103" s="32">
        <v>74777</v>
      </c>
      <c r="E103" s="32">
        <v>74812</v>
      </c>
      <c r="F103" s="32">
        <v>75525</v>
      </c>
      <c r="G103" s="32">
        <v>75001</v>
      </c>
      <c r="H103" s="32">
        <v>73084</v>
      </c>
      <c r="I103" s="32">
        <v>74412</v>
      </c>
      <c r="J103" s="32">
        <v>77209</v>
      </c>
      <c r="K103" s="33">
        <f t="shared" si="11"/>
        <v>76011.381074308068</v>
      </c>
      <c r="L103" s="33">
        <f t="shared" si="12"/>
        <v>76223.759745754709</v>
      </c>
      <c r="M103" s="33">
        <f t="shared" si="13"/>
        <v>76427.887660832799</v>
      </c>
      <c r="N103" s="33">
        <f t="shared" si="13"/>
        <v>77088.850339900935</v>
      </c>
    </row>
    <row r="104" spans="1:19">
      <c r="A104" s="31" t="s">
        <v>14</v>
      </c>
      <c r="B104" s="32">
        <v>77418</v>
      </c>
      <c r="C104" s="32">
        <v>77507</v>
      </c>
      <c r="D104" s="32">
        <v>76456</v>
      </c>
      <c r="E104" s="32">
        <v>76492</v>
      </c>
      <c r="F104" s="32">
        <v>77221</v>
      </c>
      <c r="G104" s="32">
        <v>76686</v>
      </c>
      <c r="H104" s="32">
        <v>74725</v>
      </c>
      <c r="I104" s="32">
        <v>76084</v>
      </c>
      <c r="J104" s="32">
        <v>78943</v>
      </c>
      <c r="K104" s="33">
        <f t="shared" si="11"/>
        <v>77718.659843104542</v>
      </c>
      <c r="L104" s="33">
        <f t="shared" si="12"/>
        <v>77935.880583659091</v>
      </c>
      <c r="M104" s="33">
        <f t="shared" si="13"/>
        <v>78144.523720406898</v>
      </c>
      <c r="N104" s="33">
        <f t="shared" si="13"/>
        <v>78820.439519983061</v>
      </c>
    </row>
    <row r="105" spans="1:19">
      <c r="A105" s="31" t="s">
        <v>15</v>
      </c>
      <c r="B105" s="32">
        <v>74070</v>
      </c>
      <c r="C105" s="32">
        <v>74155</v>
      </c>
      <c r="D105" s="32">
        <v>73149</v>
      </c>
      <c r="E105" s="32">
        <v>73183</v>
      </c>
      <c r="F105" s="32">
        <v>73881</v>
      </c>
      <c r="G105" s="32">
        <v>73369</v>
      </c>
      <c r="H105" s="32">
        <v>71493</v>
      </c>
      <c r="I105" s="32">
        <v>72793</v>
      </c>
      <c r="J105" s="32">
        <v>75528</v>
      </c>
      <c r="K105" s="33">
        <f t="shared" si="11"/>
        <v>74356.973657986193</v>
      </c>
      <c r="L105" s="33">
        <f t="shared" si="12"/>
        <v>74564.766125436683</v>
      </c>
      <c r="M105" s="33">
        <f t="shared" si="13"/>
        <v>74764.374087063377</v>
      </c>
      <c r="N105" s="33">
        <f t="shared" si="13"/>
        <v>75411.004877321815</v>
      </c>
    </row>
    <row r="106" spans="1:19">
      <c r="A106" s="31" t="s">
        <v>16</v>
      </c>
      <c r="B106" s="32">
        <v>74244</v>
      </c>
      <c r="C106" s="32">
        <v>74749</v>
      </c>
      <c r="D106" s="32">
        <v>74237</v>
      </c>
      <c r="E106" s="32">
        <v>74520</v>
      </c>
      <c r="F106" s="32">
        <v>74093</v>
      </c>
      <c r="G106" s="32">
        <v>73723</v>
      </c>
      <c r="H106" s="32">
        <v>74491</v>
      </c>
      <c r="I106" s="32">
        <v>73415</v>
      </c>
      <c r="J106" s="32">
        <v>75450</v>
      </c>
      <c r="K106" s="33">
        <f t="shared" si="11"/>
        <v>75189.140385823863</v>
      </c>
      <c r="L106" s="33">
        <f t="shared" si="12"/>
        <v>75523.994159205206</v>
      </c>
      <c r="M106" s="33">
        <f t="shared" si="13"/>
        <v>75845.766200952072</v>
      </c>
      <c r="N106" s="33">
        <f t="shared" si="13"/>
        <v>76103.634996815745</v>
      </c>
    </row>
    <row r="107" spans="1:19">
      <c r="A107" s="31" t="s">
        <v>17</v>
      </c>
      <c r="B107" s="32">
        <v>81143</v>
      </c>
      <c r="C107" s="32">
        <v>81695</v>
      </c>
      <c r="D107" s="32">
        <v>81136</v>
      </c>
      <c r="E107" s="32">
        <v>81444</v>
      </c>
      <c r="F107" s="32">
        <v>80978</v>
      </c>
      <c r="G107" s="32">
        <v>80574</v>
      </c>
      <c r="H107" s="32">
        <v>81414</v>
      </c>
      <c r="I107" s="32">
        <v>80237</v>
      </c>
      <c r="J107" s="32">
        <v>82461</v>
      </c>
      <c r="K107" s="33">
        <f t="shared" si="11"/>
        <v>82176.261801738423</v>
      </c>
      <c r="L107" s="33">
        <f t="shared" si="12"/>
        <v>82542.285386196963</v>
      </c>
      <c r="M107" s="33">
        <f t="shared" si="13"/>
        <v>82893.944552623376</v>
      </c>
      <c r="N107" s="33">
        <f t="shared" si="13"/>
        <v>83175.631164505015</v>
      </c>
    </row>
    <row r="108" spans="1:19">
      <c r="A108" s="31" t="s">
        <v>18</v>
      </c>
      <c r="B108" s="32">
        <v>78025</v>
      </c>
      <c r="C108" s="32">
        <v>78556</v>
      </c>
      <c r="D108" s="32">
        <v>78018</v>
      </c>
      <c r="E108" s="32">
        <v>78315</v>
      </c>
      <c r="F108" s="32">
        <v>77867</v>
      </c>
      <c r="G108" s="32">
        <v>77478</v>
      </c>
      <c r="H108" s="32">
        <v>78285</v>
      </c>
      <c r="I108" s="32">
        <v>77154</v>
      </c>
      <c r="J108" s="32">
        <v>79293</v>
      </c>
      <c r="K108" s="33">
        <f t="shared" si="11"/>
        <v>79018.768426177136</v>
      </c>
      <c r="L108" s="33">
        <f t="shared" si="12"/>
        <v>79370.636420588038</v>
      </c>
      <c r="M108" s="33">
        <f t="shared" si="13"/>
        <v>79708.779493028109</v>
      </c>
      <c r="N108" s="33">
        <f t="shared" si="13"/>
        <v>79979.784555761129</v>
      </c>
    </row>
    <row r="109" spans="1:19">
      <c r="A109" s="31" t="s">
        <v>19</v>
      </c>
      <c r="B109" s="32">
        <v>82617</v>
      </c>
      <c r="C109" s="32">
        <v>82604</v>
      </c>
      <c r="D109" s="32">
        <v>81469</v>
      </c>
      <c r="E109" s="32">
        <v>82325</v>
      </c>
      <c r="F109" s="32">
        <v>81125</v>
      </c>
      <c r="G109" s="32">
        <v>81394</v>
      </c>
      <c r="H109" s="32">
        <v>81061</v>
      </c>
      <c r="I109" s="32">
        <v>82211</v>
      </c>
      <c r="J109" s="32">
        <v>80356</v>
      </c>
      <c r="K109" s="33">
        <f t="shared" si="11"/>
        <v>82274.104189651174</v>
      </c>
      <c r="L109" s="33">
        <f t="shared" si="12"/>
        <v>82630.301271566001</v>
      </c>
      <c r="M109" s="33">
        <f t="shared" si="13"/>
        <v>82833.493727866298</v>
      </c>
      <c r="N109" s="33">
        <f t="shared" si="13"/>
        <v>83174.497476704826</v>
      </c>
    </row>
    <row r="110" spans="1:19">
      <c r="A110" s="31" t="s">
        <v>20</v>
      </c>
      <c r="B110" s="32">
        <v>79077</v>
      </c>
      <c r="C110" s="32">
        <v>79065</v>
      </c>
      <c r="D110" s="32">
        <v>77978</v>
      </c>
      <c r="E110" s="32">
        <v>78798</v>
      </c>
      <c r="F110" s="32">
        <v>77650</v>
      </c>
      <c r="G110" s="32">
        <v>77907</v>
      </c>
      <c r="H110" s="32">
        <v>77588</v>
      </c>
      <c r="I110" s="32">
        <v>78689</v>
      </c>
      <c r="J110" s="32">
        <v>76913</v>
      </c>
      <c r="K110" s="33">
        <f t="shared" si="11"/>
        <v>78749.347358011568</v>
      </c>
      <c r="L110" s="33">
        <f t="shared" si="12"/>
        <v>79090.177392937985</v>
      </c>
      <c r="M110" s="33">
        <f t="shared" si="13"/>
        <v>79284.632633489338</v>
      </c>
      <c r="N110" s="33">
        <f t="shared" si="13"/>
        <v>79611.042546569399</v>
      </c>
    </row>
    <row r="111" spans="1:19">
      <c r="A111" s="31" t="s">
        <v>21</v>
      </c>
      <c r="B111" s="32">
        <v>74226</v>
      </c>
      <c r="C111" s="32">
        <v>74215</v>
      </c>
      <c r="D111" s="32">
        <v>73195</v>
      </c>
      <c r="E111" s="32">
        <v>73964</v>
      </c>
      <c r="F111" s="32">
        <v>72886</v>
      </c>
      <c r="G111" s="32">
        <v>73127</v>
      </c>
      <c r="H111" s="32">
        <v>72828</v>
      </c>
      <c r="I111" s="32">
        <v>73861</v>
      </c>
      <c r="J111" s="32">
        <v>72194</v>
      </c>
      <c r="K111" s="33">
        <f>K112-SUM(K100:K110)</f>
        <v>73917.79705965321</v>
      </c>
      <c r="L111" s="33">
        <f t="shared" ref="L111:N111" si="14">L112-SUM(L100:L110)</f>
        <v>74237.695385862025</v>
      </c>
      <c r="M111" s="33">
        <f t="shared" si="14"/>
        <v>74420.242446978344</v>
      </c>
      <c r="N111" s="33">
        <f t="shared" si="14"/>
        <v>74726.565999452025</v>
      </c>
    </row>
    <row r="112" spans="1:19" ht="15.75" thickBot="1">
      <c r="A112" s="34" t="s">
        <v>22</v>
      </c>
      <c r="B112" s="35">
        <f>SUM(B100:B111)</f>
        <v>921264</v>
      </c>
      <c r="C112" s="35">
        <f>SUM(C100:C111)</f>
        <v>923640</v>
      </c>
      <c r="D112" s="35">
        <f t="shared" ref="D112:J112" si="15">SUM(D100:D111)</f>
        <v>914635</v>
      </c>
      <c r="E112" s="35">
        <f t="shared" si="15"/>
        <v>917816</v>
      </c>
      <c r="F112" s="35">
        <f t="shared" si="15"/>
        <v>918373</v>
      </c>
      <c r="G112" s="35">
        <f t="shared" si="15"/>
        <v>912609</v>
      </c>
      <c r="H112" s="35">
        <f t="shared" si="15"/>
        <v>917979</v>
      </c>
      <c r="I112" s="35">
        <f t="shared" si="15"/>
        <v>913379</v>
      </c>
      <c r="J112" s="35">
        <f t="shared" si="15"/>
        <v>928615</v>
      </c>
      <c r="K112" s="36">
        <v>930000</v>
      </c>
      <c r="L112" s="36">
        <f>MROUND((K112*SUM(Q98))+K112,250)</f>
        <v>933750</v>
      </c>
      <c r="M112" s="36">
        <f>MROUND((L112*SUM(R98))+L112,250)</f>
        <v>937500</v>
      </c>
      <c r="N112" s="36">
        <f>MROUND((M112*SUM(S98))+M112,250)</f>
        <v>941250</v>
      </c>
    </row>
    <row r="113" spans="1:14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</row>
    <row r="114" spans="1:14" ht="18.75" thickBot="1">
      <c r="A114" s="27" t="s">
        <v>55</v>
      </c>
    </row>
    <row r="115" spans="1:14" ht="15.75" thickBot="1">
      <c r="A115" s="40" t="s">
        <v>28</v>
      </c>
      <c r="B115" s="30">
        <v>2014</v>
      </c>
      <c r="C115" s="30">
        <f t="shared" ref="C115:N115" si="16">B18</f>
        <v>2015</v>
      </c>
      <c r="D115" s="30">
        <f t="shared" si="16"/>
        <v>2016</v>
      </c>
      <c r="E115" s="30">
        <f t="shared" si="16"/>
        <v>2017</v>
      </c>
      <c r="F115" s="30">
        <f t="shared" si="16"/>
        <v>2018</v>
      </c>
      <c r="G115" s="30">
        <f t="shared" si="16"/>
        <v>2019</v>
      </c>
      <c r="H115" s="30">
        <f t="shared" si="16"/>
        <v>2020</v>
      </c>
      <c r="I115" s="30">
        <f t="shared" si="16"/>
        <v>2021</v>
      </c>
      <c r="J115" s="30">
        <f t="shared" si="16"/>
        <v>2022</v>
      </c>
      <c r="K115" s="30">
        <f t="shared" si="16"/>
        <v>2023</v>
      </c>
      <c r="L115" s="30">
        <f t="shared" si="16"/>
        <v>2024</v>
      </c>
      <c r="M115" s="30">
        <f t="shared" si="16"/>
        <v>2025</v>
      </c>
      <c r="N115" s="30">
        <f t="shared" si="16"/>
        <v>2026</v>
      </c>
    </row>
    <row r="116" spans="1:14">
      <c r="A116" s="31" t="s">
        <v>10</v>
      </c>
      <c r="B116" s="59">
        <f>B100*B$149/2204.622*1000</f>
        <v>501932.04023992893</v>
      </c>
      <c r="C116" s="32">
        <f t="shared" ref="C116:N118" si="17">C100*C$149/2204.622*1000</f>
        <v>525948.7181531277</v>
      </c>
      <c r="D116" s="32">
        <f t="shared" si="17"/>
        <v>524176.21956114535</v>
      </c>
      <c r="E116" s="32">
        <f t="shared" si="17"/>
        <v>521025.36038542073</v>
      </c>
      <c r="F116" s="32">
        <f t="shared" si="17"/>
        <v>527681.60434872576</v>
      </c>
      <c r="G116" s="32">
        <f t="shared" si="17"/>
        <v>519678.82408775459</v>
      </c>
      <c r="H116" s="32">
        <f t="shared" si="17"/>
        <v>543541.75316080858</v>
      </c>
      <c r="I116" s="32">
        <f t="shared" si="17"/>
        <v>535669.53292090353</v>
      </c>
      <c r="J116" s="32">
        <f t="shared" si="17"/>
        <v>547254.34877620859</v>
      </c>
      <c r="K116" s="33">
        <f t="shared" si="17"/>
        <v>541647.24476431147</v>
      </c>
      <c r="L116" s="33">
        <f t="shared" si="17"/>
        <v>545297.07543617336</v>
      </c>
      <c r="M116" s="33">
        <f t="shared" si="17"/>
        <v>550215.07936591981</v>
      </c>
      <c r="N116" s="33">
        <f t="shared" si="17"/>
        <v>551430.03618899977</v>
      </c>
    </row>
    <row r="117" spans="1:14">
      <c r="A117" s="31" t="s">
        <v>11</v>
      </c>
      <c r="B117" s="59">
        <f t="shared" ref="B117:J118" si="18">B101*B$149/2204.622*1000</f>
        <v>497947.15735394025</v>
      </c>
      <c r="C117" s="32">
        <f t="shared" si="18"/>
        <v>521776.43995490234</v>
      </c>
      <c r="D117" s="32">
        <f t="shared" si="18"/>
        <v>520019.53666042286</v>
      </c>
      <c r="E117" s="32">
        <f t="shared" si="18"/>
        <v>516888.94556690159</v>
      </c>
      <c r="F117" s="32">
        <f t="shared" si="18"/>
        <v>523487.42429351911</v>
      </c>
      <c r="G117" s="32">
        <f t="shared" si="18"/>
        <v>515548.8792343855</v>
      </c>
      <c r="H117" s="32">
        <f t="shared" si="18"/>
        <v>539230.74803656491</v>
      </c>
      <c r="I117" s="32">
        <f t="shared" si="18"/>
        <v>531412.94133785844</v>
      </c>
      <c r="J117" s="32">
        <f t="shared" si="18"/>
        <v>542905.6621936179</v>
      </c>
      <c r="K117" s="33">
        <f t="shared" si="17"/>
        <v>537344.50183095934</v>
      </c>
      <c r="L117" s="33">
        <f t="shared" si="17"/>
        <v>540965.8277355195</v>
      </c>
      <c r="M117" s="33">
        <f t="shared" si="17"/>
        <v>545845.21679844568</v>
      </c>
      <c r="N117" s="33">
        <f t="shared" si="17"/>
        <v>547049.32051752286</v>
      </c>
    </row>
    <row r="118" spans="1:14">
      <c r="A118" s="31" t="s">
        <v>12</v>
      </c>
      <c r="B118" s="59">
        <f t="shared" si="18"/>
        <v>528296.18861702492</v>
      </c>
      <c r="C118" s="32">
        <f t="shared" si="18"/>
        <v>553583.8418919699</v>
      </c>
      <c r="D118" s="32">
        <f t="shared" si="18"/>
        <v>551714.2437784319</v>
      </c>
      <c r="E118" s="32">
        <f t="shared" si="18"/>
        <v>548393.69404767756</v>
      </c>
      <c r="F118" s="32">
        <f t="shared" si="18"/>
        <v>555399.97135775501</v>
      </c>
      <c r="G118" s="32">
        <f t="shared" si="18"/>
        <v>546973.29667785997</v>
      </c>
      <c r="H118" s="32">
        <f t="shared" si="18"/>
        <v>572099.49880262662</v>
      </c>
      <c r="I118" s="32">
        <f t="shared" si="18"/>
        <v>563809.52574123803</v>
      </c>
      <c r="J118" s="32">
        <f t="shared" si="18"/>
        <v>576001.98903017351</v>
      </c>
      <c r="K118" s="33">
        <f t="shared" si="17"/>
        <v>570100.40005422337</v>
      </c>
      <c r="L118" s="33">
        <f t="shared" si="17"/>
        <v>573942.19813947147</v>
      </c>
      <c r="M118" s="33">
        <f t="shared" si="17"/>
        <v>579119.55676664028</v>
      </c>
      <c r="N118" s="33">
        <f t="shared" si="17"/>
        <v>580397.55009197828</v>
      </c>
    </row>
    <row r="119" spans="1:14">
      <c r="A119" s="31" t="s">
        <v>13</v>
      </c>
      <c r="B119" s="59">
        <f>B103/2204.622*1000*B$150</f>
        <v>514026.00656794413</v>
      </c>
      <c r="C119" s="32">
        <f t="shared" ref="C119:N121" si="19">C103/2204.622*1000*C$150</f>
        <v>547580.12538082444</v>
      </c>
      <c r="D119" s="32">
        <f t="shared" si="19"/>
        <v>537868.38625201676</v>
      </c>
      <c r="E119" s="32">
        <f t="shared" si="19"/>
        <v>526070.12445264088</v>
      </c>
      <c r="F119" s="32">
        <f t="shared" si="19"/>
        <v>531499.35179832939</v>
      </c>
      <c r="G119" s="32">
        <f t="shared" si="19"/>
        <v>539413.6064890516</v>
      </c>
      <c r="H119" s="32">
        <f t="shared" si="19"/>
        <v>519065.96133186208</v>
      </c>
      <c r="I119" s="32">
        <f t="shared" si="19"/>
        <v>542374.56444338942</v>
      </c>
      <c r="J119" s="32">
        <f t="shared" si="19"/>
        <v>561323.22684305941</v>
      </c>
      <c r="K119" s="33">
        <f t="shared" si="19"/>
        <v>545621.63701661828</v>
      </c>
      <c r="L119" s="33">
        <f t="shared" si="19"/>
        <v>549291.98918699485</v>
      </c>
      <c r="M119" s="33">
        <f t="shared" si="19"/>
        <v>550980.41678104654</v>
      </c>
      <c r="N119" s="33">
        <f t="shared" si="19"/>
        <v>557392.54020612722</v>
      </c>
    </row>
    <row r="120" spans="1:14">
      <c r="A120" s="31" t="s">
        <v>14</v>
      </c>
      <c r="B120" s="59">
        <f t="shared" ref="B120:J121" si="20">B104/2204.622*1000*B$150</f>
        <v>525573.7202540657</v>
      </c>
      <c r="C120" s="32">
        <f t="shared" si="20"/>
        <v>559874.58317909844</v>
      </c>
      <c r="D120" s="32">
        <f t="shared" si="20"/>
        <v>549945.37544009765</v>
      </c>
      <c r="E120" s="32">
        <f t="shared" si="20"/>
        <v>537883.70795636263</v>
      </c>
      <c r="F120" s="32">
        <f t="shared" si="20"/>
        <v>543434.77583871293</v>
      </c>
      <c r="G120" s="32">
        <f t="shared" si="20"/>
        <v>551532.27059931762</v>
      </c>
      <c r="H120" s="32">
        <f t="shared" si="20"/>
        <v>530720.86859672959</v>
      </c>
      <c r="I120" s="32">
        <f t="shared" si="20"/>
        <v>554561.44655580877</v>
      </c>
      <c r="J120" s="32">
        <f t="shared" si="20"/>
        <v>573929.71669975831</v>
      </c>
      <c r="K120" s="33">
        <f t="shared" si="19"/>
        <v>557876.7522836834</v>
      </c>
      <c r="L120" s="33">
        <f t="shared" si="19"/>
        <v>561630.06151402113</v>
      </c>
      <c r="M120" s="33">
        <f t="shared" si="19"/>
        <v>563355.91060292046</v>
      </c>
      <c r="N120" s="33">
        <f t="shared" si="19"/>
        <v>569912.83188804693</v>
      </c>
    </row>
    <row r="121" spans="1:14">
      <c r="A121" s="31" t="s">
        <v>15</v>
      </c>
      <c r="B121" s="59">
        <f t="shared" si="20"/>
        <v>502844.88696709619</v>
      </c>
      <c r="C121" s="32">
        <f t="shared" si="20"/>
        <v>535661.29144007701</v>
      </c>
      <c r="D121" s="32">
        <f t="shared" si="20"/>
        <v>526158.23830788571</v>
      </c>
      <c r="E121" s="32">
        <f t="shared" si="20"/>
        <v>514615.16759099625</v>
      </c>
      <c r="F121" s="32">
        <f t="shared" si="20"/>
        <v>519929.87236295763</v>
      </c>
      <c r="G121" s="32">
        <f t="shared" si="20"/>
        <v>527676.1229116309</v>
      </c>
      <c r="H121" s="32">
        <f t="shared" si="20"/>
        <v>507766.17007140844</v>
      </c>
      <c r="I121" s="32">
        <f t="shared" si="20"/>
        <v>530573.98900080158</v>
      </c>
      <c r="J121" s="32">
        <f t="shared" si="20"/>
        <v>549102.05645718239</v>
      </c>
      <c r="K121" s="33">
        <f t="shared" si="19"/>
        <v>533746.04062528955</v>
      </c>
      <c r="L121" s="33">
        <f t="shared" si="19"/>
        <v>537336.76802245795</v>
      </c>
      <c r="M121" s="33">
        <f t="shared" si="19"/>
        <v>538987.89114349557</v>
      </c>
      <c r="N121" s="33">
        <f t="shared" si="19"/>
        <v>545260.84359453246</v>
      </c>
    </row>
    <row r="122" spans="1:14">
      <c r="A122" s="31" t="s">
        <v>16</v>
      </c>
      <c r="B122" s="32">
        <f>B106/2204.622*1000*B$151</f>
        <v>530699.30044727772</v>
      </c>
      <c r="C122" s="32">
        <f t="shared" ref="C122:N124" si="21">C106/2204.622*1000*C$151</f>
        <v>545181.03629787243</v>
      </c>
      <c r="D122" s="32">
        <f t="shared" si="21"/>
        <v>536719.85482730693</v>
      </c>
      <c r="E122" s="32">
        <f t="shared" si="21"/>
        <v>522069.41108678118</v>
      </c>
      <c r="F122" s="32">
        <f t="shared" si="21"/>
        <v>517909.87279018457</v>
      </c>
      <c r="G122" s="32">
        <f t="shared" si="21"/>
        <v>527851.90879948228</v>
      </c>
      <c r="H122" s="32">
        <f t="shared" si="21"/>
        <v>534022.4451385627</v>
      </c>
      <c r="I122" s="32">
        <f t="shared" si="21"/>
        <v>535466.11961994052</v>
      </c>
      <c r="J122" s="32">
        <f t="shared" si="21"/>
        <v>546540.78641169623</v>
      </c>
      <c r="K122" s="33">
        <f t="shared" si="21"/>
        <v>539201.19644434878</v>
      </c>
      <c r="L122" s="33">
        <f t="shared" si="21"/>
        <v>544340.52198593435</v>
      </c>
      <c r="M122" s="33">
        <f t="shared" si="21"/>
        <v>547381.48410941928</v>
      </c>
      <c r="N122" s="33">
        <f t="shared" si="21"/>
        <v>549974.36863019562</v>
      </c>
    </row>
    <row r="123" spans="1:14">
      <c r="A123" s="31" t="s">
        <v>17</v>
      </c>
      <c r="B123" s="32">
        <f t="shared" ref="B123:J124" si="22">B107/2204.622*1000*B$151</f>
        <v>580013.64872842876</v>
      </c>
      <c r="C123" s="32">
        <f t="shared" si="22"/>
        <v>595841.61340425536</v>
      </c>
      <c r="D123" s="32">
        <f t="shared" si="22"/>
        <v>586598.35582348937</v>
      </c>
      <c r="E123" s="32">
        <f t="shared" si="22"/>
        <v>570577.30966924049</v>
      </c>
      <c r="F123" s="32">
        <f t="shared" si="22"/>
        <v>566036.00446470734</v>
      </c>
      <c r="G123" s="32">
        <f t="shared" si="22"/>
        <v>576904.6254168913</v>
      </c>
      <c r="H123" s="32">
        <f t="shared" si="22"/>
        <v>583653.10371066234</v>
      </c>
      <c r="I123" s="32">
        <f t="shared" si="22"/>
        <v>585223.66055908427</v>
      </c>
      <c r="J123" s="32">
        <f t="shared" si="22"/>
        <v>597326.70362219866</v>
      </c>
      <c r="K123" s="33">
        <f t="shared" si="21"/>
        <v>589307.6906512354</v>
      </c>
      <c r="L123" s="33">
        <f t="shared" si="21"/>
        <v>594924.97997814126</v>
      </c>
      <c r="M123" s="33">
        <f t="shared" si="21"/>
        <v>598248.42790406558</v>
      </c>
      <c r="N123" s="33">
        <f t="shared" si="21"/>
        <v>601081.21296743141</v>
      </c>
    </row>
    <row r="124" spans="1:14">
      <c r="A124" s="31" t="s">
        <v>18</v>
      </c>
      <c r="B124" s="32">
        <f t="shared" si="22"/>
        <v>557726.05082429352</v>
      </c>
      <c r="C124" s="32">
        <f t="shared" si="22"/>
        <v>572947.35029787244</v>
      </c>
      <c r="D124" s="32">
        <f t="shared" si="22"/>
        <v>564055.7893492037</v>
      </c>
      <c r="E124" s="32">
        <f t="shared" si="22"/>
        <v>548656.27924397844</v>
      </c>
      <c r="F124" s="32">
        <f t="shared" si="22"/>
        <v>544290.12274510809</v>
      </c>
      <c r="G124" s="32">
        <f t="shared" si="22"/>
        <v>554737.46578362642</v>
      </c>
      <c r="H124" s="32">
        <f t="shared" si="22"/>
        <v>561221.45115077496</v>
      </c>
      <c r="I124" s="32">
        <f t="shared" si="22"/>
        <v>562737.21982097509</v>
      </c>
      <c r="J124" s="32">
        <f t="shared" si="22"/>
        <v>574378.50996610511</v>
      </c>
      <c r="K124" s="33">
        <f t="shared" si="21"/>
        <v>566664.47120316816</v>
      </c>
      <c r="L124" s="33">
        <f t="shared" si="21"/>
        <v>572065.26403334725</v>
      </c>
      <c r="M124" s="33">
        <f t="shared" si="21"/>
        <v>575260.98292479874</v>
      </c>
      <c r="N124" s="33">
        <f t="shared" si="21"/>
        <v>577985.94661180454</v>
      </c>
    </row>
    <row r="125" spans="1:14">
      <c r="A125" s="31" t="s">
        <v>19</v>
      </c>
      <c r="B125" s="32">
        <f>B109/2204.622*1000*B$152</f>
        <v>589538.76120295015</v>
      </c>
      <c r="C125" s="32">
        <f t="shared" ref="C125:N127" si="23">C109/2204.622*1000*C$152</f>
        <v>589211.33017924055</v>
      </c>
      <c r="D125" s="32">
        <f t="shared" si="23"/>
        <v>581139.60344219871</v>
      </c>
      <c r="E125" s="32">
        <f t="shared" si="23"/>
        <v>574693.89438803506</v>
      </c>
      <c r="F125" s="32">
        <f t="shared" si="23"/>
        <v>570228.6163834224</v>
      </c>
      <c r="G125" s="32">
        <f t="shared" si="23"/>
        <v>569049.91548350465</v>
      </c>
      <c r="H125" s="32">
        <f t="shared" si="23"/>
        <v>579908.83285164402</v>
      </c>
      <c r="I125" s="32">
        <f t="shared" si="23"/>
        <v>594375.71416887827</v>
      </c>
      <c r="J125" s="32">
        <f t="shared" si="23"/>
        <v>582441.36112575897</v>
      </c>
      <c r="K125" s="33">
        <f t="shared" si="23"/>
        <v>586654.45244881825</v>
      </c>
      <c r="L125" s="33">
        <f t="shared" si="23"/>
        <v>590871.29396443081</v>
      </c>
      <c r="M125" s="33">
        <f t="shared" si="23"/>
        <v>594966.36502625153</v>
      </c>
      <c r="N125" s="33">
        <f t="shared" si="23"/>
        <v>597893.07181859144</v>
      </c>
    </row>
    <row r="126" spans="1:14">
      <c r="A126" s="31" t="s">
        <v>20</v>
      </c>
      <c r="B126" s="32">
        <f t="shared" ref="B126:J127" si="24">B110/2204.622*1000*B$152</f>
        <v>564278.01323753828</v>
      </c>
      <c r="C126" s="32">
        <f t="shared" si="24"/>
        <v>563967.77178613213</v>
      </c>
      <c r="D126" s="32">
        <f t="shared" si="24"/>
        <v>556237.39087525045</v>
      </c>
      <c r="E126" s="32">
        <f t="shared" si="24"/>
        <v>550072.63273596589</v>
      </c>
      <c r="F126" s="32">
        <f t="shared" si="24"/>
        <v>545802.79891738365</v>
      </c>
      <c r="G126" s="32">
        <f t="shared" si="24"/>
        <v>544671.25052919623</v>
      </c>
      <c r="H126" s="32">
        <f t="shared" si="24"/>
        <v>555063.05773791787</v>
      </c>
      <c r="I126" s="32">
        <f t="shared" si="24"/>
        <v>568912.0746887261</v>
      </c>
      <c r="J126" s="32">
        <f t="shared" si="24"/>
        <v>557485.59420908813</v>
      </c>
      <c r="K126" s="33">
        <f t="shared" si="23"/>
        <v>561521.21873637056</v>
      </c>
      <c r="L126" s="33">
        <f t="shared" si="23"/>
        <v>565556.6388709594</v>
      </c>
      <c r="M126" s="33">
        <f t="shared" si="23"/>
        <v>569476.0362923058</v>
      </c>
      <c r="N126" s="33">
        <f t="shared" si="23"/>
        <v>572277.46752759477</v>
      </c>
    </row>
    <row r="127" spans="1:14">
      <c r="A127" s="31" t="s">
        <v>21</v>
      </c>
      <c r="B127" s="32">
        <f t="shared" si="24"/>
        <v>529662.22555951169</v>
      </c>
      <c r="C127" s="32">
        <f t="shared" si="24"/>
        <v>529372.89803462732</v>
      </c>
      <c r="D127" s="32">
        <f t="shared" si="24"/>
        <v>522119.00568255084</v>
      </c>
      <c r="E127" s="32">
        <f t="shared" si="24"/>
        <v>516327.47287599917</v>
      </c>
      <c r="F127" s="32">
        <f t="shared" si="24"/>
        <v>512316.58469919412</v>
      </c>
      <c r="G127" s="32">
        <f t="shared" si="24"/>
        <v>511252.83398729929</v>
      </c>
      <c r="H127" s="32">
        <f t="shared" si="24"/>
        <v>521010.10941043822</v>
      </c>
      <c r="I127" s="32">
        <f t="shared" si="24"/>
        <v>534006.21114239586</v>
      </c>
      <c r="J127" s="32">
        <f t="shared" si="24"/>
        <v>523281.04466515302</v>
      </c>
      <c r="K127" s="33">
        <f t="shared" si="23"/>
        <v>527069.91084696946</v>
      </c>
      <c r="L127" s="33">
        <f t="shared" si="23"/>
        <v>530857.59653009928</v>
      </c>
      <c r="M127" s="33">
        <f t="shared" si="23"/>
        <v>534536.68486465758</v>
      </c>
      <c r="N127" s="33">
        <f t="shared" si="23"/>
        <v>537165.80739643727</v>
      </c>
    </row>
    <row r="128" spans="1:14" ht="15.75" thickBot="1">
      <c r="A128" s="34" t="s">
        <v>22</v>
      </c>
      <c r="B128" s="35">
        <f>SUM(B116:B127)</f>
        <v>6422538</v>
      </c>
      <c r="C128" s="35">
        <f>SUM(C116:C127)</f>
        <v>6640947</v>
      </c>
      <c r="D128" s="35">
        <f t="shared" ref="D128:I128" si="25">SUM(D116:D127)</f>
        <v>6556752</v>
      </c>
      <c r="E128" s="35">
        <f t="shared" si="25"/>
        <v>6447274</v>
      </c>
      <c r="F128" s="35">
        <f t="shared" si="25"/>
        <v>6458017</v>
      </c>
      <c r="G128" s="35">
        <f t="shared" si="25"/>
        <v>6485291.0000000009</v>
      </c>
      <c r="H128" s="35">
        <f t="shared" si="25"/>
        <v>6547304</v>
      </c>
      <c r="I128" s="35">
        <f t="shared" si="25"/>
        <v>6639122.9999999991</v>
      </c>
      <c r="J128" s="35">
        <f>SUM(J116:J127)</f>
        <v>6731971</v>
      </c>
      <c r="K128" s="36">
        <f t="shared" ref="K128:N128" si="26">SUM(K116:K127)</f>
        <v>6656755.5169059951</v>
      </c>
      <c r="L128" s="36">
        <f t="shared" si="26"/>
        <v>6707080.2153975507</v>
      </c>
      <c r="M128" s="36">
        <f t="shared" si="26"/>
        <v>6748374.0525799673</v>
      </c>
      <c r="N128" s="36">
        <f t="shared" si="26"/>
        <v>6787820.9974392625</v>
      </c>
    </row>
    <row r="129" spans="1:18">
      <c r="B129" s="17"/>
      <c r="C129" s="17"/>
      <c r="D129" s="17"/>
      <c r="E129" s="17"/>
      <c r="F129" s="17"/>
      <c r="G129" s="17"/>
      <c r="H129" s="17"/>
      <c r="I129" s="17"/>
      <c r="J129" s="17"/>
      <c r="K129" s="37"/>
      <c r="L129" s="37"/>
      <c r="M129" s="37"/>
      <c r="N129" s="37"/>
    </row>
    <row r="130" spans="1:18" ht="18.75" thickBot="1">
      <c r="A130" s="27" t="s">
        <v>56</v>
      </c>
    </row>
    <row r="131" spans="1:18" ht="15.75" thickBot="1">
      <c r="A131" s="40" t="s">
        <v>54</v>
      </c>
      <c r="B131" s="30">
        <v>2014</v>
      </c>
      <c r="C131" s="30">
        <f t="shared" ref="C131:N131" si="27">B34</f>
        <v>2015</v>
      </c>
      <c r="D131" s="30">
        <f t="shared" si="27"/>
        <v>2016</v>
      </c>
      <c r="E131" s="30">
        <f t="shared" si="27"/>
        <v>2017</v>
      </c>
      <c r="F131" s="30">
        <f t="shared" si="27"/>
        <v>2018</v>
      </c>
      <c r="G131" s="30">
        <f t="shared" si="27"/>
        <v>2019</v>
      </c>
      <c r="H131" s="30">
        <f t="shared" si="27"/>
        <v>2020</v>
      </c>
      <c r="I131" s="30">
        <f t="shared" si="27"/>
        <v>2021</v>
      </c>
      <c r="J131" s="30">
        <f t="shared" si="27"/>
        <v>2022</v>
      </c>
      <c r="K131" s="30">
        <f t="shared" si="27"/>
        <v>2023</v>
      </c>
      <c r="L131" s="30">
        <f t="shared" si="27"/>
        <v>2024</v>
      </c>
      <c r="M131" s="30">
        <f t="shared" si="27"/>
        <v>2025</v>
      </c>
      <c r="N131" s="30">
        <f t="shared" si="27"/>
        <v>2026</v>
      </c>
    </row>
    <row r="132" spans="1:18">
      <c r="A132" s="31" t="s">
        <v>57</v>
      </c>
      <c r="B132" s="32">
        <f t="shared" ref="B132:N132" si="28">SUM(B100:B102)</f>
        <v>224727</v>
      </c>
      <c r="C132" s="32">
        <f t="shared" si="28"/>
        <v>225289</v>
      </c>
      <c r="D132" s="32">
        <f t="shared" si="28"/>
        <v>224220</v>
      </c>
      <c r="E132" s="32">
        <f t="shared" si="28"/>
        <v>223963</v>
      </c>
      <c r="F132" s="32">
        <f t="shared" si="28"/>
        <v>227147</v>
      </c>
      <c r="G132" s="32">
        <f t="shared" si="28"/>
        <v>223350</v>
      </c>
      <c r="H132" s="32">
        <f t="shared" si="28"/>
        <v>233010</v>
      </c>
      <c r="I132" s="32">
        <f t="shared" si="28"/>
        <v>224523</v>
      </c>
      <c r="J132" s="32">
        <f t="shared" si="28"/>
        <v>230268</v>
      </c>
      <c r="K132" s="33">
        <f t="shared" si="28"/>
        <v>230587.5662035459</v>
      </c>
      <c r="L132" s="33">
        <f t="shared" si="28"/>
        <v>231630.5035287934</v>
      </c>
      <c r="M132" s="33">
        <f t="shared" si="28"/>
        <v>233176.35547675932</v>
      </c>
      <c r="N132" s="33">
        <f t="shared" si="28"/>
        <v>233158.54852298609</v>
      </c>
    </row>
    <row r="133" spans="1:18">
      <c r="A133" s="31" t="s">
        <v>58</v>
      </c>
      <c r="B133" s="32">
        <f t="shared" ref="B133:N133" si="29">SUM(B103:B105)</f>
        <v>227205</v>
      </c>
      <c r="C133" s="32">
        <f t="shared" si="29"/>
        <v>227467</v>
      </c>
      <c r="D133" s="32">
        <f t="shared" si="29"/>
        <v>224382</v>
      </c>
      <c r="E133" s="32">
        <f t="shared" si="29"/>
        <v>224487</v>
      </c>
      <c r="F133" s="32">
        <f t="shared" si="29"/>
        <v>226627</v>
      </c>
      <c r="G133" s="32">
        <f t="shared" si="29"/>
        <v>225056</v>
      </c>
      <c r="H133" s="32">
        <f t="shared" si="29"/>
        <v>219302</v>
      </c>
      <c r="I133" s="32">
        <f t="shared" si="29"/>
        <v>223289</v>
      </c>
      <c r="J133" s="32">
        <f t="shared" si="29"/>
        <v>231680</v>
      </c>
      <c r="K133" s="33">
        <f t="shared" si="29"/>
        <v>228087.01457539882</v>
      </c>
      <c r="L133" s="33">
        <f t="shared" si="29"/>
        <v>228724.40645485051</v>
      </c>
      <c r="M133" s="33">
        <f t="shared" si="29"/>
        <v>229336.78546830307</v>
      </c>
      <c r="N133" s="33">
        <f t="shared" si="29"/>
        <v>231320.29473720584</v>
      </c>
    </row>
    <row r="134" spans="1:18">
      <c r="A134" s="31" t="s">
        <v>59</v>
      </c>
      <c r="B134" s="32">
        <f t="shared" ref="B134:N134" si="30">SUM(B106:B108)</f>
        <v>233412</v>
      </c>
      <c r="C134" s="32">
        <f t="shared" si="30"/>
        <v>235000</v>
      </c>
      <c r="D134" s="32">
        <f t="shared" si="30"/>
        <v>233391</v>
      </c>
      <c r="E134" s="32">
        <f t="shared" si="30"/>
        <v>234279</v>
      </c>
      <c r="F134" s="32">
        <f t="shared" si="30"/>
        <v>232938</v>
      </c>
      <c r="G134" s="32">
        <f t="shared" si="30"/>
        <v>231775</v>
      </c>
      <c r="H134" s="32">
        <f t="shared" si="30"/>
        <v>234190</v>
      </c>
      <c r="I134" s="32">
        <f t="shared" si="30"/>
        <v>230806</v>
      </c>
      <c r="J134" s="32">
        <f t="shared" si="30"/>
        <v>237204</v>
      </c>
      <c r="K134" s="33">
        <f t="shared" si="30"/>
        <v>236384.17061373941</v>
      </c>
      <c r="L134" s="33">
        <f t="shared" si="30"/>
        <v>237436.91596599019</v>
      </c>
      <c r="M134" s="33">
        <f t="shared" si="30"/>
        <v>238448.49024660356</v>
      </c>
      <c r="N134" s="33">
        <f t="shared" si="30"/>
        <v>239259.05071708187</v>
      </c>
    </row>
    <row r="135" spans="1:18">
      <c r="A135" s="31" t="s">
        <v>60</v>
      </c>
      <c r="B135" s="32">
        <f t="shared" ref="B135:N135" si="31">SUM(B109:B111)</f>
        <v>235920</v>
      </c>
      <c r="C135" s="32">
        <f t="shared" si="31"/>
        <v>235884</v>
      </c>
      <c r="D135" s="32">
        <f t="shared" si="31"/>
        <v>232642</v>
      </c>
      <c r="E135" s="32">
        <f t="shared" si="31"/>
        <v>235087</v>
      </c>
      <c r="F135" s="32">
        <f t="shared" si="31"/>
        <v>231661</v>
      </c>
      <c r="G135" s="32">
        <f t="shared" si="31"/>
        <v>232428</v>
      </c>
      <c r="H135" s="32">
        <f t="shared" si="31"/>
        <v>231477</v>
      </c>
      <c r="I135" s="32">
        <f t="shared" si="31"/>
        <v>234761</v>
      </c>
      <c r="J135" s="32">
        <f t="shared" si="31"/>
        <v>229463</v>
      </c>
      <c r="K135" s="33">
        <f t="shared" si="31"/>
        <v>234941.24860731594</v>
      </c>
      <c r="L135" s="33">
        <f t="shared" si="31"/>
        <v>235958.17405036601</v>
      </c>
      <c r="M135" s="33">
        <f t="shared" si="31"/>
        <v>236538.36880833399</v>
      </c>
      <c r="N135" s="33">
        <f t="shared" si="31"/>
        <v>237512.10602272625</v>
      </c>
    </row>
    <row r="136" spans="1:18" ht="15.75" thickBot="1">
      <c r="A136" s="34" t="s">
        <v>22</v>
      </c>
      <c r="B136" s="35">
        <f>SUM(B132:B135)</f>
        <v>921264</v>
      </c>
      <c r="C136" s="35">
        <f>SUM(C132:C135)</f>
        <v>923640</v>
      </c>
      <c r="D136" s="35">
        <f t="shared" ref="D136:N136" si="32">SUM(D132:D135)</f>
        <v>914635</v>
      </c>
      <c r="E136" s="35">
        <f t="shared" si="32"/>
        <v>917816</v>
      </c>
      <c r="F136" s="35">
        <f t="shared" si="32"/>
        <v>918373</v>
      </c>
      <c r="G136" s="35">
        <f t="shared" si="32"/>
        <v>912609</v>
      </c>
      <c r="H136" s="35">
        <f t="shared" si="32"/>
        <v>917979</v>
      </c>
      <c r="I136" s="35">
        <f t="shared" si="32"/>
        <v>913379</v>
      </c>
      <c r="J136" s="35">
        <f t="shared" si="32"/>
        <v>928615</v>
      </c>
      <c r="K136" s="36">
        <f t="shared" si="32"/>
        <v>930000.00000000012</v>
      </c>
      <c r="L136" s="36">
        <f t="shared" si="32"/>
        <v>933750.00000000012</v>
      </c>
      <c r="M136" s="36">
        <f t="shared" si="32"/>
        <v>937500</v>
      </c>
      <c r="N136" s="36">
        <f t="shared" si="32"/>
        <v>941250.00000000012</v>
      </c>
    </row>
    <row r="137" spans="1:18">
      <c r="B137" s="38"/>
      <c r="C137" s="39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</row>
    <row r="138" spans="1:18" ht="18.75" thickBot="1">
      <c r="A138" s="27" t="s">
        <v>61</v>
      </c>
    </row>
    <row r="139" spans="1:18" ht="15.75" thickBot="1">
      <c r="A139" s="40" t="s">
        <v>62</v>
      </c>
      <c r="B139" s="30">
        <f>B131</f>
        <v>2014</v>
      </c>
      <c r="C139" s="30">
        <f t="shared" ref="C139:N139" si="33">C131</f>
        <v>2015</v>
      </c>
      <c r="D139" s="30">
        <f t="shared" si="33"/>
        <v>2016</v>
      </c>
      <c r="E139" s="30">
        <f t="shared" si="33"/>
        <v>2017</v>
      </c>
      <c r="F139" s="30">
        <f t="shared" si="33"/>
        <v>2018</v>
      </c>
      <c r="G139" s="30">
        <f t="shared" si="33"/>
        <v>2019</v>
      </c>
      <c r="H139" s="30">
        <f t="shared" si="33"/>
        <v>2020</v>
      </c>
      <c r="I139" s="30">
        <f t="shared" si="33"/>
        <v>2021</v>
      </c>
      <c r="J139" s="30">
        <f t="shared" si="33"/>
        <v>2022</v>
      </c>
      <c r="K139" s="30">
        <f t="shared" si="33"/>
        <v>2023</v>
      </c>
      <c r="L139" s="30">
        <f t="shared" si="33"/>
        <v>2024</v>
      </c>
      <c r="M139" s="30">
        <f t="shared" si="33"/>
        <v>2025</v>
      </c>
      <c r="N139" s="30">
        <f t="shared" si="33"/>
        <v>2026</v>
      </c>
    </row>
    <row r="140" spans="1:18">
      <c r="A140" s="31" t="s">
        <v>57</v>
      </c>
      <c r="B140" s="59">
        <v>1528175.3862108942</v>
      </c>
      <c r="C140" s="32">
        <v>1601309</v>
      </c>
      <c r="D140" s="32">
        <v>1595910</v>
      </c>
      <c r="E140" s="32">
        <v>1586308</v>
      </c>
      <c r="F140" s="32">
        <v>1606569</v>
      </c>
      <c r="G140" s="32">
        <v>1582201</v>
      </c>
      <c r="H140" s="32">
        <v>1654872</v>
      </c>
      <c r="I140" s="32">
        <v>1630892</v>
      </c>
      <c r="J140" s="32">
        <v>1666162</v>
      </c>
      <c r="K140" s="33">
        <f>SUM(K116:K118)</f>
        <v>1649092.1466494943</v>
      </c>
      <c r="L140" s="33">
        <f>SUM(L108:L110)</f>
        <v>241091.11508509202</v>
      </c>
      <c r="M140" s="33">
        <f>SUM(M108:M110)</f>
        <v>241826.90585438372</v>
      </c>
      <c r="N140" s="33">
        <f>SUM(N108:N110)</f>
        <v>242765.32457903537</v>
      </c>
      <c r="Q140" s="60"/>
      <c r="R140" s="61">
        <f>B140/1000*2204.622</f>
        <v>3369049.0762990336</v>
      </c>
    </row>
    <row r="141" spans="1:18">
      <c r="A141" s="31" t="s">
        <v>58</v>
      </c>
      <c r="B141" s="59">
        <v>1542444.6137891063</v>
      </c>
      <c r="C141" s="32">
        <v>1643116</v>
      </c>
      <c r="D141" s="32">
        <v>1613972</v>
      </c>
      <c r="E141" s="32">
        <v>1578569</v>
      </c>
      <c r="F141" s="32">
        <v>1594864</v>
      </c>
      <c r="G141" s="32">
        <v>1618622</v>
      </c>
      <c r="H141" s="32">
        <v>1557553</v>
      </c>
      <c r="I141" s="32">
        <v>1627510</v>
      </c>
      <c r="J141" s="32">
        <v>1684355</v>
      </c>
      <c r="K141" s="33">
        <f>SUM(K119:K121)</f>
        <v>1637244.4299255912</v>
      </c>
      <c r="L141" s="33">
        <f t="shared" ref="L141:N141" si="34">SUM(K111:K113)</f>
        <v>1003917.7970596532</v>
      </c>
      <c r="M141" s="33">
        <f t="shared" si="34"/>
        <v>1007987.695385862</v>
      </c>
      <c r="N141" s="33">
        <f t="shared" si="34"/>
        <v>1011920.2424469783</v>
      </c>
      <c r="R141" s="62">
        <f>R140/B132</f>
        <v>14.991741429819442</v>
      </c>
    </row>
    <row r="142" spans="1:18">
      <c r="A142" s="31" t="s">
        <v>59</v>
      </c>
      <c r="B142" s="32">
        <v>1668439</v>
      </c>
      <c r="C142" s="32">
        <v>1713970</v>
      </c>
      <c r="D142" s="32">
        <v>1687374</v>
      </c>
      <c r="E142" s="32">
        <v>1641303</v>
      </c>
      <c r="F142" s="32">
        <v>1628236</v>
      </c>
      <c r="G142" s="32">
        <v>1659494</v>
      </c>
      <c r="H142" s="32">
        <v>1678897</v>
      </c>
      <c r="I142" s="32">
        <v>1683427</v>
      </c>
      <c r="J142" s="32">
        <v>1718246</v>
      </c>
      <c r="K142" s="33">
        <f>SUM(K122:K124)</f>
        <v>1695173.3582987522</v>
      </c>
      <c r="L142" s="33">
        <f t="shared" ref="L142:N142" si="35">SUM(K114:K116)</f>
        <v>543670.24476431147</v>
      </c>
      <c r="M142" s="33">
        <f t="shared" si="35"/>
        <v>547321.07543617336</v>
      </c>
      <c r="N142" s="33">
        <f t="shared" si="35"/>
        <v>552240.07936591981</v>
      </c>
    </row>
    <row r="143" spans="1:18">
      <c r="A143" s="31" t="s">
        <v>60</v>
      </c>
      <c r="B143" s="32">
        <v>1683479</v>
      </c>
      <c r="C143" s="32">
        <v>1682552</v>
      </c>
      <c r="D143" s="32">
        <v>1659496</v>
      </c>
      <c r="E143" s="32">
        <v>1641094</v>
      </c>
      <c r="F143" s="32">
        <v>1628348</v>
      </c>
      <c r="G143" s="32">
        <v>1624974</v>
      </c>
      <c r="H143" s="32">
        <v>1655982</v>
      </c>
      <c r="I143" s="32">
        <v>1697294</v>
      </c>
      <c r="J143" s="32">
        <v>1663208</v>
      </c>
      <c r="K143" s="33">
        <f>SUM(K125:K127)</f>
        <v>1675245.5820321585</v>
      </c>
      <c r="L143" s="33">
        <f>SUM(L117:L119)</f>
        <v>1664200.0150619857</v>
      </c>
      <c r="M143" s="33">
        <f>SUM(M117:M119)</f>
        <v>1675945.1903461325</v>
      </c>
      <c r="N143" s="33">
        <f>SUM(N117:N119)</f>
        <v>1684839.4108156282</v>
      </c>
    </row>
    <row r="144" spans="1:18" ht="15.75" thickBot="1">
      <c r="A144" s="63" t="s">
        <v>22</v>
      </c>
      <c r="B144" s="35">
        <f>SUM(B140:B143)</f>
        <v>6422538</v>
      </c>
      <c r="C144" s="35">
        <f>SUM(C140:C143)</f>
        <v>6640947</v>
      </c>
      <c r="D144" s="35">
        <f t="shared" ref="D144:N144" si="36">SUM(D140:D143)</f>
        <v>6556752</v>
      </c>
      <c r="E144" s="35">
        <f t="shared" si="36"/>
        <v>6447274</v>
      </c>
      <c r="F144" s="35">
        <f t="shared" si="36"/>
        <v>6458017</v>
      </c>
      <c r="G144" s="35">
        <f t="shared" si="36"/>
        <v>6485291</v>
      </c>
      <c r="H144" s="35">
        <f t="shared" si="36"/>
        <v>6547304</v>
      </c>
      <c r="I144" s="35">
        <f t="shared" si="36"/>
        <v>6639123</v>
      </c>
      <c r="J144" s="35">
        <f t="shared" si="36"/>
        <v>6731971</v>
      </c>
      <c r="K144" s="36">
        <f t="shared" si="36"/>
        <v>6656755.5169059969</v>
      </c>
      <c r="L144" s="36">
        <f t="shared" si="36"/>
        <v>3452879.1719710426</v>
      </c>
      <c r="M144" s="36">
        <f t="shared" si="36"/>
        <v>3473080.8670225516</v>
      </c>
      <c r="N144" s="36">
        <f t="shared" si="36"/>
        <v>3491765.057207562</v>
      </c>
    </row>
    <row r="145" spans="1:14">
      <c r="A145" s="37"/>
      <c r="B145" s="64">
        <f>B146*1000-SUM(B142:B143)</f>
        <v>3070620</v>
      </c>
      <c r="C145" s="64">
        <f t="shared" ref="C145:J145" si="37">C146*1000-SUM(C142:C143)</f>
        <v>3244425</v>
      </c>
      <c r="D145" s="64">
        <f t="shared" si="37"/>
        <v>3212265</v>
      </c>
      <c r="E145" s="64">
        <f t="shared" si="37"/>
        <v>3164877</v>
      </c>
      <c r="F145" s="64">
        <f t="shared" si="37"/>
        <v>3201433</v>
      </c>
      <c r="G145" s="64">
        <f t="shared" si="37"/>
        <v>3200823</v>
      </c>
      <c r="H145" s="64">
        <f t="shared" si="37"/>
        <v>3212425</v>
      </c>
      <c r="I145" s="64">
        <f t="shared" si="37"/>
        <v>3258400</v>
      </c>
      <c r="J145" s="64">
        <f t="shared" si="37"/>
        <v>3350517</v>
      </c>
      <c r="K145" s="37"/>
      <c r="L145" s="37"/>
      <c r="M145" s="37"/>
      <c r="N145" s="37"/>
    </row>
    <row r="146" spans="1:14">
      <c r="B146" s="32">
        <v>6422.5379999999996</v>
      </c>
      <c r="C146" s="32">
        <v>6640.9470000000001</v>
      </c>
      <c r="D146" s="32">
        <v>6559.1350000000002</v>
      </c>
      <c r="E146" s="32">
        <v>6447.2740000000003</v>
      </c>
      <c r="F146" s="32">
        <v>6458.0169999999998</v>
      </c>
      <c r="G146" s="32">
        <v>6485.2910000000002</v>
      </c>
      <c r="H146" s="32">
        <v>6547.3040000000001</v>
      </c>
      <c r="I146" s="32">
        <v>6639.1210000000001</v>
      </c>
      <c r="J146" s="32">
        <v>6731.9709999999995</v>
      </c>
    </row>
    <row r="147" spans="1:14" ht="18.75" thickBot="1">
      <c r="A147" s="27" t="s">
        <v>63</v>
      </c>
      <c r="D147" s="60"/>
    </row>
    <row r="148" spans="1:14" ht="15.75" thickBot="1">
      <c r="A148" s="40" t="s">
        <v>64</v>
      </c>
      <c r="B148" s="30">
        <f>B131</f>
        <v>2014</v>
      </c>
      <c r="C148" s="30">
        <f t="shared" ref="C148:N148" si="38">C131</f>
        <v>2015</v>
      </c>
      <c r="D148" s="30">
        <f t="shared" si="38"/>
        <v>2016</v>
      </c>
      <c r="E148" s="30">
        <f t="shared" si="38"/>
        <v>2017</v>
      </c>
      <c r="F148" s="30">
        <f t="shared" si="38"/>
        <v>2018</v>
      </c>
      <c r="G148" s="30">
        <f t="shared" si="38"/>
        <v>2019</v>
      </c>
      <c r="H148" s="30">
        <f t="shared" si="38"/>
        <v>2020</v>
      </c>
      <c r="I148" s="30">
        <f t="shared" si="38"/>
        <v>2021</v>
      </c>
      <c r="J148" s="30">
        <f t="shared" si="38"/>
        <v>2022</v>
      </c>
      <c r="K148" s="30">
        <f t="shared" si="38"/>
        <v>2023</v>
      </c>
      <c r="L148" s="30">
        <f t="shared" si="38"/>
        <v>2024</v>
      </c>
      <c r="M148" s="30">
        <f t="shared" si="38"/>
        <v>2025</v>
      </c>
      <c r="N148" s="30">
        <f t="shared" si="38"/>
        <v>2026</v>
      </c>
    </row>
    <row r="149" spans="1:14">
      <c r="A149" s="31" t="s">
        <v>57</v>
      </c>
      <c r="B149" s="65">
        <f>B140/1000*2204.622/B132</f>
        <v>14.991741429819442</v>
      </c>
      <c r="C149" s="65">
        <f t="shared" ref="C149:J149" si="39">C140/1000*2204.622/C132</f>
        <v>15.670010742637233</v>
      </c>
      <c r="D149" s="65">
        <f t="shared" si="39"/>
        <v>15.691634537597002</v>
      </c>
      <c r="E149" s="65">
        <f t="shared" si="39"/>
        <v>15.615121763755619</v>
      </c>
      <c r="F149" s="65">
        <f t="shared" si="39"/>
        <v>15.592886377183056</v>
      </c>
      <c r="G149" s="65">
        <f t="shared" si="39"/>
        <v>15.617439592666218</v>
      </c>
      <c r="H149" s="65">
        <f t="shared" si="39"/>
        <v>15.657556406952491</v>
      </c>
      <c r="I149" s="65">
        <f t="shared" si="39"/>
        <v>16.013951278149676</v>
      </c>
      <c r="J149" s="65">
        <f t="shared" si="39"/>
        <v>15.952096690656104</v>
      </c>
      <c r="K149" s="66">
        <f>K$153*SUM(F149:J149)/SUM(F$153:J$153)</f>
        <v>15.76678606912151</v>
      </c>
      <c r="L149" s="66">
        <f t="shared" ref="L149:N152" si="40">L$153*SUM(G149:K149)/SUM(G$153:K$153)</f>
        <v>15.8015660075092</v>
      </c>
      <c r="M149" s="66">
        <f t="shared" si="40"/>
        <v>15.838391290477796</v>
      </c>
      <c r="N149" s="66">
        <f t="shared" si="40"/>
        <v>15.874558267182858</v>
      </c>
    </row>
    <row r="150" spans="1:14">
      <c r="A150" s="31" t="s">
        <v>58</v>
      </c>
      <c r="B150" s="65">
        <f t="shared" ref="B150:J153" si="41">B141/1000*2204.622/B133</f>
        <v>14.966692323412628</v>
      </c>
      <c r="C150" s="65">
        <f t="shared" si="41"/>
        <v>15.925165769768801</v>
      </c>
      <c r="D150" s="65">
        <f t="shared" si="41"/>
        <v>15.857770135679331</v>
      </c>
      <c r="E150" s="65">
        <f t="shared" si="41"/>
        <v>15.502670292346549</v>
      </c>
      <c r="F150" s="65">
        <f t="shared" si="41"/>
        <v>15.514798595966058</v>
      </c>
      <c r="G150" s="65">
        <f t="shared" si="41"/>
        <v>15.855829975135077</v>
      </c>
      <c r="H150" s="65">
        <f t="shared" si="41"/>
        <v>15.657931117664226</v>
      </c>
      <c r="I150" s="65">
        <f t="shared" si="41"/>
        <v>16.069060057683089</v>
      </c>
      <c r="J150" s="65">
        <f t="shared" si="41"/>
        <v>16.027995894380179</v>
      </c>
      <c r="K150" s="66">
        <f t="shared" ref="K150:K152" si="42">K$153*SUM(F150:J150)/SUM(F$153:J$153)</f>
        <v>15.825123128165725</v>
      </c>
      <c r="L150" s="66">
        <f t="shared" si="40"/>
        <v>15.887188034605659</v>
      </c>
      <c r="M150" s="66">
        <f t="shared" si="40"/>
        <v>15.893459646499776</v>
      </c>
      <c r="N150" s="66">
        <f t="shared" si="40"/>
        <v>15.940565352266887</v>
      </c>
    </row>
    <row r="151" spans="1:14">
      <c r="A151" s="31" t="s">
        <v>59</v>
      </c>
      <c r="B151" s="65">
        <f t="shared" si="41"/>
        <v>15.758732734640891</v>
      </c>
      <c r="C151" s="65">
        <f t="shared" si="41"/>
        <v>16.079387103574469</v>
      </c>
      <c r="D151" s="65">
        <f t="shared" si="41"/>
        <v>15.939011541267657</v>
      </c>
      <c r="E151" s="65">
        <f t="shared" si="41"/>
        <v>15.445057826207213</v>
      </c>
      <c r="F151" s="65">
        <f t="shared" si="41"/>
        <v>15.410301912062437</v>
      </c>
      <c r="G151" s="65">
        <f t="shared" si="41"/>
        <v>15.784950841410849</v>
      </c>
      <c r="H151" s="65">
        <f t="shared" si="41"/>
        <v>15.804830530483793</v>
      </c>
      <c r="I151" s="65">
        <f t="shared" si="41"/>
        <v>16.079825479380951</v>
      </c>
      <c r="J151" s="65">
        <f t="shared" si="41"/>
        <v>15.969726197753831</v>
      </c>
      <c r="K151" s="66">
        <f t="shared" si="42"/>
        <v>15.809926992218372</v>
      </c>
      <c r="L151" s="66">
        <f t="shared" si="40"/>
        <v>15.889852008249555</v>
      </c>
      <c r="M151" s="66">
        <f t="shared" si="40"/>
        <v>15.9108322416173</v>
      </c>
      <c r="N151" s="66">
        <f t="shared" si="40"/>
        <v>15.932032583844</v>
      </c>
    </row>
    <row r="152" spans="1:14">
      <c r="A152" s="31" t="s">
        <v>60</v>
      </c>
      <c r="B152" s="65">
        <f t="shared" si="41"/>
        <v>15.731751610452696</v>
      </c>
      <c r="C152" s="65">
        <f t="shared" si="41"/>
        <v>15.725488610266062</v>
      </c>
      <c r="D152" s="65">
        <f t="shared" si="41"/>
        <v>15.726143131988204</v>
      </c>
      <c r="E152" s="65">
        <f t="shared" si="41"/>
        <v>15.390012788746294</v>
      </c>
      <c r="F152" s="65">
        <f t="shared" si="41"/>
        <v>15.49631497945705</v>
      </c>
      <c r="G152" s="65">
        <f t="shared" si="41"/>
        <v>15.413174960968558</v>
      </c>
      <c r="H152" s="65">
        <f t="shared" si="41"/>
        <v>15.771823329332936</v>
      </c>
      <c r="I152" s="65">
        <f t="shared" si="41"/>
        <v>15.939153832484953</v>
      </c>
      <c r="J152" s="65">
        <f t="shared" si="41"/>
        <v>15.979678411665496</v>
      </c>
      <c r="K152" s="66">
        <f t="shared" si="42"/>
        <v>15.720029102781799</v>
      </c>
      <c r="L152" s="66">
        <f t="shared" si="40"/>
        <v>15.764771927446748</v>
      </c>
      <c r="M152" s="66">
        <f t="shared" si="40"/>
        <v>15.835091320742388</v>
      </c>
      <c r="N152" s="66">
        <f t="shared" si="40"/>
        <v>15.847744919024279</v>
      </c>
    </row>
    <row r="153" spans="1:14" ht="15.75" thickBot="1">
      <c r="A153" s="34" t="s">
        <v>22</v>
      </c>
      <c r="B153" s="67">
        <f>B144/1000*2204.622/B136</f>
        <v>15.369393106249673</v>
      </c>
      <c r="C153" s="67">
        <f t="shared" si="41"/>
        <v>15.851173462641288</v>
      </c>
      <c r="D153" s="67">
        <f t="shared" si="41"/>
        <v>15.80429319645979</v>
      </c>
      <c r="E153" s="67">
        <f t="shared" si="41"/>
        <v>15.486548611516906</v>
      </c>
      <c r="F153" s="67">
        <f t="shared" si="41"/>
        <v>15.502945267961927</v>
      </c>
      <c r="G153" s="67">
        <f t="shared" si="41"/>
        <v>15.666747988461651</v>
      </c>
      <c r="H153" s="67">
        <f t="shared" si="41"/>
        <v>15.724031202334693</v>
      </c>
      <c r="I153" s="67">
        <f t="shared" si="41"/>
        <v>16.024844699194965</v>
      </c>
      <c r="J153" s="67">
        <f t="shared" si="41"/>
        <v>15.982351534233237</v>
      </c>
      <c r="K153" s="68">
        <f>AVERAGE(F153:J153)</f>
        <v>15.780184138437296</v>
      </c>
      <c r="L153" s="68">
        <f t="shared" ref="L153:N153" si="43">AVERAGE(G153:K153)</f>
        <v>15.835631912532369</v>
      </c>
      <c r="M153" s="68">
        <f t="shared" si="43"/>
        <v>15.869408697346511</v>
      </c>
      <c r="N153" s="68">
        <f t="shared" si="43"/>
        <v>15.898484196348875</v>
      </c>
    </row>
    <row r="154" spans="1:1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AD50-8763-48B2-8A53-8535B513DA71}">
  <dimension ref="A1:DK396"/>
  <sheetViews>
    <sheetView tabSelected="1" zoomScale="114" zoomScaleNormal="115" workbookViewId="0">
      <pane xSplit="1" ySplit="2" topLeftCell="AA14" activePane="bottomRight" state="frozen"/>
      <selection activeCell="J39" sqref="J39"/>
      <selection pane="topRight" activeCell="J39" sqref="J39"/>
      <selection pane="bottomLeft" activeCell="J39" sqref="J39"/>
      <selection pane="bottomRight" activeCell="AG43" sqref="AG43"/>
    </sheetView>
  </sheetViews>
  <sheetFormatPr defaultColWidth="9.140625" defaultRowHeight="11.25"/>
  <cols>
    <col min="1" max="1" width="33.7109375" style="69" customWidth="1"/>
    <col min="2" max="26" width="8.42578125" style="69" hidden="1" customWidth="1"/>
    <col min="27" max="29" width="8.42578125" style="69" customWidth="1"/>
    <col min="30" max="32" width="9.140625" style="69"/>
    <col min="33" max="51" width="9.140625" style="69" customWidth="1"/>
    <col min="52" max="73" width="9.140625" style="69"/>
    <col min="74" max="77" width="12.140625" style="69" customWidth="1"/>
    <col min="78" max="81" width="9.140625" style="69"/>
    <col min="82" max="82" width="9" style="69" customWidth="1"/>
    <col min="83" max="83" width="9.140625" style="69"/>
    <col min="84" max="99" width="9.140625" style="69" customWidth="1"/>
    <col min="100" max="16384" width="9.140625" style="69"/>
  </cols>
  <sheetData>
    <row r="1" spans="1:78">
      <c r="A1" s="290" t="s">
        <v>65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</row>
    <row r="2" spans="1:78" ht="12" thickBot="1">
      <c r="B2" s="70" t="s">
        <v>66</v>
      </c>
      <c r="C2" s="71" t="s">
        <v>67</v>
      </c>
      <c r="D2" s="71" t="s">
        <v>68</v>
      </c>
      <c r="E2" s="71" t="s">
        <v>69</v>
      </c>
      <c r="F2" s="71" t="s">
        <v>70</v>
      </c>
      <c r="G2" s="71" t="s">
        <v>71</v>
      </c>
      <c r="H2" s="71" t="s">
        <v>72</v>
      </c>
      <c r="I2" s="71" t="s">
        <v>73</v>
      </c>
      <c r="J2" s="71" t="s">
        <v>74</v>
      </c>
      <c r="K2" s="71" t="s">
        <v>75</v>
      </c>
      <c r="L2" s="71" t="s">
        <v>76</v>
      </c>
      <c r="M2" s="71" t="s">
        <v>77</v>
      </c>
      <c r="N2" s="71" t="s">
        <v>78</v>
      </c>
      <c r="O2" s="71" t="s">
        <v>79</v>
      </c>
      <c r="P2" s="71" t="s">
        <v>80</v>
      </c>
      <c r="Q2" s="71" t="s">
        <v>81</v>
      </c>
      <c r="R2" s="71" t="s">
        <v>82</v>
      </c>
      <c r="S2" s="71" t="s">
        <v>83</v>
      </c>
      <c r="T2" s="71" t="s">
        <v>84</v>
      </c>
      <c r="U2" s="71" t="s">
        <v>85</v>
      </c>
      <c r="V2" s="71" t="s">
        <v>86</v>
      </c>
      <c r="W2" s="71" t="s">
        <v>87</v>
      </c>
      <c r="X2" s="71" t="s">
        <v>88</v>
      </c>
      <c r="Y2" s="71" t="s">
        <v>89</v>
      </c>
      <c r="Z2" s="71" t="s">
        <v>90</v>
      </c>
      <c r="AA2" s="71" t="s">
        <v>91</v>
      </c>
      <c r="AB2" s="71" t="s">
        <v>92</v>
      </c>
      <c r="AC2" s="71" t="s">
        <v>93</v>
      </c>
      <c r="AD2" s="71" t="s">
        <v>94</v>
      </c>
      <c r="AE2" s="71" t="s">
        <v>95</v>
      </c>
      <c r="AF2" s="71" t="s">
        <v>96</v>
      </c>
      <c r="AG2" s="71" t="s">
        <v>97</v>
      </c>
      <c r="AH2" s="71" t="s">
        <v>98</v>
      </c>
      <c r="AI2" s="71" t="s">
        <v>99</v>
      </c>
      <c r="AJ2" s="71" t="s">
        <v>100</v>
      </c>
      <c r="AK2" s="71" t="s">
        <v>101</v>
      </c>
      <c r="AL2" s="71" t="s">
        <v>102</v>
      </c>
      <c r="AM2" s="71" t="s">
        <v>103</v>
      </c>
      <c r="AN2" s="71" t="s">
        <v>104</v>
      </c>
      <c r="AO2" s="71" t="s">
        <v>105</v>
      </c>
      <c r="AP2" s="71" t="s">
        <v>106</v>
      </c>
      <c r="AQ2" s="71" t="s">
        <v>107</v>
      </c>
      <c r="AR2" s="71" t="s">
        <v>108</v>
      </c>
      <c r="AS2" s="71" t="s">
        <v>109</v>
      </c>
      <c r="AT2" s="71" t="s">
        <v>110</v>
      </c>
      <c r="AU2" s="71" t="s">
        <v>111</v>
      </c>
      <c r="AV2" s="71" t="s">
        <v>112</v>
      </c>
      <c r="AW2" s="71" t="s">
        <v>113</v>
      </c>
      <c r="AX2" s="71" t="s">
        <v>114</v>
      </c>
      <c r="AY2" s="71" t="s">
        <v>115</v>
      </c>
      <c r="AZ2" s="71" t="s">
        <v>116</v>
      </c>
      <c r="BA2" s="71" t="s">
        <v>117</v>
      </c>
      <c r="BB2" s="71" t="s">
        <v>118</v>
      </c>
      <c r="BC2" s="71" t="s">
        <v>119</v>
      </c>
      <c r="BD2" s="71" t="s">
        <v>120</v>
      </c>
      <c r="BE2" s="71" t="s">
        <v>121</v>
      </c>
      <c r="BF2" s="71" t="s">
        <v>122</v>
      </c>
    </row>
    <row r="3" spans="1:78">
      <c r="A3" s="72" t="s">
        <v>123</v>
      </c>
      <c r="B3" s="73">
        <f>'Monthly Ethanol Data'!I157*42/1000</f>
        <v>123.52200000000001</v>
      </c>
      <c r="C3" s="73">
        <f t="shared" ref="C3:AE3" si="0">B10</f>
        <v>76.397999999999996</v>
      </c>
      <c r="D3" s="73">
        <f t="shared" si="0"/>
        <v>181.608</v>
      </c>
      <c r="E3" s="73">
        <f t="shared" si="0"/>
        <v>43.68</v>
      </c>
      <c r="F3" s="73">
        <f t="shared" si="0"/>
        <v>135.114</v>
      </c>
      <c r="G3" s="73">
        <f t="shared" si="0"/>
        <v>149.77199999999999</v>
      </c>
      <c r="H3" s="73">
        <f t="shared" si="0"/>
        <v>199.08</v>
      </c>
      <c r="I3" s="73">
        <f t="shared" si="0"/>
        <v>192.44399999999999</v>
      </c>
      <c r="J3" s="73">
        <f t="shared" si="0"/>
        <v>177.49199999999999</v>
      </c>
      <c r="K3" s="73">
        <f t="shared" si="0"/>
        <v>260.904</v>
      </c>
      <c r="L3" s="73">
        <f t="shared" si="0"/>
        <v>283.24799999999999</v>
      </c>
      <c r="M3" s="73">
        <f t="shared" si="0"/>
        <v>267.41399999999999</v>
      </c>
      <c r="N3" s="73">
        <f t="shared" si="0"/>
        <v>226.71600000000001</v>
      </c>
      <c r="O3" s="73">
        <f t="shared" si="0"/>
        <v>383.58600000000001</v>
      </c>
      <c r="P3" s="73">
        <f t="shared" si="0"/>
        <v>462.46199999999999</v>
      </c>
      <c r="Q3" s="73">
        <f t="shared" si="0"/>
        <v>620.38199999999995</v>
      </c>
      <c r="R3" s="73">
        <f t="shared" si="0"/>
        <v>616.18200000000002</v>
      </c>
      <c r="S3" s="73">
        <f t="shared" si="0"/>
        <v>729.96</v>
      </c>
      <c r="T3" s="73">
        <f t="shared" si="0"/>
        <v>761.16600000000005</v>
      </c>
      <c r="U3" s="73">
        <f t="shared" si="0"/>
        <v>805.56</v>
      </c>
      <c r="V3" s="73">
        <f t="shared" si="0"/>
        <v>711.69</v>
      </c>
      <c r="W3" s="73">
        <f t="shared" si="0"/>
        <v>765.15599999999995</v>
      </c>
      <c r="X3" s="73">
        <f t="shared" si="0"/>
        <v>814.38</v>
      </c>
      <c r="Y3" s="73">
        <f t="shared" si="0"/>
        <v>890.31600000000003</v>
      </c>
      <c r="Z3" s="73">
        <f t="shared" si="0"/>
        <v>889.81200000000001</v>
      </c>
      <c r="AA3" s="73">
        <f t="shared" si="0"/>
        <v>958.60799999999995</v>
      </c>
      <c r="AB3" s="73">
        <f t="shared" si="0"/>
        <v>954.53399999999999</v>
      </c>
      <c r="AC3" s="73">
        <f t="shared" si="0"/>
        <v>845.96400000000006</v>
      </c>
      <c r="AD3" s="73">
        <f t="shared" si="0"/>
        <v>887.67</v>
      </c>
      <c r="AE3" s="73">
        <f t="shared" si="0"/>
        <v>987.37800000000004</v>
      </c>
      <c r="AF3" s="73">
        <f>AE10</f>
        <v>915.6</v>
      </c>
      <c r="AG3" s="74">
        <f>AF10</f>
        <v>999.47400000000005</v>
      </c>
      <c r="AH3" s="75">
        <f t="shared" ref="AH3:BF3" si="1">AG10</f>
        <v>638.65007736225743</v>
      </c>
      <c r="AI3" s="75">
        <f t="shared" si="1"/>
        <v>566.11711107719748</v>
      </c>
      <c r="AJ3" s="75">
        <f t="shared" si="1"/>
        <v>644.61834860518138</v>
      </c>
      <c r="AK3" s="75">
        <f t="shared" si="1"/>
        <v>597.06906325212185</v>
      </c>
      <c r="AL3" s="75">
        <f t="shared" si="1"/>
        <v>587.33789730766148</v>
      </c>
      <c r="AM3" s="75">
        <f t="shared" si="1"/>
        <v>622.08545433892868</v>
      </c>
      <c r="AN3" s="75">
        <f t="shared" si="1"/>
        <v>656.94601127914211</v>
      </c>
      <c r="AO3" s="75">
        <f t="shared" si="1"/>
        <v>617.62364841595991</v>
      </c>
      <c r="AP3" s="75">
        <f t="shared" si="1"/>
        <v>647.46553661341386</v>
      </c>
      <c r="AQ3" s="75">
        <f t="shared" si="1"/>
        <v>655.7898133932249</v>
      </c>
      <c r="AR3" s="75">
        <f t="shared" si="1"/>
        <v>690.6726066447518</v>
      </c>
      <c r="AS3" s="75">
        <f t="shared" si="1"/>
        <v>658.78145160902568</v>
      </c>
      <c r="AT3" s="75">
        <f t="shared" si="1"/>
        <v>656.59334401514934</v>
      </c>
      <c r="AU3" s="75">
        <f t="shared" si="1"/>
        <v>684.88998083406841</v>
      </c>
      <c r="AV3" s="75">
        <f t="shared" si="1"/>
        <v>746.00341479575945</v>
      </c>
      <c r="AW3" s="75">
        <f t="shared" si="1"/>
        <v>740.82567188351459</v>
      </c>
      <c r="AX3" s="75">
        <f t="shared" si="1"/>
        <v>670.8288556803127</v>
      </c>
      <c r="AY3" s="75">
        <f t="shared" si="1"/>
        <v>702.26591462733268</v>
      </c>
      <c r="AZ3" s="75">
        <f t="shared" si="1"/>
        <v>756.38229494976622</v>
      </c>
      <c r="BA3" s="75">
        <f t="shared" si="1"/>
        <v>796.66262397290848</v>
      </c>
      <c r="BB3" s="75">
        <f t="shared" si="1"/>
        <v>753.5763320083388</v>
      </c>
      <c r="BC3" s="75">
        <f t="shared" si="1"/>
        <v>763.50833023330415</v>
      </c>
      <c r="BD3" s="75">
        <f t="shared" si="1"/>
        <v>1765.8260913439008</v>
      </c>
      <c r="BE3" s="75">
        <f t="shared" si="1"/>
        <v>3022.3199928872164</v>
      </c>
      <c r="BF3" s="75">
        <f t="shared" si="1"/>
        <v>4519.2893986747113</v>
      </c>
    </row>
    <row r="4" spans="1:78">
      <c r="A4" s="69" t="s">
        <v>124</v>
      </c>
      <c r="B4" s="76">
        <f t="shared" ref="B4:AE4" si="2">B44</f>
        <v>1208.0459999999998</v>
      </c>
      <c r="C4" s="76">
        <f t="shared" si="2"/>
        <v>1404.27</v>
      </c>
      <c r="D4" s="76">
        <f t="shared" si="2"/>
        <v>1035.972</v>
      </c>
      <c r="E4" s="76">
        <f t="shared" si="2"/>
        <v>1195.3619999999999</v>
      </c>
      <c r="F4" s="76">
        <f t="shared" si="2"/>
        <v>1359.33</v>
      </c>
      <c r="G4" s="76">
        <f t="shared" si="2"/>
        <v>1444.8000000000002</v>
      </c>
      <c r="H4" s="76">
        <f t="shared" si="2"/>
        <v>1589.8680000000002</v>
      </c>
      <c r="I4" s="76">
        <f t="shared" si="2"/>
        <v>1704.3180000000002</v>
      </c>
      <c r="J4" s="76">
        <f t="shared" si="2"/>
        <v>1936.2840000000001</v>
      </c>
      <c r="K4" s="76">
        <f t="shared" si="2"/>
        <v>2634.4919999999993</v>
      </c>
      <c r="L4" s="76">
        <f t="shared" si="2"/>
        <v>3227.8260000000005</v>
      </c>
      <c r="M4" s="76">
        <f t="shared" si="2"/>
        <v>3687.5160000000001</v>
      </c>
      <c r="N4" s="76">
        <f t="shared" si="2"/>
        <v>4500.2160000000003</v>
      </c>
      <c r="O4" s="76">
        <f t="shared" si="2"/>
        <v>5882.982</v>
      </c>
      <c r="P4" s="76">
        <f t="shared" si="2"/>
        <v>8367.1980000000003</v>
      </c>
      <c r="Q4" s="76">
        <f t="shared" si="2"/>
        <v>10304.700000000001</v>
      </c>
      <c r="R4" s="76">
        <f t="shared" si="2"/>
        <v>12669.804</v>
      </c>
      <c r="S4" s="76">
        <f t="shared" si="2"/>
        <v>13811.279999999999</v>
      </c>
      <c r="T4" s="76">
        <f t="shared" si="2"/>
        <v>13764.995999999999</v>
      </c>
      <c r="U4" s="76">
        <f t="shared" si="2"/>
        <v>12822.263999999999</v>
      </c>
      <c r="V4" s="76">
        <f t="shared" si="2"/>
        <v>14103.18</v>
      </c>
      <c r="W4" s="76">
        <f t="shared" si="2"/>
        <v>14666.82</v>
      </c>
      <c r="X4" s="76">
        <f t="shared" si="2"/>
        <v>15193.668</v>
      </c>
      <c r="Y4" s="76">
        <f t="shared" si="2"/>
        <v>15698.129999999997</v>
      </c>
      <c r="Z4" s="76">
        <f t="shared" si="2"/>
        <v>16129.596</v>
      </c>
      <c r="AA4" s="76">
        <f t="shared" si="2"/>
        <v>15839.039999999999</v>
      </c>
      <c r="AB4" s="76">
        <f t="shared" si="2"/>
        <v>14251.397999999999</v>
      </c>
      <c r="AC4" s="76">
        <f t="shared" si="2"/>
        <v>14660.562000000002</v>
      </c>
      <c r="AD4" s="76">
        <f t="shared" si="2"/>
        <v>15601.53</v>
      </c>
      <c r="AE4" s="76">
        <f t="shared" si="2"/>
        <v>15288.041999999999</v>
      </c>
      <c r="AF4" s="76">
        <f>AF44</f>
        <v>16047.570000000002</v>
      </c>
      <c r="AG4" s="77">
        <f>AG44</f>
        <v>16014.176077362259</v>
      </c>
      <c r="AH4" s="77">
        <f t="shared" ref="AH4:BF4" si="3">AH44</f>
        <v>15777.46703371494</v>
      </c>
      <c r="AI4" s="77">
        <f t="shared" si="3"/>
        <v>15828.501237527986</v>
      </c>
      <c r="AJ4" s="77">
        <f t="shared" si="3"/>
        <v>15902.450714646942</v>
      </c>
      <c r="AK4" s="77">
        <f t="shared" si="3"/>
        <v>16040.26883405554</v>
      </c>
      <c r="AL4" s="77">
        <f t="shared" si="3"/>
        <v>16134.747557031267</v>
      </c>
      <c r="AM4" s="77">
        <f t="shared" si="3"/>
        <v>16284.860556940215</v>
      </c>
      <c r="AN4" s="77">
        <f t="shared" si="3"/>
        <v>16410.677637136818</v>
      </c>
      <c r="AO4" s="77">
        <f t="shared" si="3"/>
        <v>16529.841888197454</v>
      </c>
      <c r="AP4" s="77">
        <f t="shared" si="3"/>
        <v>16658.324276779811</v>
      </c>
      <c r="AQ4" s="77">
        <f t="shared" si="3"/>
        <v>16784.882793251527</v>
      </c>
      <c r="AR4" s="77">
        <f t="shared" si="3"/>
        <v>16918.108844964274</v>
      </c>
      <c r="AS4" s="77">
        <f t="shared" si="3"/>
        <v>17047.811892406124</v>
      </c>
      <c r="AT4" s="77">
        <f t="shared" si="3"/>
        <v>17178.296636818919</v>
      </c>
      <c r="AU4" s="77">
        <f t="shared" si="3"/>
        <v>17311.113433961691</v>
      </c>
      <c r="AV4" s="77">
        <f t="shared" si="3"/>
        <v>17444.822257087755</v>
      </c>
      <c r="AW4" s="77">
        <f t="shared" si="3"/>
        <v>17580.003183796798</v>
      </c>
      <c r="AX4" s="77">
        <f t="shared" si="3"/>
        <v>18181.43705894702</v>
      </c>
      <c r="AY4" s="77">
        <f t="shared" si="3"/>
        <v>18604.116380322434</v>
      </c>
      <c r="AZ4" s="77">
        <f t="shared" si="3"/>
        <v>18889.280329023142</v>
      </c>
      <c r="BA4" s="77">
        <f t="shared" si="3"/>
        <v>19204.91370803543</v>
      </c>
      <c r="BB4" s="77">
        <f t="shared" si="3"/>
        <v>19556.931998224965</v>
      </c>
      <c r="BC4" s="77">
        <f t="shared" si="3"/>
        <v>19952.317761110597</v>
      </c>
      <c r="BD4" s="77">
        <f t="shared" si="3"/>
        <v>20306.493901543316</v>
      </c>
      <c r="BE4" s="77">
        <f t="shared" si="3"/>
        <v>20646.969405787495</v>
      </c>
      <c r="BF4" s="77">
        <f t="shared" si="3"/>
        <v>20998.50722114036</v>
      </c>
    </row>
    <row r="5" spans="1:78">
      <c r="A5" s="69" t="s">
        <v>125</v>
      </c>
      <c r="B5" s="76">
        <f t="shared" ref="B5:AF5" si="4">B60</f>
        <v>20.285999999999998</v>
      </c>
      <c r="C5" s="76">
        <f t="shared" si="4"/>
        <v>11.969999999999999</v>
      </c>
      <c r="D5" s="76">
        <f t="shared" si="4"/>
        <v>9.1980000000000004</v>
      </c>
      <c r="E5" s="76">
        <f t="shared" si="4"/>
        <v>2.6459999999999999</v>
      </c>
      <c r="F5" s="76">
        <f t="shared" si="4"/>
        <v>2.94</v>
      </c>
      <c r="G5" s="76">
        <f t="shared" si="4"/>
        <v>4.1160000000000005</v>
      </c>
      <c r="H5" s="76">
        <f t="shared" si="4"/>
        <v>11.213999999999999</v>
      </c>
      <c r="I5" s="76">
        <f t="shared" si="4"/>
        <v>10.751999999999999</v>
      </c>
      <c r="J5" s="76">
        <f t="shared" si="4"/>
        <v>12.893999999999998</v>
      </c>
      <c r="K5" s="76">
        <f t="shared" si="4"/>
        <v>96.222000000000008</v>
      </c>
      <c r="L5" s="76">
        <f t="shared" si="4"/>
        <v>108.31799999999998</v>
      </c>
      <c r="M5" s="76">
        <f t="shared" si="4"/>
        <v>527.35199999999998</v>
      </c>
      <c r="N5" s="76">
        <f t="shared" si="4"/>
        <v>635.88</v>
      </c>
      <c r="O5" s="76">
        <f t="shared" si="4"/>
        <v>462.41999999999996</v>
      </c>
      <c r="P5" s="76">
        <f t="shared" si="4"/>
        <v>321.59399999999999</v>
      </c>
      <c r="Q5" s="76">
        <f t="shared" si="4"/>
        <v>51.533999999999999</v>
      </c>
      <c r="R5" s="76">
        <f t="shared" si="4"/>
        <v>172.78799999999998</v>
      </c>
      <c r="S5" s="76">
        <f t="shared" si="4"/>
        <v>494.13</v>
      </c>
      <c r="T5" s="76">
        <f t="shared" si="4"/>
        <v>376.99200000000002</v>
      </c>
      <c r="U5" s="76">
        <f t="shared" si="4"/>
        <v>74.676000000000002</v>
      </c>
      <c r="V5" s="76">
        <f t="shared" si="4"/>
        <v>91.518000000000001</v>
      </c>
      <c r="W5" s="76">
        <f t="shared" si="4"/>
        <v>44.478000000000002</v>
      </c>
      <c r="X5" s="76">
        <f t="shared" si="4"/>
        <v>82.152000000000015</v>
      </c>
      <c r="Y5" s="76">
        <f t="shared" si="4"/>
        <v>75.893999999999991</v>
      </c>
      <c r="Z5" s="76">
        <f t="shared" si="4"/>
        <v>261.54207866519079</v>
      </c>
      <c r="AA5" s="76">
        <f t="shared" si="4"/>
        <v>290.73041123682771</v>
      </c>
      <c r="AB5" s="76">
        <f t="shared" si="4"/>
        <v>349.09113860849942</v>
      </c>
      <c r="AC5" s="76">
        <f t="shared" si="4"/>
        <v>216.62764958089082</v>
      </c>
      <c r="AD5" s="76">
        <f t="shared" si="4"/>
        <v>100.64890809522137</v>
      </c>
      <c r="AE5" s="76">
        <f t="shared" si="4"/>
        <v>117.45178606086164</v>
      </c>
      <c r="AF5" s="76">
        <f t="shared" si="4"/>
        <v>141.80923635260839</v>
      </c>
      <c r="AG5" s="77">
        <f>150-25</f>
        <v>125</v>
      </c>
      <c r="AH5" s="77">
        <v>250</v>
      </c>
      <c r="AI5" s="77">
        <v>250</v>
      </c>
      <c r="AJ5" s="77">
        <v>250</v>
      </c>
      <c r="AK5" s="77">
        <v>250</v>
      </c>
      <c r="AL5" s="77">
        <v>250</v>
      </c>
      <c r="AM5" s="77">
        <v>250</v>
      </c>
      <c r="AN5" s="77">
        <v>250</v>
      </c>
      <c r="AO5" s="77">
        <v>250</v>
      </c>
      <c r="AP5" s="77">
        <v>250</v>
      </c>
      <c r="AQ5" s="77">
        <v>250</v>
      </c>
      <c r="AR5" s="77">
        <v>250</v>
      </c>
      <c r="AS5" s="77">
        <v>250</v>
      </c>
      <c r="AT5" s="77">
        <v>250</v>
      </c>
      <c r="AU5" s="77">
        <v>250</v>
      </c>
      <c r="AV5" s="77">
        <v>250</v>
      </c>
      <c r="AW5" s="77">
        <v>250</v>
      </c>
      <c r="AX5" s="77">
        <v>250</v>
      </c>
      <c r="AY5" s="77">
        <v>250</v>
      </c>
      <c r="AZ5" s="77">
        <v>251</v>
      </c>
      <c r="BA5" s="77">
        <v>252</v>
      </c>
      <c r="BB5" s="77">
        <v>253</v>
      </c>
      <c r="BC5" s="77">
        <v>254</v>
      </c>
      <c r="BD5" s="77">
        <v>255</v>
      </c>
      <c r="BE5" s="77">
        <v>256</v>
      </c>
      <c r="BF5" s="77">
        <v>257</v>
      </c>
    </row>
    <row r="6" spans="1:78">
      <c r="A6" s="78" t="s">
        <v>126</v>
      </c>
      <c r="B6" s="76">
        <f t="shared" ref="B6:Y6" si="5">SUM(B3:B5)</f>
        <v>1351.8539999999998</v>
      </c>
      <c r="C6" s="76">
        <f t="shared" si="5"/>
        <v>1492.6379999999999</v>
      </c>
      <c r="D6" s="76">
        <f t="shared" si="5"/>
        <v>1226.778</v>
      </c>
      <c r="E6" s="76">
        <f t="shared" si="5"/>
        <v>1241.6879999999999</v>
      </c>
      <c r="F6" s="76">
        <f t="shared" si="5"/>
        <v>1497.384</v>
      </c>
      <c r="G6" s="76">
        <f t="shared" si="5"/>
        <v>1598.6880000000001</v>
      </c>
      <c r="H6" s="76">
        <f t="shared" si="5"/>
        <v>1800.162</v>
      </c>
      <c r="I6" s="76">
        <f t="shared" si="5"/>
        <v>1907.5140000000001</v>
      </c>
      <c r="J6" s="76">
        <f t="shared" si="5"/>
        <v>2126.67</v>
      </c>
      <c r="K6" s="76">
        <f t="shared" si="5"/>
        <v>2991.6179999999995</v>
      </c>
      <c r="L6" s="76">
        <f t="shared" si="5"/>
        <v>3619.3920000000007</v>
      </c>
      <c r="M6" s="76">
        <f t="shared" si="5"/>
        <v>4482.2820000000002</v>
      </c>
      <c r="N6" s="76">
        <f t="shared" si="5"/>
        <v>5362.8120000000008</v>
      </c>
      <c r="O6" s="76">
        <f t="shared" si="5"/>
        <v>6728.9880000000003</v>
      </c>
      <c r="P6" s="76">
        <f t="shared" si="5"/>
        <v>9151.253999999999</v>
      </c>
      <c r="Q6" s="76">
        <f t="shared" si="5"/>
        <v>10976.616</v>
      </c>
      <c r="R6" s="76">
        <f t="shared" si="5"/>
        <v>13458.774000000001</v>
      </c>
      <c r="S6" s="76">
        <f t="shared" si="5"/>
        <v>15035.369999999997</v>
      </c>
      <c r="T6" s="76">
        <f t="shared" si="5"/>
        <v>14903.153999999999</v>
      </c>
      <c r="U6" s="76">
        <f t="shared" si="5"/>
        <v>13702.499999999998</v>
      </c>
      <c r="V6" s="76">
        <f t="shared" si="5"/>
        <v>14906.388000000001</v>
      </c>
      <c r="W6" s="76">
        <f t="shared" si="5"/>
        <v>15476.453999999998</v>
      </c>
      <c r="X6" s="76">
        <f t="shared" si="5"/>
        <v>16090.199999999999</v>
      </c>
      <c r="Y6" s="76">
        <f t="shared" si="5"/>
        <v>16664.339999999997</v>
      </c>
      <c r="Z6" s="76">
        <f t="shared" ref="Z6:BF6" si="6">SUM(Z3:Z5)</f>
        <v>17280.950078665192</v>
      </c>
      <c r="AA6" s="76">
        <f t="shared" si="6"/>
        <v>17088.378411236827</v>
      </c>
      <c r="AB6" s="76">
        <f t="shared" si="6"/>
        <v>15555.023138608498</v>
      </c>
      <c r="AC6" s="76">
        <f t="shared" si="6"/>
        <v>15723.153649580892</v>
      </c>
      <c r="AD6" s="76">
        <f t="shared" si="6"/>
        <v>16589.84890809522</v>
      </c>
      <c r="AE6" s="76">
        <f t="shared" si="6"/>
        <v>16392.871786060863</v>
      </c>
      <c r="AF6" s="79">
        <f t="shared" si="6"/>
        <v>17104.97923635261</v>
      </c>
      <c r="AG6" s="77">
        <f t="shared" si="6"/>
        <v>17138.650077362257</v>
      </c>
      <c r="AH6" s="77">
        <f t="shared" si="6"/>
        <v>16666.117111077197</v>
      </c>
      <c r="AI6" s="77">
        <f t="shared" si="6"/>
        <v>16644.618348605181</v>
      </c>
      <c r="AJ6" s="77">
        <f t="shared" si="6"/>
        <v>16797.069063252122</v>
      </c>
      <c r="AK6" s="77">
        <f t="shared" si="6"/>
        <v>16887.337897307661</v>
      </c>
      <c r="AL6" s="77">
        <f t="shared" si="6"/>
        <v>16972.085454338929</v>
      </c>
      <c r="AM6" s="77">
        <f t="shared" si="6"/>
        <v>17156.946011279142</v>
      </c>
      <c r="AN6" s="77">
        <f t="shared" si="6"/>
        <v>17317.62364841596</v>
      </c>
      <c r="AO6" s="77">
        <f t="shared" si="6"/>
        <v>17397.465536613414</v>
      </c>
      <c r="AP6" s="77">
        <f t="shared" si="6"/>
        <v>17555.789813393225</v>
      </c>
      <c r="AQ6" s="77">
        <f t="shared" si="6"/>
        <v>17690.672606644752</v>
      </c>
      <c r="AR6" s="77">
        <f t="shared" si="6"/>
        <v>17858.781451609026</v>
      </c>
      <c r="AS6" s="77">
        <f t="shared" si="6"/>
        <v>17956.593344015149</v>
      </c>
      <c r="AT6" s="77">
        <f t="shared" si="6"/>
        <v>18084.889980834068</v>
      </c>
      <c r="AU6" s="77">
        <f t="shared" si="6"/>
        <v>18246.003414795759</v>
      </c>
      <c r="AV6" s="77">
        <f t="shared" si="6"/>
        <v>18440.825671883515</v>
      </c>
      <c r="AW6" s="77">
        <f t="shared" si="6"/>
        <v>18570.828855680313</v>
      </c>
      <c r="AX6" s="77">
        <f t="shared" si="6"/>
        <v>19102.265914627333</v>
      </c>
      <c r="AY6" s="77">
        <f t="shared" si="6"/>
        <v>19556.382294949766</v>
      </c>
      <c r="AZ6" s="77">
        <f t="shared" si="6"/>
        <v>19896.662623972908</v>
      </c>
      <c r="BA6" s="77">
        <f t="shared" si="6"/>
        <v>20253.576332008339</v>
      </c>
      <c r="BB6" s="77">
        <f t="shared" si="6"/>
        <v>20563.508330233304</v>
      </c>
      <c r="BC6" s="77">
        <f t="shared" si="6"/>
        <v>20969.826091343901</v>
      </c>
      <c r="BD6" s="77">
        <f t="shared" si="6"/>
        <v>22327.319992887216</v>
      </c>
      <c r="BE6" s="77">
        <f t="shared" si="6"/>
        <v>23925.289398674711</v>
      </c>
      <c r="BF6" s="77">
        <f t="shared" si="6"/>
        <v>25774.796619815072</v>
      </c>
    </row>
    <row r="7" spans="1:78">
      <c r="A7" s="69" t="s">
        <v>127</v>
      </c>
      <c r="B7" s="80">
        <f t="shared" ref="B7:AF7" si="7">B9-B8</f>
        <v>1106.1024129499999</v>
      </c>
      <c r="C7" s="80">
        <f t="shared" si="7"/>
        <v>1144.0791288594</v>
      </c>
      <c r="D7" s="80">
        <f t="shared" si="7"/>
        <v>1075.813065581</v>
      </c>
      <c r="E7" s="80">
        <f t="shared" si="7"/>
        <v>1022.4325755425998</v>
      </c>
      <c r="F7" s="80">
        <f t="shared" si="7"/>
        <v>1298.6479416086001</v>
      </c>
      <c r="G7" s="80">
        <f t="shared" si="7"/>
        <v>1369.2829385316002</v>
      </c>
      <c r="H7" s="80">
        <f t="shared" si="7"/>
        <v>1566.4189331446</v>
      </c>
      <c r="I7" s="80">
        <f t="shared" si="7"/>
        <v>1646.7707852894002</v>
      </c>
      <c r="J7" s="80">
        <f t="shared" si="7"/>
        <v>1817.8110041032</v>
      </c>
      <c r="K7" s="80">
        <f t="shared" si="7"/>
        <v>2652.1134237239994</v>
      </c>
      <c r="L7" s="80">
        <f t="shared" si="7"/>
        <v>3294.6488671002012</v>
      </c>
      <c r="M7" s="80">
        <f t="shared" si="7"/>
        <v>4198.6152284485997</v>
      </c>
      <c r="N7" s="80">
        <f t="shared" si="7"/>
        <v>4929.7337246992001</v>
      </c>
      <c r="O7" s="80">
        <f t="shared" si="7"/>
        <v>6167.3346449989995</v>
      </c>
      <c r="P7" s="80">
        <f t="shared" si="7"/>
        <v>8355.2448906873997</v>
      </c>
      <c r="Q7" s="80">
        <f t="shared" si="7"/>
        <v>10256.85811647935</v>
      </c>
      <c r="R7" s="80">
        <f t="shared" si="7"/>
        <v>12467.85148496936</v>
      </c>
      <c r="S7" s="80">
        <f t="shared" si="7"/>
        <v>13445.797746516228</v>
      </c>
      <c r="T7" s="80">
        <f t="shared" si="7"/>
        <v>13010.927664253013</v>
      </c>
      <c r="U7" s="80">
        <f t="shared" si="7"/>
        <v>12436.19222068415</v>
      </c>
      <c r="V7" s="80">
        <f t="shared" si="7"/>
        <v>13354.467820690494</v>
      </c>
      <c r="W7" s="80">
        <f t="shared" si="7"/>
        <v>13750.381876821797</v>
      </c>
      <c r="X7" s="80">
        <f t="shared" si="7"/>
        <v>14180.707432600429</v>
      </c>
      <c r="Y7" s="80">
        <f t="shared" si="7"/>
        <v>14411.190154429769</v>
      </c>
      <c r="Z7" s="80">
        <f t="shared" si="7"/>
        <v>14703.118444765561</v>
      </c>
      <c r="AA7" s="80">
        <f t="shared" si="7"/>
        <v>14603.627061200768</v>
      </c>
      <c r="AB7" s="80">
        <f t="shared" si="7"/>
        <v>13373.716434383592</v>
      </c>
      <c r="AC7" s="80">
        <f t="shared" si="7"/>
        <v>13605.781305845339</v>
      </c>
      <c r="AD7" s="80">
        <f t="shared" si="7"/>
        <v>14179.3665283847</v>
      </c>
      <c r="AE7" s="80">
        <f t="shared" si="7"/>
        <v>14251.606835129916</v>
      </c>
      <c r="AF7" s="80">
        <f t="shared" si="7"/>
        <v>14355.412460718147</v>
      </c>
      <c r="AG7" s="81">
        <v>14400</v>
      </c>
      <c r="AH7" s="81">
        <f>MROUND(AG7*1.0075,100)</f>
        <v>14500</v>
      </c>
      <c r="AI7" s="81">
        <f t="shared" ref="AI7:BF7" si="8">MROUND(AH7*1.0075,100)</f>
        <v>14600</v>
      </c>
      <c r="AJ7" s="81">
        <f t="shared" si="8"/>
        <v>14700</v>
      </c>
      <c r="AK7" s="81">
        <f t="shared" si="8"/>
        <v>14800</v>
      </c>
      <c r="AL7" s="81">
        <f t="shared" si="8"/>
        <v>14900</v>
      </c>
      <c r="AM7" s="81">
        <f t="shared" si="8"/>
        <v>15000</v>
      </c>
      <c r="AN7" s="81">
        <f t="shared" si="8"/>
        <v>15100</v>
      </c>
      <c r="AO7" s="81">
        <f t="shared" si="8"/>
        <v>15200</v>
      </c>
      <c r="AP7" s="81">
        <f t="shared" si="8"/>
        <v>15300</v>
      </c>
      <c r="AQ7" s="81">
        <f t="shared" si="8"/>
        <v>15400</v>
      </c>
      <c r="AR7" s="81">
        <f t="shared" si="8"/>
        <v>15500</v>
      </c>
      <c r="AS7" s="81">
        <f t="shared" si="8"/>
        <v>15600</v>
      </c>
      <c r="AT7" s="81">
        <f t="shared" si="8"/>
        <v>15700</v>
      </c>
      <c r="AU7" s="81">
        <f t="shared" si="8"/>
        <v>15800</v>
      </c>
      <c r="AV7" s="81">
        <f t="shared" si="8"/>
        <v>15900</v>
      </c>
      <c r="AW7" s="81">
        <f t="shared" si="8"/>
        <v>16000</v>
      </c>
      <c r="AX7" s="81">
        <f t="shared" si="8"/>
        <v>16100</v>
      </c>
      <c r="AY7" s="81">
        <f t="shared" si="8"/>
        <v>16200</v>
      </c>
      <c r="AZ7" s="81">
        <f t="shared" si="8"/>
        <v>16300</v>
      </c>
      <c r="BA7" s="81">
        <f t="shared" si="8"/>
        <v>16400</v>
      </c>
      <c r="BB7" s="81">
        <f t="shared" si="8"/>
        <v>16500</v>
      </c>
      <c r="BC7" s="81">
        <f t="shared" si="8"/>
        <v>16600</v>
      </c>
      <c r="BD7" s="81">
        <f t="shared" si="8"/>
        <v>16700</v>
      </c>
      <c r="BE7" s="81">
        <f t="shared" si="8"/>
        <v>16800</v>
      </c>
      <c r="BF7" s="81">
        <f t="shared" si="8"/>
        <v>16900</v>
      </c>
    </row>
    <row r="8" spans="1:78">
      <c r="A8" s="69" t="s">
        <v>128</v>
      </c>
      <c r="B8" s="76">
        <f t="shared" ref="B8:AF8" si="9">B76</f>
        <v>169.35358705000002</v>
      </c>
      <c r="C8" s="76">
        <f t="shared" si="9"/>
        <v>166.95087114060004</v>
      </c>
      <c r="D8" s="76">
        <f t="shared" si="9"/>
        <v>107.284934419</v>
      </c>
      <c r="E8" s="76">
        <f t="shared" si="9"/>
        <v>84.141424457400007</v>
      </c>
      <c r="F8" s="76">
        <f t="shared" si="9"/>
        <v>48.964058391400009</v>
      </c>
      <c r="G8" s="76">
        <f t="shared" si="9"/>
        <v>30.325061468400001</v>
      </c>
      <c r="H8" s="76">
        <f t="shared" si="9"/>
        <v>41.299066855400007</v>
      </c>
      <c r="I8" s="76">
        <f t="shared" si="9"/>
        <v>83.251214710600024</v>
      </c>
      <c r="J8" s="76">
        <f t="shared" si="9"/>
        <v>47.954995896800007</v>
      </c>
      <c r="K8" s="76">
        <f t="shared" si="9"/>
        <v>56.256576276000004</v>
      </c>
      <c r="L8" s="76">
        <f t="shared" si="9"/>
        <v>57.329132899800001</v>
      </c>
      <c r="M8" s="76">
        <f t="shared" si="9"/>
        <v>56.950771551399988</v>
      </c>
      <c r="N8" s="76">
        <f t="shared" si="9"/>
        <v>49.49227530080001</v>
      </c>
      <c r="O8" s="76">
        <f t="shared" si="9"/>
        <v>99.191355001000005</v>
      </c>
      <c r="P8" s="76">
        <f t="shared" si="9"/>
        <v>175.62710931259997</v>
      </c>
      <c r="Q8" s="76">
        <f t="shared" si="9"/>
        <v>103.57588352064801</v>
      </c>
      <c r="R8" s="76">
        <f t="shared" si="9"/>
        <v>260.96251503064246</v>
      </c>
      <c r="S8" s="76">
        <f t="shared" si="9"/>
        <v>828.40625348377057</v>
      </c>
      <c r="T8" s="76">
        <f t="shared" si="9"/>
        <v>1086.6663357469863</v>
      </c>
      <c r="U8" s="76">
        <f t="shared" si="9"/>
        <v>554.61777931584686</v>
      </c>
      <c r="V8" s="76">
        <f t="shared" si="9"/>
        <v>786.76417930950686</v>
      </c>
      <c r="W8" s="76">
        <f t="shared" si="9"/>
        <v>911.69212317820256</v>
      </c>
      <c r="X8" s="76">
        <f t="shared" si="9"/>
        <v>1019.1765673995683</v>
      </c>
      <c r="Y8" s="76">
        <f t="shared" si="9"/>
        <v>1363.3378455702286</v>
      </c>
      <c r="Z8" s="76">
        <f t="shared" si="9"/>
        <v>1619.2236338996304</v>
      </c>
      <c r="AA8" s="76">
        <f t="shared" si="9"/>
        <v>1530.2173500360595</v>
      </c>
      <c r="AB8" s="76">
        <f t="shared" si="9"/>
        <v>1335.3427042249054</v>
      </c>
      <c r="AC8" s="76">
        <f t="shared" si="9"/>
        <v>1229.7023437355531</v>
      </c>
      <c r="AD8" s="76">
        <f t="shared" si="9"/>
        <v>1423.1043797105201</v>
      </c>
      <c r="AE8" s="76">
        <f t="shared" si="9"/>
        <v>1225.6649509309468</v>
      </c>
      <c r="AF8" s="76">
        <f t="shared" si="9"/>
        <v>1750.0927756344618</v>
      </c>
      <c r="AG8" s="77">
        <f>1500+600</f>
        <v>2100</v>
      </c>
      <c r="AH8" s="77">
        <v>1600</v>
      </c>
      <c r="AI8" s="77">
        <v>1400</v>
      </c>
      <c r="AJ8" s="77">
        <v>1500</v>
      </c>
      <c r="AK8" s="77">
        <v>1500</v>
      </c>
      <c r="AL8" s="77">
        <v>1450</v>
      </c>
      <c r="AM8" s="77">
        <v>1500</v>
      </c>
      <c r="AN8" s="77">
        <v>1600</v>
      </c>
      <c r="AO8" s="77">
        <v>1550</v>
      </c>
      <c r="AP8" s="77">
        <v>1600</v>
      </c>
      <c r="AQ8" s="77">
        <v>1600</v>
      </c>
      <c r="AR8" s="77">
        <v>1700</v>
      </c>
      <c r="AS8" s="77">
        <v>1700</v>
      </c>
      <c r="AT8" s="77">
        <v>1700</v>
      </c>
      <c r="AU8" s="77">
        <v>1700</v>
      </c>
      <c r="AV8" s="77">
        <v>1800</v>
      </c>
      <c r="AW8" s="77">
        <v>1900</v>
      </c>
      <c r="AX8" s="77">
        <v>2300</v>
      </c>
      <c r="AY8" s="77">
        <v>2600</v>
      </c>
      <c r="AZ8" s="77">
        <v>2800</v>
      </c>
      <c r="BA8" s="77">
        <v>3100</v>
      </c>
      <c r="BB8" s="77">
        <v>3300</v>
      </c>
      <c r="BC8" s="77">
        <v>2604</v>
      </c>
      <c r="BD8" s="77">
        <v>2605</v>
      </c>
      <c r="BE8" s="77">
        <v>2606</v>
      </c>
      <c r="BF8" s="77">
        <v>2607</v>
      </c>
    </row>
    <row r="9" spans="1:78">
      <c r="A9" s="69" t="s">
        <v>129</v>
      </c>
      <c r="B9" s="76">
        <f t="shared" ref="B9:AF9" si="10">B6-B10</f>
        <v>1275.4559999999999</v>
      </c>
      <c r="C9" s="76">
        <f t="shared" si="10"/>
        <v>1311.03</v>
      </c>
      <c r="D9" s="76">
        <f t="shared" si="10"/>
        <v>1183.098</v>
      </c>
      <c r="E9" s="76">
        <f t="shared" si="10"/>
        <v>1106.5739999999998</v>
      </c>
      <c r="F9" s="76">
        <f t="shared" si="10"/>
        <v>1347.6120000000001</v>
      </c>
      <c r="G9" s="76">
        <f t="shared" si="10"/>
        <v>1399.6080000000002</v>
      </c>
      <c r="H9" s="76">
        <f t="shared" si="10"/>
        <v>1607.7180000000001</v>
      </c>
      <c r="I9" s="76">
        <f t="shared" si="10"/>
        <v>1730.0220000000002</v>
      </c>
      <c r="J9" s="76">
        <f t="shared" si="10"/>
        <v>1865.7660000000001</v>
      </c>
      <c r="K9" s="76">
        <f t="shared" si="10"/>
        <v>2708.3699999999994</v>
      </c>
      <c r="L9" s="76">
        <f t="shared" si="10"/>
        <v>3351.978000000001</v>
      </c>
      <c r="M9" s="76">
        <f t="shared" si="10"/>
        <v>4255.5659999999998</v>
      </c>
      <c r="N9" s="76">
        <f t="shared" si="10"/>
        <v>4979.2260000000006</v>
      </c>
      <c r="O9" s="76">
        <f t="shared" si="10"/>
        <v>6266.5259999999998</v>
      </c>
      <c r="P9" s="76">
        <f t="shared" si="10"/>
        <v>8530.8719999999994</v>
      </c>
      <c r="Q9" s="76">
        <f t="shared" si="10"/>
        <v>10360.433999999999</v>
      </c>
      <c r="R9" s="76">
        <f t="shared" si="10"/>
        <v>12728.814000000002</v>
      </c>
      <c r="S9" s="76">
        <f t="shared" si="10"/>
        <v>14274.203999999998</v>
      </c>
      <c r="T9" s="76">
        <f t="shared" si="10"/>
        <v>14097.593999999999</v>
      </c>
      <c r="U9" s="76">
        <f t="shared" si="10"/>
        <v>12990.809999999998</v>
      </c>
      <c r="V9" s="76">
        <f t="shared" si="10"/>
        <v>14141.232</v>
      </c>
      <c r="W9" s="76">
        <f t="shared" si="10"/>
        <v>14662.073999999999</v>
      </c>
      <c r="X9" s="76">
        <f t="shared" si="10"/>
        <v>15199.883999999998</v>
      </c>
      <c r="Y9" s="76">
        <f t="shared" si="10"/>
        <v>15774.527999999997</v>
      </c>
      <c r="Z9" s="76">
        <f t="shared" si="10"/>
        <v>16322.342078665191</v>
      </c>
      <c r="AA9" s="76">
        <f t="shared" si="10"/>
        <v>16133.844411236827</v>
      </c>
      <c r="AB9" s="76">
        <f t="shared" si="10"/>
        <v>14709.059138608498</v>
      </c>
      <c r="AC9" s="76">
        <f t="shared" si="10"/>
        <v>14835.483649580892</v>
      </c>
      <c r="AD9" s="76">
        <f t="shared" si="10"/>
        <v>15602.47090809522</v>
      </c>
      <c r="AE9" s="76">
        <f t="shared" si="10"/>
        <v>15477.271786060863</v>
      </c>
      <c r="AF9" s="76">
        <f t="shared" si="10"/>
        <v>16105.50523635261</v>
      </c>
      <c r="AG9" s="77">
        <f t="shared" ref="AG9:AL9" si="11">SUM(AG7:AG8)</f>
        <v>16500</v>
      </c>
      <c r="AH9" s="77">
        <f t="shared" si="11"/>
        <v>16100</v>
      </c>
      <c r="AI9" s="77">
        <f t="shared" si="11"/>
        <v>16000</v>
      </c>
      <c r="AJ9" s="77">
        <f t="shared" si="11"/>
        <v>16200</v>
      </c>
      <c r="AK9" s="77">
        <f t="shared" si="11"/>
        <v>16300</v>
      </c>
      <c r="AL9" s="77">
        <f t="shared" si="11"/>
        <v>16350</v>
      </c>
      <c r="AM9" s="77">
        <f t="shared" ref="AM9:BF9" si="12">SUM(AM7:AM8)</f>
        <v>16500</v>
      </c>
      <c r="AN9" s="77">
        <f t="shared" si="12"/>
        <v>16700</v>
      </c>
      <c r="AO9" s="77">
        <f t="shared" si="12"/>
        <v>16750</v>
      </c>
      <c r="AP9" s="77">
        <f t="shared" si="12"/>
        <v>16900</v>
      </c>
      <c r="AQ9" s="77">
        <f t="shared" si="12"/>
        <v>17000</v>
      </c>
      <c r="AR9" s="77">
        <f t="shared" si="12"/>
        <v>17200</v>
      </c>
      <c r="AS9" s="77">
        <f t="shared" si="12"/>
        <v>17300</v>
      </c>
      <c r="AT9" s="77">
        <f t="shared" si="12"/>
        <v>17400</v>
      </c>
      <c r="AU9" s="77">
        <f t="shared" si="12"/>
        <v>17500</v>
      </c>
      <c r="AV9" s="77">
        <f t="shared" si="12"/>
        <v>17700</v>
      </c>
      <c r="AW9" s="77">
        <f t="shared" si="12"/>
        <v>17900</v>
      </c>
      <c r="AX9" s="77">
        <f t="shared" si="12"/>
        <v>18400</v>
      </c>
      <c r="AY9" s="77">
        <f t="shared" si="12"/>
        <v>18800</v>
      </c>
      <c r="AZ9" s="77">
        <f t="shared" si="12"/>
        <v>19100</v>
      </c>
      <c r="BA9" s="77">
        <f t="shared" si="12"/>
        <v>19500</v>
      </c>
      <c r="BB9" s="77">
        <f t="shared" si="12"/>
        <v>19800</v>
      </c>
      <c r="BC9" s="77">
        <f t="shared" si="12"/>
        <v>19204</v>
      </c>
      <c r="BD9" s="77">
        <f t="shared" si="12"/>
        <v>19305</v>
      </c>
      <c r="BE9" s="77">
        <f t="shared" si="12"/>
        <v>19406</v>
      </c>
      <c r="BF9" s="77">
        <f t="shared" si="12"/>
        <v>19507</v>
      </c>
    </row>
    <row r="10" spans="1:78" ht="12" thickBot="1">
      <c r="A10" s="82" t="s">
        <v>130</v>
      </c>
      <c r="B10" s="80">
        <f t="shared" ref="B10:AF10" si="13">B107</f>
        <v>76.397999999999996</v>
      </c>
      <c r="C10" s="80">
        <f t="shared" si="13"/>
        <v>181.608</v>
      </c>
      <c r="D10" s="80">
        <f t="shared" si="13"/>
        <v>43.68</v>
      </c>
      <c r="E10" s="80">
        <f t="shared" si="13"/>
        <v>135.114</v>
      </c>
      <c r="F10" s="80">
        <f t="shared" si="13"/>
        <v>149.77199999999999</v>
      </c>
      <c r="G10" s="80">
        <f t="shared" si="13"/>
        <v>199.08</v>
      </c>
      <c r="H10" s="80">
        <f t="shared" si="13"/>
        <v>192.44399999999999</v>
      </c>
      <c r="I10" s="80">
        <f t="shared" si="13"/>
        <v>177.49199999999999</v>
      </c>
      <c r="J10" s="80">
        <f t="shared" si="13"/>
        <v>260.904</v>
      </c>
      <c r="K10" s="80">
        <f t="shared" si="13"/>
        <v>283.24799999999999</v>
      </c>
      <c r="L10" s="80">
        <f t="shared" si="13"/>
        <v>267.41399999999999</v>
      </c>
      <c r="M10" s="80">
        <f t="shared" si="13"/>
        <v>226.71600000000001</v>
      </c>
      <c r="N10" s="80">
        <f t="shared" si="13"/>
        <v>383.58600000000001</v>
      </c>
      <c r="O10" s="80">
        <f t="shared" si="13"/>
        <v>462.46199999999999</v>
      </c>
      <c r="P10" s="80">
        <f t="shared" si="13"/>
        <v>620.38199999999995</v>
      </c>
      <c r="Q10" s="80">
        <f t="shared" si="13"/>
        <v>616.18200000000002</v>
      </c>
      <c r="R10" s="80">
        <f t="shared" si="13"/>
        <v>729.96</v>
      </c>
      <c r="S10" s="80">
        <f t="shared" si="13"/>
        <v>761.16600000000005</v>
      </c>
      <c r="T10" s="80">
        <f t="shared" si="13"/>
        <v>805.56</v>
      </c>
      <c r="U10" s="80">
        <f t="shared" si="13"/>
        <v>711.69</v>
      </c>
      <c r="V10" s="80">
        <f t="shared" si="13"/>
        <v>765.15599999999995</v>
      </c>
      <c r="W10" s="80">
        <f t="shared" si="13"/>
        <v>814.38</v>
      </c>
      <c r="X10" s="80">
        <f t="shared" si="13"/>
        <v>890.31600000000003</v>
      </c>
      <c r="Y10" s="80">
        <f t="shared" si="13"/>
        <v>889.81200000000001</v>
      </c>
      <c r="Z10" s="80">
        <f t="shared" si="13"/>
        <v>958.60799999999995</v>
      </c>
      <c r="AA10" s="80">
        <f t="shared" si="13"/>
        <v>954.53399999999999</v>
      </c>
      <c r="AB10" s="80">
        <f t="shared" si="13"/>
        <v>845.96400000000006</v>
      </c>
      <c r="AC10" s="80">
        <f t="shared" si="13"/>
        <v>887.67</v>
      </c>
      <c r="AD10" s="80">
        <f t="shared" si="13"/>
        <v>987.37800000000004</v>
      </c>
      <c r="AE10" s="80">
        <f t="shared" si="13"/>
        <v>915.6</v>
      </c>
      <c r="AF10" s="80">
        <f t="shared" si="13"/>
        <v>999.47400000000005</v>
      </c>
      <c r="AG10" s="81">
        <f t="shared" ref="AG10:BF10" si="14">AG6-AG9</f>
        <v>638.65007736225743</v>
      </c>
      <c r="AH10" s="81">
        <f t="shared" si="14"/>
        <v>566.11711107719748</v>
      </c>
      <c r="AI10" s="81">
        <f t="shared" si="14"/>
        <v>644.61834860518138</v>
      </c>
      <c r="AJ10" s="81">
        <f t="shared" si="14"/>
        <v>597.06906325212185</v>
      </c>
      <c r="AK10" s="81">
        <f t="shared" si="14"/>
        <v>587.33789730766148</v>
      </c>
      <c r="AL10" s="81">
        <f t="shared" si="14"/>
        <v>622.08545433892868</v>
      </c>
      <c r="AM10" s="81">
        <f t="shared" si="14"/>
        <v>656.94601127914211</v>
      </c>
      <c r="AN10" s="81">
        <f t="shared" si="14"/>
        <v>617.62364841595991</v>
      </c>
      <c r="AO10" s="81">
        <f t="shared" si="14"/>
        <v>647.46553661341386</v>
      </c>
      <c r="AP10" s="81">
        <f t="shared" si="14"/>
        <v>655.7898133932249</v>
      </c>
      <c r="AQ10" s="81">
        <f t="shared" si="14"/>
        <v>690.6726066447518</v>
      </c>
      <c r="AR10" s="81">
        <f t="shared" si="14"/>
        <v>658.78145160902568</v>
      </c>
      <c r="AS10" s="81">
        <f t="shared" si="14"/>
        <v>656.59334401514934</v>
      </c>
      <c r="AT10" s="81">
        <f t="shared" si="14"/>
        <v>684.88998083406841</v>
      </c>
      <c r="AU10" s="81">
        <f t="shared" si="14"/>
        <v>746.00341479575945</v>
      </c>
      <c r="AV10" s="81">
        <f t="shared" si="14"/>
        <v>740.82567188351459</v>
      </c>
      <c r="AW10" s="81">
        <f t="shared" si="14"/>
        <v>670.8288556803127</v>
      </c>
      <c r="AX10" s="81">
        <f t="shared" si="14"/>
        <v>702.26591462733268</v>
      </c>
      <c r="AY10" s="81">
        <f t="shared" si="14"/>
        <v>756.38229494976622</v>
      </c>
      <c r="AZ10" s="81">
        <f t="shared" si="14"/>
        <v>796.66262397290848</v>
      </c>
      <c r="BA10" s="81">
        <f t="shared" si="14"/>
        <v>753.5763320083388</v>
      </c>
      <c r="BB10" s="81">
        <f t="shared" si="14"/>
        <v>763.50833023330415</v>
      </c>
      <c r="BC10" s="81">
        <f t="shared" si="14"/>
        <v>1765.8260913439008</v>
      </c>
      <c r="BD10" s="81">
        <f t="shared" si="14"/>
        <v>3022.3199928872164</v>
      </c>
      <c r="BE10" s="81">
        <f t="shared" si="14"/>
        <v>4519.2893986747113</v>
      </c>
      <c r="BF10" s="81">
        <f t="shared" si="14"/>
        <v>6267.7966198150716</v>
      </c>
    </row>
    <row r="11" spans="1:78">
      <c r="A11" s="72" t="s">
        <v>131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3">
        <f t="shared" ref="X11:BF11" si="15">X141+X157</f>
        <v>5226.6540000000005</v>
      </c>
      <c r="Y11" s="73">
        <f t="shared" si="15"/>
        <v>5437.3190000000004</v>
      </c>
      <c r="Z11" s="73">
        <f t="shared" si="15"/>
        <v>5597.5889999999999</v>
      </c>
      <c r="AA11" s="73">
        <f t="shared" si="15"/>
        <v>5377.9699999999993</v>
      </c>
      <c r="AB11" s="73">
        <f t="shared" si="15"/>
        <v>4846.353000000001</v>
      </c>
      <c r="AC11" s="73">
        <f t="shared" si="15"/>
        <v>5143.3059999999987</v>
      </c>
      <c r="AD11" s="73">
        <f t="shared" si="15"/>
        <v>5317.8249999999998</v>
      </c>
      <c r="AE11" s="73">
        <f t="shared" si="15"/>
        <v>5176.1410000000005</v>
      </c>
      <c r="AF11" s="74">
        <f t="shared" si="15"/>
        <v>5470.7699999999995</v>
      </c>
      <c r="AG11" s="75">
        <f t="shared" si="15"/>
        <v>5387.386000911647</v>
      </c>
      <c r="AH11" s="75">
        <f t="shared" si="15"/>
        <v>5312.4769192470612</v>
      </c>
      <c r="AI11" s="75">
        <f t="shared" si="15"/>
        <v>5291.6060779925465</v>
      </c>
      <c r="AJ11" s="75">
        <f t="shared" si="15"/>
        <v>5302.9858573673419</v>
      </c>
      <c r="AK11" s="75">
        <f t="shared" si="15"/>
        <v>5329.2515385793695</v>
      </c>
      <c r="AL11" s="75">
        <f t="shared" si="15"/>
        <v>5336.2302148788822</v>
      </c>
      <c r="AM11" s="75">
        <f t="shared" si="15"/>
        <v>5366.151466011589</v>
      </c>
      <c r="AN11" s="75">
        <f t="shared" si="15"/>
        <v>5380.6388103786612</v>
      </c>
      <c r="AO11" s="75">
        <f t="shared" si="15"/>
        <v>5400.3033433600167</v>
      </c>
      <c r="AP11" s="75">
        <f t="shared" si="15"/>
        <v>5419.8105825959628</v>
      </c>
      <c r="AQ11" s="75">
        <f t="shared" si="15"/>
        <v>5438.6165187090928</v>
      </c>
      <c r="AR11" s="75">
        <f t="shared" si="15"/>
        <v>5459.8604508434282</v>
      </c>
      <c r="AS11" s="75">
        <f t="shared" si="15"/>
        <v>5479.2832656690925</v>
      </c>
      <c r="AT11" s="75">
        <f t="shared" si="15"/>
        <v>5500.0310763272873</v>
      </c>
      <c r="AU11" s="75">
        <f t="shared" si="15"/>
        <v>5520.6281219136745</v>
      </c>
      <c r="AV11" s="75">
        <f t="shared" si="15"/>
        <v>5541.6392258685073</v>
      </c>
      <c r="AW11" s="75">
        <f t="shared" si="15"/>
        <v>5563.0463214226447</v>
      </c>
      <c r="AX11" s="75">
        <f t="shared" si="15"/>
        <v>5736.6116549142498</v>
      </c>
      <c r="AY11" s="75">
        <f t="shared" si="15"/>
        <v>5851.3040198539074</v>
      </c>
      <c r="AZ11" s="75">
        <f t="shared" si="15"/>
        <v>5920.464737614745</v>
      </c>
      <c r="BA11" s="75">
        <f t="shared" si="15"/>
        <v>5999.2284566153576</v>
      </c>
      <c r="BB11" s="75">
        <f t="shared" si="15"/>
        <v>6089.3357471927166</v>
      </c>
      <c r="BC11" s="75">
        <f t="shared" si="15"/>
        <v>6192.9657926334239</v>
      </c>
      <c r="BD11" s="75">
        <f t="shared" si="15"/>
        <v>6282.8452873264096</v>
      </c>
      <c r="BE11" s="75">
        <f t="shared" si="15"/>
        <v>6367.8407447357731</v>
      </c>
      <c r="BF11" s="75">
        <f t="shared" si="15"/>
        <v>6455.9647780810301</v>
      </c>
    </row>
    <row r="12" spans="1:78" ht="12" thickBot="1">
      <c r="A12" s="69" t="s">
        <v>132</v>
      </c>
      <c r="X12" s="76">
        <f t="shared" ref="X12:BF12" si="16">X173</f>
        <v>131.8857142857143</v>
      </c>
      <c r="Y12" s="76">
        <f t="shared" si="16"/>
        <v>113.88928571428573</v>
      </c>
      <c r="Z12" s="76">
        <f t="shared" si="16"/>
        <v>61.32025131933873</v>
      </c>
      <c r="AA12" s="76">
        <f t="shared" si="16"/>
        <v>104.29642857142859</v>
      </c>
      <c r="AB12" s="76">
        <f t="shared" si="16"/>
        <v>74.741071428571431</v>
      </c>
      <c r="AC12" s="76">
        <f t="shared" si="16"/>
        <v>10.873410714285715</v>
      </c>
      <c r="AD12" s="76">
        <f t="shared" si="16"/>
        <v>43.558267857142866</v>
      </c>
      <c r="AE12" s="76">
        <f t="shared" si="16"/>
        <v>57.786660714285702</v>
      </c>
      <c r="AF12" s="79">
        <f t="shared" si="16"/>
        <v>22.736000000000001</v>
      </c>
      <c r="AG12" s="77">
        <f t="shared" si="16"/>
        <v>63.415515449123923</v>
      </c>
      <c r="AH12" s="77">
        <f t="shared" si="16"/>
        <v>62.72</v>
      </c>
      <c r="AI12" s="77">
        <f t="shared" si="16"/>
        <v>55.999999999999993</v>
      </c>
      <c r="AJ12" s="77">
        <f t="shared" si="16"/>
        <v>55.999999999999993</v>
      </c>
      <c r="AK12" s="77">
        <f t="shared" si="16"/>
        <v>56</v>
      </c>
      <c r="AL12" s="77">
        <f t="shared" si="16"/>
        <v>56</v>
      </c>
      <c r="AM12" s="77">
        <f t="shared" si="16"/>
        <v>56.000000000000007</v>
      </c>
      <c r="AN12" s="77">
        <f t="shared" si="16"/>
        <v>56</v>
      </c>
      <c r="AO12" s="77">
        <f t="shared" si="16"/>
        <v>56.000000000000007</v>
      </c>
      <c r="AP12" s="77">
        <f t="shared" si="16"/>
        <v>55.999999999999993</v>
      </c>
      <c r="AQ12" s="77">
        <f t="shared" si="16"/>
        <v>55.999999999999993</v>
      </c>
      <c r="AR12" s="77">
        <f t="shared" si="16"/>
        <v>56</v>
      </c>
      <c r="AS12" s="77">
        <f t="shared" si="16"/>
        <v>56</v>
      </c>
      <c r="AT12" s="77">
        <f t="shared" si="16"/>
        <v>56</v>
      </c>
      <c r="AU12" s="77">
        <f t="shared" si="16"/>
        <v>55.999999999999986</v>
      </c>
      <c r="AV12" s="77">
        <f t="shared" si="16"/>
        <v>56.000000000000007</v>
      </c>
      <c r="AW12" s="77">
        <f t="shared" si="16"/>
        <v>55.999999999999993</v>
      </c>
      <c r="AX12" s="77">
        <f t="shared" si="16"/>
        <v>55.999999999999993</v>
      </c>
      <c r="AY12" s="77">
        <f t="shared" si="16"/>
        <v>56</v>
      </c>
      <c r="AZ12" s="77">
        <f t="shared" si="16"/>
        <v>56</v>
      </c>
      <c r="BA12" s="77">
        <f t="shared" si="16"/>
        <v>56</v>
      </c>
      <c r="BB12" s="77">
        <f t="shared" si="16"/>
        <v>56</v>
      </c>
      <c r="BC12" s="77">
        <f t="shared" si="16"/>
        <v>56</v>
      </c>
      <c r="BD12" s="77">
        <f t="shared" si="16"/>
        <v>55.999999999999993</v>
      </c>
      <c r="BE12" s="77">
        <f t="shared" si="16"/>
        <v>56</v>
      </c>
      <c r="BF12" s="77">
        <f t="shared" si="16"/>
        <v>56.000000000000014</v>
      </c>
    </row>
    <row r="13" spans="1:78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</row>
    <row r="14" spans="1:78" ht="12" thickBot="1">
      <c r="A14" s="83" t="s">
        <v>133</v>
      </c>
    </row>
    <row r="15" spans="1:78" ht="12" thickBot="1">
      <c r="A15" s="84"/>
      <c r="B15" s="85" t="s">
        <v>66</v>
      </c>
      <c r="C15" s="86" t="s">
        <v>67</v>
      </c>
      <c r="D15" s="86" t="s">
        <v>68</v>
      </c>
      <c r="E15" s="86" t="s">
        <v>69</v>
      </c>
      <c r="F15" s="86" t="s">
        <v>70</v>
      </c>
      <c r="G15" s="86" t="s">
        <v>71</v>
      </c>
      <c r="H15" s="86" t="s">
        <v>72</v>
      </c>
      <c r="I15" s="86" t="s">
        <v>73</v>
      </c>
      <c r="J15" s="86" t="s">
        <v>74</v>
      </c>
      <c r="K15" s="86" t="s">
        <v>75</v>
      </c>
      <c r="L15" s="86" t="s">
        <v>76</v>
      </c>
      <c r="M15" s="86" t="s">
        <v>77</v>
      </c>
      <c r="N15" s="86" t="s">
        <v>78</v>
      </c>
      <c r="O15" s="86" t="s">
        <v>79</v>
      </c>
      <c r="P15" s="86" t="s">
        <v>80</v>
      </c>
      <c r="Q15" s="86" t="s">
        <v>81</v>
      </c>
      <c r="R15" s="86" t="s">
        <v>82</v>
      </c>
      <c r="S15" s="86" t="s">
        <v>83</v>
      </c>
      <c r="T15" s="86" t="s">
        <v>84</v>
      </c>
      <c r="U15" s="86" t="s">
        <v>85</v>
      </c>
      <c r="V15" s="86" t="s">
        <v>86</v>
      </c>
      <c r="W15" s="86" t="s">
        <v>87</v>
      </c>
      <c r="X15" s="86" t="s">
        <v>88</v>
      </c>
      <c r="Y15" s="86" t="s">
        <v>89</v>
      </c>
      <c r="Z15" s="86" t="s">
        <v>90</v>
      </c>
      <c r="AA15" s="86" t="s">
        <v>91</v>
      </c>
      <c r="AB15" s="86" t="s">
        <v>92</v>
      </c>
      <c r="AC15" s="86" t="s">
        <v>93</v>
      </c>
      <c r="AD15" s="86" t="str">
        <f>AD2</f>
        <v>21/22</v>
      </c>
      <c r="AE15" s="86" t="str">
        <f t="shared" ref="AE15:BF15" si="17">AE2</f>
        <v>22/23</v>
      </c>
      <c r="AF15" s="86" t="str">
        <f t="shared" si="17"/>
        <v>23/24</v>
      </c>
      <c r="AG15" s="86" t="str">
        <f t="shared" si="17"/>
        <v>24/25</v>
      </c>
      <c r="AH15" s="86" t="str">
        <f t="shared" si="17"/>
        <v>25/26</v>
      </c>
      <c r="AI15" s="86" t="str">
        <f t="shared" si="17"/>
        <v>26/27</v>
      </c>
      <c r="AJ15" s="86" t="str">
        <f t="shared" si="17"/>
        <v>27/28</v>
      </c>
      <c r="AK15" s="86" t="str">
        <f t="shared" si="17"/>
        <v>28/29</v>
      </c>
      <c r="AL15" s="86" t="str">
        <f t="shared" si="17"/>
        <v>29/30</v>
      </c>
      <c r="AM15" s="86" t="str">
        <f t="shared" si="17"/>
        <v>30/31</v>
      </c>
      <c r="AN15" s="86" t="str">
        <f t="shared" si="17"/>
        <v>31/32</v>
      </c>
      <c r="AO15" s="86" t="str">
        <f t="shared" si="17"/>
        <v>32/33</v>
      </c>
      <c r="AP15" s="86" t="str">
        <f t="shared" si="17"/>
        <v>33/34</v>
      </c>
      <c r="AQ15" s="86" t="str">
        <f t="shared" si="17"/>
        <v>34/35</v>
      </c>
      <c r="AR15" s="86" t="str">
        <f t="shared" si="17"/>
        <v>35/36</v>
      </c>
      <c r="AS15" s="86" t="str">
        <f t="shared" si="17"/>
        <v>36/37</v>
      </c>
      <c r="AT15" s="86" t="str">
        <f t="shared" si="17"/>
        <v>37/38</v>
      </c>
      <c r="AU15" s="86" t="str">
        <f t="shared" si="17"/>
        <v>38/39</v>
      </c>
      <c r="AV15" s="86" t="str">
        <f t="shared" si="17"/>
        <v>39/40</v>
      </c>
      <c r="AW15" s="86" t="str">
        <f t="shared" si="17"/>
        <v>40/41</v>
      </c>
      <c r="AX15" s="86" t="str">
        <f t="shared" si="17"/>
        <v>41/42</v>
      </c>
      <c r="AY15" s="86" t="str">
        <f t="shared" si="17"/>
        <v>42/43</v>
      </c>
      <c r="AZ15" s="86" t="str">
        <f t="shared" si="17"/>
        <v>43/44</v>
      </c>
      <c r="BA15" s="86" t="str">
        <f t="shared" si="17"/>
        <v>44/45</v>
      </c>
      <c r="BB15" s="86" t="str">
        <f t="shared" si="17"/>
        <v>45/46</v>
      </c>
      <c r="BC15" s="86" t="str">
        <f t="shared" si="17"/>
        <v>42/47</v>
      </c>
      <c r="BD15" s="86" t="str">
        <f t="shared" si="17"/>
        <v>42/48</v>
      </c>
      <c r="BE15" s="86" t="str">
        <f t="shared" si="17"/>
        <v>42/49</v>
      </c>
      <c r="BF15" s="86" t="str">
        <f t="shared" si="17"/>
        <v>42/50</v>
      </c>
    </row>
    <row r="16" spans="1:78">
      <c r="A16" s="69" t="s">
        <v>37</v>
      </c>
      <c r="B16" s="76">
        <f>'Monthly Ethanol Data'!$B158</f>
        <v>2144</v>
      </c>
      <c r="C16" s="76">
        <f>'Monthly Ethanol Data'!$B170</f>
        <v>2894</v>
      </c>
      <c r="D16" s="76">
        <f>'Monthly Ethanol Data'!$B182</f>
        <v>2464</v>
      </c>
      <c r="E16" s="76">
        <f>'Monthly Ethanol Data'!$B194</f>
        <v>1600</v>
      </c>
      <c r="F16" s="76">
        <f>'Monthly Ethanol Data'!$B206</f>
        <v>2535</v>
      </c>
      <c r="G16" s="76">
        <f>'Monthly Ethanol Data'!$B218</f>
        <v>2852</v>
      </c>
      <c r="H16" s="76">
        <f>'Monthly Ethanol Data'!$B230</f>
        <v>2958</v>
      </c>
      <c r="I16" s="76">
        <f>'Monthly Ethanol Data'!$B242</f>
        <v>3103</v>
      </c>
      <c r="J16" s="76">
        <f>'Monthly Ethanol Data'!$B254</f>
        <v>3470</v>
      </c>
      <c r="K16" s="76">
        <f>'Monthly Ethanol Data'!$B266</f>
        <v>4342</v>
      </c>
      <c r="L16" s="76">
        <f>'Monthly Ethanol Data'!$B278</f>
        <v>5685</v>
      </c>
      <c r="M16" s="76">
        <f>'Monthly Ethanol Data'!$B290</f>
        <v>6766</v>
      </c>
      <c r="N16" s="76">
        <f>'Monthly Ethanol Data'!$B302</f>
        <v>7841</v>
      </c>
      <c r="O16" s="76">
        <f>'Monthly Ethanol Data'!$B314</f>
        <v>10088</v>
      </c>
      <c r="P16" s="76">
        <f>'Monthly Ethanol Data'!$B326</f>
        <v>13402</v>
      </c>
      <c r="Q16" s="76">
        <f>'Monthly Ethanol Data'!$B338</f>
        <v>19338</v>
      </c>
      <c r="R16" s="76">
        <f>'Monthly Ethanol Data'!$B350</f>
        <v>22218</v>
      </c>
      <c r="S16" s="76">
        <f>'Monthly Ethanol Data'!$B362</f>
        <v>26221</v>
      </c>
      <c r="T16" s="76">
        <f>'Monthly Ethanol Data'!$B374</f>
        <v>26588</v>
      </c>
      <c r="U16" s="76">
        <f>'Monthly Ethanol Data'!$B386</f>
        <v>24376</v>
      </c>
      <c r="V16" s="76">
        <f>'Monthly Ethanol Data'!$B398</f>
        <v>25564</v>
      </c>
      <c r="W16" s="76">
        <f>'Monthly Ethanol Data'!$B410</f>
        <v>27807</v>
      </c>
      <c r="X16" s="76">
        <f>'Monthly Ethanol Data'!$B422</f>
        <v>28571</v>
      </c>
      <c r="Y16" s="76">
        <f>'Monthly Ethanol Data'!$B434</f>
        <v>30048</v>
      </c>
      <c r="Z16" s="76">
        <f>'Monthly Ethanol Data'!$B446</f>
        <v>30581</v>
      </c>
      <c r="AA16" s="76">
        <f>'Monthly Ethanol Data'!$B458</f>
        <v>30667</v>
      </c>
      <c r="AB16" s="76">
        <f>'Monthly Ethanol Data'!$B470</f>
        <v>29232</v>
      </c>
      <c r="AC16" s="76">
        <f>'Monthly Ethanol Data'!$B482</f>
        <v>27779</v>
      </c>
      <c r="AD16" s="76">
        <f>'Monthly Ethanol Data'!$B494</f>
        <v>28080</v>
      </c>
      <c r="AE16" s="76">
        <f>'Monthly Ethanol Data'!$B506</f>
        <v>27072</v>
      </c>
      <c r="AF16" s="76">
        <f>'Monthly Ethanol Data'!$B518</f>
        <v>30104</v>
      </c>
      <c r="AG16" s="87">
        <f>'Monthly Ethanol Data'!$B530</f>
        <v>31220</v>
      </c>
      <c r="AH16" s="88">
        <f>'Monthly Ethanol Data'!$B542</f>
        <v>33564.642857142855</v>
      </c>
      <c r="AI16" s="77">
        <f t="shared" ref="AI16:BF27" si="18">AI32/42*1000</f>
        <v>29424.066365943796</v>
      </c>
      <c r="AJ16" s="77">
        <f t="shared" si="18"/>
        <v>29412.25430792314</v>
      </c>
      <c r="AK16" s="77">
        <f t="shared" si="18"/>
        <v>29880.11215796768</v>
      </c>
      <c r="AL16" s="77">
        <f t="shared" si="18"/>
        <v>30145.252802414576</v>
      </c>
      <c r="AM16" s="77">
        <f t="shared" si="18"/>
        <v>30278.968551667931</v>
      </c>
      <c r="AN16" s="77">
        <f t="shared" si="18"/>
        <v>30539.616682490563</v>
      </c>
      <c r="AO16" s="77">
        <f t="shared" si="18"/>
        <v>30767.492763350827</v>
      </c>
      <c r="AP16" s="77">
        <f t="shared" si="18"/>
        <v>31045.201199236886</v>
      </c>
      <c r="AQ16" s="77">
        <f t="shared" si="18"/>
        <v>31283.718399894602</v>
      </c>
      <c r="AR16" s="77">
        <f t="shared" si="18"/>
        <v>31516.856169228402</v>
      </c>
      <c r="AS16" s="77">
        <f t="shared" si="18"/>
        <v>31770.599741570593</v>
      </c>
      <c r="AT16" s="77">
        <f t="shared" si="18"/>
        <v>32022.636339577297</v>
      </c>
      <c r="AU16" s="77">
        <f t="shared" si="18"/>
        <v>32279.730307821759</v>
      </c>
      <c r="AV16" s="77">
        <f t="shared" si="18"/>
        <v>32532.578635677866</v>
      </c>
      <c r="AW16" s="77">
        <f t="shared" si="18"/>
        <v>32788.3850025192</v>
      </c>
      <c r="AX16" s="77">
        <f t="shared" si="18"/>
        <v>33048.846301004174</v>
      </c>
      <c r="AY16" s="77">
        <f t="shared" si="18"/>
        <v>33910.969307796244</v>
      </c>
      <c r="AZ16" s="77">
        <f t="shared" si="18"/>
        <v>34288.63590144003</v>
      </c>
      <c r="BA16" s="77">
        <f t="shared" si="18"/>
        <v>34690.417020163688</v>
      </c>
      <c r="BB16" s="77">
        <f t="shared" si="18"/>
        <v>35121.984697060856</v>
      </c>
      <c r="BC16" s="77">
        <f t="shared" si="18"/>
        <v>35588.704635969189</v>
      </c>
      <c r="BD16" s="77">
        <f t="shared" si="18"/>
        <v>36096.676302962187</v>
      </c>
      <c r="BE16" s="77">
        <f t="shared" si="18"/>
        <v>36533.817701995373</v>
      </c>
      <c r="BF16" s="77">
        <f t="shared" si="18"/>
        <v>36982.854062106446</v>
      </c>
      <c r="BZ16" s="69" t="s">
        <v>10</v>
      </c>
    </row>
    <row r="17" spans="1:115">
      <c r="A17" s="69" t="s">
        <v>38</v>
      </c>
      <c r="B17" s="76">
        <f>'Monthly Ethanol Data'!$B159</f>
        <v>2347</v>
      </c>
      <c r="C17" s="76">
        <f>'Monthly Ethanol Data'!$B171</f>
        <v>2625</v>
      </c>
      <c r="D17" s="76">
        <f>'Monthly Ethanol Data'!$B183</f>
        <v>2600</v>
      </c>
      <c r="E17" s="76">
        <f>'Monthly Ethanol Data'!$B195</f>
        <v>2458</v>
      </c>
      <c r="F17" s="76">
        <f>'Monthly Ethanol Data'!$B207</f>
        <v>2930</v>
      </c>
      <c r="G17" s="76">
        <f>'Monthly Ethanol Data'!$B219</f>
        <v>2917</v>
      </c>
      <c r="H17" s="76">
        <f>'Monthly Ethanol Data'!$B231</f>
        <v>3195</v>
      </c>
      <c r="I17" s="76">
        <f>'Monthly Ethanol Data'!$B243</f>
        <v>3429</v>
      </c>
      <c r="J17" s="76">
        <f>'Monthly Ethanol Data'!$B255</f>
        <v>3743</v>
      </c>
      <c r="K17" s="76">
        <f>'Monthly Ethanol Data'!$B267</f>
        <v>4939</v>
      </c>
      <c r="L17" s="76">
        <f>'Monthly Ethanol Data'!$B279</f>
        <v>5829</v>
      </c>
      <c r="M17" s="76">
        <f>'Monthly Ethanol Data'!$B291</f>
        <v>7007</v>
      </c>
      <c r="N17" s="76">
        <f>'Monthly Ethanol Data'!$B303</f>
        <v>8335</v>
      </c>
      <c r="O17" s="76">
        <f>'Monthly Ethanol Data'!$B315</f>
        <v>10512</v>
      </c>
      <c r="P17" s="76">
        <f>'Monthly Ethanol Data'!$B327</f>
        <v>14221</v>
      </c>
      <c r="Q17" s="76">
        <f>'Monthly Ethanol Data'!$B339</f>
        <v>20048</v>
      </c>
      <c r="R17" s="76">
        <f>'Monthly Ethanol Data'!$B351</f>
        <v>23467</v>
      </c>
      <c r="S17" s="76">
        <f>'Monthly Ethanol Data'!$B363</f>
        <v>27471</v>
      </c>
      <c r="T17" s="76">
        <f>'Monthly Ethanol Data'!$B375</f>
        <v>28013</v>
      </c>
      <c r="U17" s="76">
        <f>'Monthly Ethanol Data'!$B387</f>
        <v>24976</v>
      </c>
      <c r="V17" s="76">
        <f>'Monthly Ethanol Data'!$B399</f>
        <v>27995</v>
      </c>
      <c r="W17" s="76">
        <f>'Monthly Ethanol Data'!$B411</f>
        <v>28644</v>
      </c>
      <c r="X17" s="76">
        <f>'Monthly Ethanol Data'!$B423</f>
        <v>29886</v>
      </c>
      <c r="Y17" s="76">
        <f>'Monthly Ethanol Data'!$B435</f>
        <v>31006</v>
      </c>
      <c r="Z17" s="76">
        <f>'Monthly Ethanol Data'!$B447</f>
        <v>32076</v>
      </c>
      <c r="AA17" s="76">
        <f>'Monthly Ethanol Data'!$B459</f>
        <v>32380</v>
      </c>
      <c r="AB17" s="76">
        <f>'Monthly Ethanol Data'!$B471</f>
        <v>30941</v>
      </c>
      <c r="AC17" s="76">
        <f>'Monthly Ethanol Data'!$B483</f>
        <v>29614</v>
      </c>
      <c r="AD17" s="76">
        <f>'Monthly Ethanol Data'!$B495</f>
        <v>32276</v>
      </c>
      <c r="AE17" s="76">
        <f>'Monthly Ethanol Data'!$B507</f>
        <v>31440</v>
      </c>
      <c r="AF17" s="76">
        <f>'Monthly Ethanol Data'!$B519</f>
        <v>31858</v>
      </c>
      <c r="AG17" s="87">
        <f>'Monthly Ethanol Data'!$B531</f>
        <v>32539</v>
      </c>
      <c r="AH17" s="88">
        <f>'Monthly Ethanol Data'!$B543</f>
        <v>37990.5</v>
      </c>
      <c r="AI17" s="77">
        <f t="shared" si="18"/>
        <v>32530.094729973021</v>
      </c>
      <c r="AJ17" s="77">
        <f t="shared" si="18"/>
        <v>32702.592760497068</v>
      </c>
      <c r="AK17" s="77">
        <f t="shared" si="18"/>
        <v>33107.817622409377</v>
      </c>
      <c r="AL17" s="77">
        <f t="shared" si="18"/>
        <v>33203.009938007694</v>
      </c>
      <c r="AM17" s="77">
        <f t="shared" si="18"/>
        <v>33436.209968577205</v>
      </c>
      <c r="AN17" s="77">
        <f t="shared" si="18"/>
        <v>33753.616210745575</v>
      </c>
      <c r="AO17" s="77">
        <f t="shared" si="18"/>
        <v>34003.573534684365</v>
      </c>
      <c r="AP17" s="77">
        <f t="shared" si="18"/>
        <v>34270.152343471011</v>
      </c>
      <c r="AQ17" s="77">
        <f t="shared" si="18"/>
        <v>34508.084545273152</v>
      </c>
      <c r="AR17" s="77">
        <f t="shared" si="18"/>
        <v>34775.360562375972</v>
      </c>
      <c r="AS17" s="77">
        <f t="shared" si="18"/>
        <v>35049.861346975398</v>
      </c>
      <c r="AT17" s="77">
        <f t="shared" si="18"/>
        <v>35315.256533724132</v>
      </c>
      <c r="AU17" s="77">
        <f t="shared" si="18"/>
        <v>35583.927840484648</v>
      </c>
      <c r="AV17" s="77">
        <f t="shared" si="18"/>
        <v>35853.006907963929</v>
      </c>
      <c r="AW17" s="77">
        <f t="shared" si="18"/>
        <v>36128.492296504344</v>
      </c>
      <c r="AX17" s="77">
        <f t="shared" si="18"/>
        <v>36405.669199735006</v>
      </c>
      <c r="AY17" s="77">
        <f t="shared" si="18"/>
        <v>38554.712979491946</v>
      </c>
      <c r="AZ17" s="77">
        <f t="shared" si="18"/>
        <v>39202.604268645511</v>
      </c>
      <c r="BA17" s="77">
        <f t="shared" si="18"/>
        <v>39926.339554277678</v>
      </c>
      <c r="BB17" s="77">
        <f t="shared" si="18"/>
        <v>40741.006083540422</v>
      </c>
      <c r="BC17" s="77">
        <f t="shared" si="18"/>
        <v>41663.508840947638</v>
      </c>
      <c r="BD17" s="77">
        <f t="shared" si="18"/>
        <v>42715.076769190164</v>
      </c>
      <c r="BE17" s="77">
        <f t="shared" si="18"/>
        <v>43547.149527129804</v>
      </c>
      <c r="BF17" s="77">
        <f t="shared" si="18"/>
        <v>44416.058578826669</v>
      </c>
      <c r="BZ17" s="69" t="s">
        <v>11</v>
      </c>
    </row>
    <row r="18" spans="1:115">
      <c r="A18" s="69" t="s">
        <v>39</v>
      </c>
      <c r="B18" s="76">
        <f>'Monthly Ethanol Data'!$B160</f>
        <v>2428</v>
      </c>
      <c r="C18" s="76">
        <f>'Monthly Ethanol Data'!$B172</f>
        <v>2892</v>
      </c>
      <c r="D18" s="76">
        <f>'Monthly Ethanol Data'!$B184</f>
        <v>2451</v>
      </c>
      <c r="E18" s="76">
        <f>'Monthly Ethanol Data'!$B196</f>
        <v>2324</v>
      </c>
      <c r="F18" s="76">
        <f>'Monthly Ethanol Data'!$B208</f>
        <v>2457</v>
      </c>
      <c r="G18" s="76">
        <f>'Monthly Ethanol Data'!$B220</f>
        <v>2940</v>
      </c>
      <c r="H18" s="76">
        <f>'Monthly Ethanol Data'!$B232</f>
        <v>2995</v>
      </c>
      <c r="I18" s="76">
        <f>'Monthly Ethanol Data'!$B244</f>
        <v>3297</v>
      </c>
      <c r="J18" s="76">
        <f>'Monthly Ethanol Data'!$B256</f>
        <v>3794</v>
      </c>
      <c r="K18" s="76">
        <f>'Monthly Ethanol Data'!$B268</f>
        <v>4965</v>
      </c>
      <c r="L18" s="76">
        <f>'Monthly Ethanol Data'!$B280</f>
        <v>5806</v>
      </c>
      <c r="M18" s="76">
        <f>'Monthly Ethanol Data'!$B292</f>
        <v>6946</v>
      </c>
      <c r="N18" s="76">
        <f>'Monthly Ethanol Data'!$B304</f>
        <v>8259</v>
      </c>
      <c r="O18" s="76">
        <f>'Monthly Ethanol Data'!$B316</f>
        <v>10442</v>
      </c>
      <c r="P18" s="76">
        <f>'Monthly Ethanol Data'!$B328</f>
        <v>14568</v>
      </c>
      <c r="Q18" s="76">
        <f>'Monthly Ethanol Data'!$B340</f>
        <v>20139</v>
      </c>
      <c r="R18" s="76">
        <f>'Monthly Ethanol Data'!$B352</f>
        <v>24122</v>
      </c>
      <c r="S18" s="76">
        <f>'Monthly Ethanol Data'!$B364</f>
        <v>27747</v>
      </c>
      <c r="T18" s="76">
        <f>'Monthly Ethanol Data'!$B376</f>
        <v>28383</v>
      </c>
      <c r="U18" s="76">
        <f>'Monthly Ethanol Data'!$B388</f>
        <v>24744</v>
      </c>
      <c r="V18" s="76">
        <f>'Monthly Ethanol Data'!$B400</f>
        <v>27915</v>
      </c>
      <c r="W18" s="76">
        <f>'Monthly Ethanol Data'!$B412</f>
        <v>28588</v>
      </c>
      <c r="X18" s="76">
        <f>'Monthly Ethanol Data'!$B424</f>
        <v>29675</v>
      </c>
      <c r="Y18" s="76">
        <f>'Monthly Ethanol Data'!$B436</f>
        <v>30706</v>
      </c>
      <c r="Z18" s="76">
        <f>'Monthly Ethanol Data'!$B448</f>
        <v>32469</v>
      </c>
      <c r="AA18" s="76">
        <f>'Monthly Ethanol Data'!$B460</f>
        <v>31514</v>
      </c>
      <c r="AB18" s="76">
        <f>'Monthly Ethanol Data'!$B472</f>
        <v>31358</v>
      </c>
      <c r="AC18" s="76">
        <f>'Monthly Ethanol Data'!$B484</f>
        <v>29915</v>
      </c>
      <c r="AD18" s="76">
        <f>'Monthly Ethanol Data'!$B496</f>
        <v>32383</v>
      </c>
      <c r="AE18" s="76">
        <f>'Monthly Ethanol Data'!$B508</f>
        <v>31580</v>
      </c>
      <c r="AF18" s="76">
        <f>'Monthly Ethanol Data'!$B520</f>
        <v>31603</v>
      </c>
      <c r="AG18" s="87">
        <f>'Monthly Ethanol Data'!$B532</f>
        <v>33383</v>
      </c>
      <c r="AH18" s="88">
        <f>'Monthly Ethanol Data'!$B544</f>
        <v>36085.71428571429</v>
      </c>
      <c r="AI18" s="77">
        <f t="shared" si="18"/>
        <v>32008.487723692211</v>
      </c>
      <c r="AJ18" s="77">
        <f t="shared" si="18"/>
        <v>31859.291587683216</v>
      </c>
      <c r="AK18" s="77">
        <f t="shared" si="18"/>
        <v>31967.766410407381</v>
      </c>
      <c r="AL18" s="77">
        <f t="shared" si="18"/>
        <v>32178.780002437194</v>
      </c>
      <c r="AM18" s="77">
        <f t="shared" si="18"/>
        <v>32621.692647509954</v>
      </c>
      <c r="AN18" s="77">
        <f t="shared" si="18"/>
        <v>32869.589815171887</v>
      </c>
      <c r="AO18" s="77">
        <f t="shared" si="18"/>
        <v>33045.270056740934</v>
      </c>
      <c r="AP18" s="77">
        <f t="shared" si="18"/>
        <v>33288.276563489591</v>
      </c>
      <c r="AQ18" s="77">
        <f t="shared" si="18"/>
        <v>33558.641337057918</v>
      </c>
      <c r="AR18" s="77">
        <f t="shared" si="18"/>
        <v>33841.253466030161</v>
      </c>
      <c r="AS18" s="77">
        <f t="shared" si="18"/>
        <v>34091.239694210155</v>
      </c>
      <c r="AT18" s="77">
        <f t="shared" si="18"/>
        <v>34341.350625678948</v>
      </c>
      <c r="AU18" s="77">
        <f t="shared" si="18"/>
        <v>34606.828185268154</v>
      </c>
      <c r="AV18" s="77">
        <f t="shared" si="18"/>
        <v>34876.891257586765</v>
      </c>
      <c r="AW18" s="77">
        <f t="shared" si="18"/>
        <v>35146.91360675059</v>
      </c>
      <c r="AX18" s="77">
        <f t="shared" si="18"/>
        <v>35414.36378559289</v>
      </c>
      <c r="AY18" s="77">
        <f t="shared" si="18"/>
        <v>37317.204863604042</v>
      </c>
      <c r="AZ18" s="77">
        <f t="shared" si="18"/>
        <v>37912.375711189059</v>
      </c>
      <c r="BA18" s="77">
        <f t="shared" si="18"/>
        <v>38573.485216373243</v>
      </c>
      <c r="BB18" s="77">
        <f t="shared" si="18"/>
        <v>39312.804008130537</v>
      </c>
      <c r="BC18" s="77">
        <f t="shared" si="18"/>
        <v>40145.982088406519</v>
      </c>
      <c r="BD18" s="77">
        <f t="shared" si="18"/>
        <v>41092.305748969251</v>
      </c>
      <c r="BE18" s="77">
        <f t="shared" si="18"/>
        <v>41847.325926042293</v>
      </c>
      <c r="BF18" s="77">
        <f t="shared" si="18"/>
        <v>42634.31596901294</v>
      </c>
      <c r="BZ18" s="69" t="s">
        <v>12</v>
      </c>
    </row>
    <row r="19" spans="1:115">
      <c r="A19" s="69" t="s">
        <v>40</v>
      </c>
      <c r="B19" s="76">
        <f>'Monthly Ethanol Data'!$B161</f>
        <v>2592</v>
      </c>
      <c r="C19" s="76">
        <f>'Monthly Ethanol Data'!$B173</f>
        <v>3026</v>
      </c>
      <c r="D19" s="76">
        <f>'Monthly Ethanol Data'!$B185</f>
        <v>2812</v>
      </c>
      <c r="E19" s="76">
        <f>'Monthly Ethanol Data'!$B197</f>
        <v>2457</v>
      </c>
      <c r="F19" s="76">
        <f>'Monthly Ethanol Data'!$B209</f>
        <v>3130</v>
      </c>
      <c r="G19" s="76">
        <f>'Monthly Ethanol Data'!$B221</f>
        <v>3431</v>
      </c>
      <c r="H19" s="76">
        <f>'Monthly Ethanol Data'!$B233</f>
        <v>3473</v>
      </c>
      <c r="I19" s="76">
        <f>'Monthly Ethanol Data'!$B245</f>
        <v>3565</v>
      </c>
      <c r="J19" s="76">
        <f>'Monthly Ethanol Data'!$B257</f>
        <v>3836</v>
      </c>
      <c r="K19" s="76">
        <f>'Monthly Ethanol Data'!$B269</f>
        <v>5451</v>
      </c>
      <c r="L19" s="76">
        <f>'Monthly Ethanol Data'!$B281</f>
        <v>6423</v>
      </c>
      <c r="M19" s="76">
        <f>'Monthly Ethanol Data'!$B293</f>
        <v>7229</v>
      </c>
      <c r="N19" s="76">
        <f>'Monthly Ethanol Data'!$B305</f>
        <v>8676</v>
      </c>
      <c r="O19" s="76">
        <f>'Monthly Ethanol Data'!$B317</f>
        <v>11215</v>
      </c>
      <c r="P19" s="76">
        <f>'Monthly Ethanol Data'!$B329</f>
        <v>15258</v>
      </c>
      <c r="Q19" s="76">
        <f>'Monthly Ethanol Data'!$B341</f>
        <v>20342</v>
      </c>
      <c r="R19" s="76">
        <f>'Monthly Ethanol Data'!$B353</f>
        <v>25134</v>
      </c>
      <c r="S19" s="76">
        <f>'Monthly Ethanol Data'!$B365</f>
        <v>28457</v>
      </c>
      <c r="T19" s="76">
        <f>'Monthly Ethanol Data'!$B377</f>
        <v>29718</v>
      </c>
      <c r="U19" s="76">
        <f>'Monthly Ethanol Data'!$B389</f>
        <v>25582</v>
      </c>
      <c r="V19" s="76">
        <f>'Monthly Ethanol Data'!$B401</f>
        <v>29405</v>
      </c>
      <c r="W19" s="76">
        <f>'Monthly Ethanol Data'!$B413</f>
        <v>30831</v>
      </c>
      <c r="X19" s="76">
        <f>'Monthly Ethanol Data'!$B425</f>
        <v>31081</v>
      </c>
      <c r="Y19" s="76">
        <f>'Monthly Ethanol Data'!$B437</f>
        <v>32680</v>
      </c>
      <c r="Z19" s="76">
        <f>'Monthly Ethanol Data'!$B449</f>
        <v>32809</v>
      </c>
      <c r="AA19" s="76">
        <f>'Monthly Ethanol Data'!$B461</f>
        <v>31736</v>
      </c>
      <c r="AB19" s="76">
        <f>'Monthly Ethanol Data'!$B473</f>
        <v>33275</v>
      </c>
      <c r="AC19" s="76">
        <f>'Monthly Ethanol Data'!$B485</f>
        <v>30108</v>
      </c>
      <c r="AD19" s="76">
        <f>'Monthly Ethanol Data'!$B497</f>
        <v>33132</v>
      </c>
      <c r="AE19" s="76">
        <f>'Monthly Ethanol Data'!$B509</f>
        <v>30046</v>
      </c>
      <c r="AF19" s="76">
        <f>'Monthly Ethanol Data'!$B521</f>
        <v>33530</v>
      </c>
      <c r="AG19" s="87">
        <f>'Monthly Ethanol Data'!$B533</f>
        <v>34184</v>
      </c>
      <c r="AH19" s="77">
        <f t="shared" ref="AH19:AL27" si="19">AH35/42*1000</f>
        <v>32647.766831122204</v>
      </c>
      <c r="AI19" s="77">
        <f t="shared" si="19"/>
        <v>33102.286576378167</v>
      </c>
      <c r="AJ19" s="77">
        <f t="shared" si="19"/>
        <v>32830.337184548589</v>
      </c>
      <c r="AK19" s="77">
        <f t="shared" si="19"/>
        <v>33317.81092048053</v>
      </c>
      <c r="AL19" s="77">
        <f t="shared" si="19"/>
        <v>33591.10971190792</v>
      </c>
      <c r="AM19" s="77">
        <f t="shared" si="18"/>
        <v>33718.155932136295</v>
      </c>
      <c r="AN19" s="77">
        <f t="shared" si="18"/>
        <v>34071.812031050671</v>
      </c>
      <c r="AO19" s="77">
        <f t="shared" si="18"/>
        <v>34269.698764563589</v>
      </c>
      <c r="AP19" s="77">
        <f t="shared" si="18"/>
        <v>34564.644798447182</v>
      </c>
      <c r="AQ19" s="77">
        <f t="shared" si="18"/>
        <v>34819.898003105423</v>
      </c>
      <c r="AR19" s="77">
        <f t="shared" si="18"/>
        <v>35071.535336618319</v>
      </c>
      <c r="AS19" s="77">
        <f t="shared" si="18"/>
        <v>35348.952872106085</v>
      </c>
      <c r="AT19" s="77">
        <f t="shared" si="18"/>
        <v>35610.431183258901</v>
      </c>
      <c r="AU19" s="77">
        <f t="shared" si="18"/>
        <v>35885.056836275216</v>
      </c>
      <c r="AV19" s="77">
        <f t="shared" si="18"/>
        <v>36155.495799007942</v>
      </c>
      <c r="AW19" s="77">
        <f t="shared" si="18"/>
        <v>36429.069333536041</v>
      </c>
      <c r="AX19" s="77">
        <f t="shared" si="18"/>
        <v>36707.148209938168</v>
      </c>
      <c r="AY19" s="77">
        <f t="shared" si="18"/>
        <v>39082.871634308023</v>
      </c>
      <c r="AZ19" s="77">
        <f t="shared" si="18"/>
        <v>39777.359724517846</v>
      </c>
      <c r="BA19" s="77">
        <f t="shared" si="18"/>
        <v>40555.820302166365</v>
      </c>
      <c r="BB19" s="77">
        <f t="shared" si="18"/>
        <v>41435.885202798054</v>
      </c>
      <c r="BC19" s="77">
        <f t="shared" si="18"/>
        <v>42437.248376650459</v>
      </c>
      <c r="BD19" s="77">
        <f t="shared" si="18"/>
        <v>43583.268409992917</v>
      </c>
      <c r="BE19" s="77">
        <f t="shared" si="18"/>
        <v>44483.347765129889</v>
      </c>
      <c r="BF19" s="77">
        <f t="shared" si="18"/>
        <v>45424.545373252309</v>
      </c>
      <c r="BZ19" s="69" t="s">
        <v>13</v>
      </c>
    </row>
    <row r="20" spans="1:115">
      <c r="A20" s="69" t="s">
        <v>30</v>
      </c>
      <c r="B20" s="76">
        <f>'Monthly Ethanol Data'!$B162</f>
        <v>2704</v>
      </c>
      <c r="C20" s="76">
        <f>'Monthly Ethanol Data'!$B174</f>
        <v>3017</v>
      </c>
      <c r="D20" s="76">
        <f>'Monthly Ethanol Data'!$B186</f>
        <v>2640</v>
      </c>
      <c r="E20" s="76">
        <f>'Monthly Ethanol Data'!$B198</f>
        <v>2396</v>
      </c>
      <c r="F20" s="76">
        <f>'Monthly Ethanol Data'!$B210</f>
        <v>3218</v>
      </c>
      <c r="G20" s="76">
        <f>'Monthly Ethanol Data'!$B222</f>
        <v>3170</v>
      </c>
      <c r="H20" s="76">
        <f>'Monthly Ethanol Data'!$B234</f>
        <v>3204</v>
      </c>
      <c r="I20" s="76">
        <f>'Monthly Ethanol Data'!$B246</f>
        <v>3574</v>
      </c>
      <c r="J20" s="76">
        <f>'Monthly Ethanol Data'!$B258</f>
        <v>4189</v>
      </c>
      <c r="K20" s="76">
        <f>'Monthly Ethanol Data'!$B270</f>
        <v>5497</v>
      </c>
      <c r="L20" s="76">
        <f>'Monthly Ethanol Data'!$B282</f>
        <v>6551</v>
      </c>
      <c r="M20" s="76">
        <f>'Monthly Ethanol Data'!$B294</f>
        <v>7461</v>
      </c>
      <c r="N20" s="76">
        <f>'Monthly Ethanol Data'!$B306</f>
        <v>8935</v>
      </c>
      <c r="O20" s="76">
        <f>'Monthly Ethanol Data'!$B318</f>
        <v>11621</v>
      </c>
      <c r="P20" s="76">
        <f>'Monthly Ethanol Data'!$B330</f>
        <v>16058</v>
      </c>
      <c r="Q20" s="76">
        <f>'Monthly Ethanol Data'!$B342</f>
        <v>19561</v>
      </c>
      <c r="R20" s="76">
        <f>'Monthly Ethanol Data'!$B354</f>
        <v>25625</v>
      </c>
      <c r="S20" s="76">
        <f>'Monthly Ethanol Data'!$B366</f>
        <v>28467</v>
      </c>
      <c r="T20" s="76">
        <f>'Monthly Ethanol Data'!$B378</f>
        <v>29038</v>
      </c>
      <c r="U20" s="76">
        <f>'Monthly Ethanol Data'!$B390</f>
        <v>24778</v>
      </c>
      <c r="V20" s="76">
        <f>'Monthly Ethanol Data'!$B402</f>
        <v>28194</v>
      </c>
      <c r="W20" s="76">
        <f>'Monthly Ethanol Data'!$B414</f>
        <v>29770</v>
      </c>
      <c r="X20" s="76">
        <f>'Monthly Ethanol Data'!$B426</f>
        <v>30452</v>
      </c>
      <c r="Y20" s="76">
        <f>'Monthly Ethanol Data'!$B438</f>
        <v>32577</v>
      </c>
      <c r="Z20" s="76">
        <f>'Monthly Ethanol Data'!$B450</f>
        <v>32428</v>
      </c>
      <c r="AA20" s="76">
        <f>'Monthly Ethanol Data'!$B462</f>
        <v>31601</v>
      </c>
      <c r="AB20" s="76">
        <f>'Monthly Ethanol Data'!$B474</f>
        <v>33346</v>
      </c>
      <c r="AC20" s="76">
        <f>'Monthly Ethanol Data'!$B486</f>
        <v>28809</v>
      </c>
      <c r="AD20" s="76">
        <f>'Monthly Ethanol Data'!$B498</f>
        <v>32191</v>
      </c>
      <c r="AE20" s="76">
        <f>'Monthly Ethanol Data'!$B510</f>
        <v>31064</v>
      </c>
      <c r="AF20" s="76">
        <f>'Monthly Ethanol Data'!$B522</f>
        <v>30843</v>
      </c>
      <c r="AG20" s="87">
        <f>'Monthly Ethanol Data'!$B534</f>
        <v>33596</v>
      </c>
      <c r="AH20" s="77">
        <f t="shared" si="19"/>
        <v>31405.079004454863</v>
      </c>
      <c r="AI20" s="77">
        <f t="shared" si="19"/>
        <v>31844.640789306337</v>
      </c>
      <c r="AJ20" s="77">
        <f t="shared" si="19"/>
        <v>32063.524279094963</v>
      </c>
      <c r="AK20" s="77">
        <f t="shared" si="19"/>
        <v>32326.367078251507</v>
      </c>
      <c r="AL20" s="77">
        <f t="shared" si="19"/>
        <v>32635.175793899947</v>
      </c>
      <c r="AM20" s="77">
        <f t="shared" si="18"/>
        <v>32783.396132192283</v>
      </c>
      <c r="AN20" s="77">
        <f t="shared" si="18"/>
        <v>33065.119053336348</v>
      </c>
      <c r="AO20" s="77">
        <f t="shared" si="18"/>
        <v>33315.199564312417</v>
      </c>
      <c r="AP20" s="77">
        <f t="shared" si="18"/>
        <v>33571.45859794235</v>
      </c>
      <c r="AQ20" s="77">
        <f t="shared" si="18"/>
        <v>33826.447865823735</v>
      </c>
      <c r="AR20" s="77">
        <f t="shared" si="18"/>
        <v>34070.635358544096</v>
      </c>
      <c r="AS20" s="77">
        <f t="shared" si="18"/>
        <v>34334.196403927155</v>
      </c>
      <c r="AT20" s="77">
        <f t="shared" si="18"/>
        <v>34594.141771013397</v>
      </c>
      <c r="AU20" s="77">
        <f t="shared" si="18"/>
        <v>34856.088893468928</v>
      </c>
      <c r="AV20" s="77">
        <f t="shared" si="18"/>
        <v>35119.222831259787</v>
      </c>
      <c r="AW20" s="77">
        <f t="shared" si="18"/>
        <v>35384.03472372282</v>
      </c>
      <c r="AX20" s="77">
        <f>AX36/42*1000</f>
        <v>37782.968286583178</v>
      </c>
      <c r="AY20" s="77">
        <f t="shared" si="18"/>
        <v>38606.280886923902</v>
      </c>
      <c r="AZ20" s="77">
        <f t="shared" si="18"/>
        <v>39408.70871010601</v>
      </c>
      <c r="BA20" s="77">
        <f t="shared" si="18"/>
        <v>40319.232673433427</v>
      </c>
      <c r="BB20" s="77">
        <f t="shared" si="18"/>
        <v>41359.234641868155</v>
      </c>
      <c r="BC20" s="77">
        <f t="shared" si="18"/>
        <v>42554.27462549723</v>
      </c>
      <c r="BD20" s="77">
        <f t="shared" si="18"/>
        <v>43508.53589328003</v>
      </c>
      <c r="BE20" s="77">
        <f t="shared" si="18"/>
        <v>44488.986894551257</v>
      </c>
      <c r="BF20" s="77">
        <f t="shared" si="18"/>
        <v>45505.042531440304</v>
      </c>
      <c r="BZ20" s="69" t="s">
        <v>14</v>
      </c>
    </row>
    <row r="21" spans="1:115">
      <c r="A21" s="69" t="s">
        <v>31</v>
      </c>
      <c r="B21" s="76">
        <f>'Monthly Ethanol Data'!$B163</f>
        <v>2162</v>
      </c>
      <c r="C21" s="76">
        <f>'Monthly Ethanol Data'!$B175</f>
        <v>2742</v>
      </c>
      <c r="D21" s="76">
        <f>'Monthly Ethanol Data'!$B187</f>
        <v>2104</v>
      </c>
      <c r="E21" s="76">
        <f>'Monthly Ethanol Data'!$B199</f>
        <v>2283</v>
      </c>
      <c r="F21" s="76">
        <f>'Monthly Ethanol Data'!$B211</f>
        <v>2322</v>
      </c>
      <c r="G21" s="76">
        <f>'Monthly Ethanol Data'!$B223</f>
        <v>2551</v>
      </c>
      <c r="H21" s="76">
        <f>'Monthly Ethanol Data'!$B235</f>
        <v>3025</v>
      </c>
      <c r="I21" s="76">
        <f>'Monthly Ethanol Data'!$B247</f>
        <v>3249</v>
      </c>
      <c r="J21" s="76">
        <f>'Monthly Ethanol Data'!$B259</f>
        <v>3429</v>
      </c>
      <c r="K21" s="76">
        <f>'Monthly Ethanol Data'!$B271</f>
        <v>4734</v>
      </c>
      <c r="L21" s="76">
        <f>'Monthly Ethanol Data'!$B283</f>
        <v>6155</v>
      </c>
      <c r="M21" s="76">
        <f>'Monthly Ethanol Data'!$B295</f>
        <v>6847</v>
      </c>
      <c r="N21" s="76">
        <f>'Monthly Ethanol Data'!$B307</f>
        <v>8463</v>
      </c>
      <c r="O21" s="76">
        <f>'Monthly Ethanol Data'!$B319</f>
        <v>10795</v>
      </c>
      <c r="P21" s="76">
        <f>'Monthly Ethanol Data'!$B331</f>
        <v>15527</v>
      </c>
      <c r="Q21" s="76">
        <f>'Monthly Ethanol Data'!$B343</f>
        <v>18255</v>
      </c>
      <c r="R21" s="76">
        <f>'Monthly Ethanol Data'!$B355</f>
        <v>23802</v>
      </c>
      <c r="S21" s="76">
        <f>'Monthly Ethanol Data'!$B367</f>
        <v>25300</v>
      </c>
      <c r="T21" s="76">
        <f>'Monthly Ethanol Data'!$B379</f>
        <v>26647</v>
      </c>
      <c r="U21" s="76">
        <f>'Monthly Ethanol Data'!$B391</f>
        <v>22494</v>
      </c>
      <c r="V21" s="76">
        <f>'Monthly Ethanol Data'!$B403</f>
        <v>25269</v>
      </c>
      <c r="W21" s="76">
        <f>'Monthly Ethanol Data'!$B415</f>
        <v>26814</v>
      </c>
      <c r="X21" s="76">
        <f>'Monthly Ethanol Data'!$B427</f>
        <v>28810</v>
      </c>
      <c r="Y21" s="76">
        <f>'Monthly Ethanol Data'!$B439</f>
        <v>29052</v>
      </c>
      <c r="Z21" s="76">
        <f>'Monthly Ethanol Data'!$B451</f>
        <v>29519</v>
      </c>
      <c r="AA21" s="76">
        <f>'Monthly Ethanol Data'!$B463</f>
        <v>28576</v>
      </c>
      <c r="AB21" s="76">
        <f>'Monthly Ethanol Data'!$B475</f>
        <v>30511</v>
      </c>
      <c r="AC21" s="76">
        <f>'Monthly Ethanol Data'!$B487</f>
        <v>22895</v>
      </c>
      <c r="AD21" s="76">
        <f>'Monthly Ethanol Data'!$B499</f>
        <v>28304</v>
      </c>
      <c r="AE21" s="76">
        <f>'Monthly Ethanol Data'!$B511</f>
        <v>27980</v>
      </c>
      <c r="AF21" s="76">
        <f>'Monthly Ethanol Data'!$B523</f>
        <v>31149</v>
      </c>
      <c r="AG21" s="89">
        <f>'Monthly Ethanol Data'!$B535</f>
        <v>30354</v>
      </c>
      <c r="AH21" s="77">
        <f t="shared" si="19"/>
        <v>28996.590380915488</v>
      </c>
      <c r="AI21" s="77">
        <f t="shared" si="19"/>
        <v>29816.307521894381</v>
      </c>
      <c r="AJ21" s="77">
        <f t="shared" si="19"/>
        <v>30261.857897469556</v>
      </c>
      <c r="AK21" s="77">
        <f t="shared" si="19"/>
        <v>30522.416295837036</v>
      </c>
      <c r="AL21" s="77">
        <f t="shared" si="19"/>
        <v>30411.570817510219</v>
      </c>
      <c r="AM21" s="77">
        <f t="shared" si="18"/>
        <v>30675.503091590923</v>
      </c>
      <c r="AN21" s="77">
        <f t="shared" si="18"/>
        <v>31018.908837099178</v>
      </c>
      <c r="AO21" s="77">
        <f t="shared" si="18"/>
        <v>31265.332718165235</v>
      </c>
      <c r="AP21" s="77">
        <f t="shared" si="18"/>
        <v>31470.735829326753</v>
      </c>
      <c r="AQ21" s="77">
        <f t="shared" si="18"/>
        <v>31664.907222498579</v>
      </c>
      <c r="AR21" s="77">
        <f t="shared" si="18"/>
        <v>31921.818283971941</v>
      </c>
      <c r="AS21" s="77">
        <f t="shared" si="18"/>
        <v>32177.012985059733</v>
      </c>
      <c r="AT21" s="77">
        <f t="shared" si="18"/>
        <v>32414.224788409378</v>
      </c>
      <c r="AU21" s="77">
        <f t="shared" si="18"/>
        <v>32649.529377535422</v>
      </c>
      <c r="AV21" s="77">
        <f t="shared" si="18"/>
        <v>32890.982733911136</v>
      </c>
      <c r="AW21" s="77">
        <f t="shared" si="18"/>
        <v>33142.135967820519</v>
      </c>
      <c r="AX21" s="77">
        <f t="shared" si="18"/>
        <v>35713.766756261524</v>
      </c>
      <c r="AY21" s="77">
        <f t="shared" si="18"/>
        <v>36122.3219295495</v>
      </c>
      <c r="AZ21" s="77">
        <f t="shared" si="18"/>
        <v>36863.941357777527</v>
      </c>
      <c r="BA21" s="77">
        <f t="shared" si="18"/>
        <v>37706.823753825949</v>
      </c>
      <c r="BB21" s="77">
        <f t="shared" si="18"/>
        <v>38669.991957808918</v>
      </c>
      <c r="BC21" s="77">
        <f t="shared" si="18"/>
        <v>39775.563155806587</v>
      </c>
      <c r="BD21" s="77">
        <f t="shared" si="18"/>
        <v>40587.922435715598</v>
      </c>
      <c r="BE21" s="77">
        <f t="shared" si="18"/>
        <v>41481.042536948822</v>
      </c>
      <c r="BF21" s="77">
        <f t="shared" si="18"/>
        <v>42404.462772783081</v>
      </c>
      <c r="BZ21" s="69" t="s">
        <v>15</v>
      </c>
    </row>
    <row r="22" spans="1:115">
      <c r="A22" s="69" t="s">
        <v>32</v>
      </c>
      <c r="B22" s="76">
        <f>'Monthly Ethanol Data'!$B164</f>
        <v>2573</v>
      </c>
      <c r="C22" s="76">
        <f>'Monthly Ethanol Data'!$B176</f>
        <v>2969</v>
      </c>
      <c r="D22" s="76">
        <f>'Monthly Ethanol Data'!$B188</f>
        <v>2318</v>
      </c>
      <c r="E22" s="76">
        <f>'Monthly Ethanol Data'!$B200</f>
        <v>2627</v>
      </c>
      <c r="F22" s="76">
        <f>'Monthly Ethanol Data'!$B212</f>
        <v>2529</v>
      </c>
      <c r="G22" s="76">
        <f>'Monthly Ethanol Data'!$B224</f>
        <v>2928</v>
      </c>
      <c r="H22" s="76">
        <f>'Monthly Ethanol Data'!$B236</f>
        <v>3231</v>
      </c>
      <c r="I22" s="76">
        <f>'Monthly Ethanol Data'!$B248</f>
        <v>3500</v>
      </c>
      <c r="J22" s="76">
        <f>'Monthly Ethanol Data'!$B260</f>
        <v>3968</v>
      </c>
      <c r="K22" s="76">
        <f>'Monthly Ethanol Data'!$B272</f>
        <v>5430</v>
      </c>
      <c r="L22" s="76">
        <f>'Monthly Ethanol Data'!$B284</f>
        <v>6648</v>
      </c>
      <c r="M22" s="76">
        <f>'Monthly Ethanol Data'!$B296</f>
        <v>7530</v>
      </c>
      <c r="N22" s="76">
        <f>'Monthly Ethanol Data'!$B308</f>
        <v>9333</v>
      </c>
      <c r="O22" s="76">
        <f>'Monthly Ethanol Data'!$B320</f>
        <v>11892</v>
      </c>
      <c r="P22" s="76">
        <f>'Monthly Ethanol Data'!$B332</f>
        <v>17527</v>
      </c>
      <c r="Q22" s="76">
        <f>'Monthly Ethanol Data'!$B344</f>
        <v>20121</v>
      </c>
      <c r="R22" s="76">
        <f>'Monthly Ethanol Data'!$B356</f>
        <v>26486</v>
      </c>
      <c r="S22" s="76">
        <f>'Monthly Ethanol Data'!$B368</f>
        <v>28178</v>
      </c>
      <c r="T22" s="76">
        <f>'Monthly Ethanol Data'!$B380</f>
        <v>27548</v>
      </c>
      <c r="U22" s="76">
        <f>'Monthly Ethanol Data'!$B392</f>
        <v>25620</v>
      </c>
      <c r="V22" s="76">
        <f>'Monthly Ethanol Data'!$B404</f>
        <v>28120</v>
      </c>
      <c r="W22" s="76">
        <f>'Monthly Ethanol Data'!$B416</f>
        <v>29485</v>
      </c>
      <c r="X22" s="76">
        <f>'Monthly Ethanol Data'!$B428</f>
        <v>30957</v>
      </c>
      <c r="Y22" s="76">
        <f>'Monthly Ethanol Data'!$B440</f>
        <v>32161</v>
      </c>
      <c r="Z22" s="76">
        <f>'Monthly Ethanol Data'!$B452</f>
        <v>32216</v>
      </c>
      <c r="AA22" s="76">
        <f>'Monthly Ethanol Data'!$B464</f>
        <v>30895</v>
      </c>
      <c r="AB22" s="76">
        <f>'Monthly Ethanol Data'!$B476</f>
        <v>29409</v>
      </c>
      <c r="AC22" s="76">
        <f>'Monthly Ethanol Data'!$B488</f>
        <v>29327</v>
      </c>
      <c r="AD22" s="76">
        <f>'Monthly Ethanol Data'!$B500</f>
        <v>31581</v>
      </c>
      <c r="AE22" s="76">
        <f>'Monthly Ethanol Data'!$B512</f>
        <v>30602</v>
      </c>
      <c r="AF22" s="76">
        <f>'Monthly Ethanol Data'!$B524</f>
        <v>33129</v>
      </c>
      <c r="AG22" s="89">
        <f>'Monthly Ethanol Data'!$B536</f>
        <v>32683</v>
      </c>
      <c r="AH22" s="77">
        <f t="shared" si="19"/>
        <v>31789.349869946458</v>
      </c>
      <c r="AI22" s="77">
        <f t="shared" si="19"/>
        <v>31842.678768623151</v>
      </c>
      <c r="AJ22" s="77">
        <f t="shared" si="19"/>
        <v>31836.673324034658</v>
      </c>
      <c r="AK22" s="77">
        <f t="shared" si="19"/>
        <v>32057.796617297576</v>
      </c>
      <c r="AL22" s="77">
        <f t="shared" si="19"/>
        <v>32432.800874522414</v>
      </c>
      <c r="AM22" s="77">
        <f t="shared" si="18"/>
        <v>32722.852833909463</v>
      </c>
      <c r="AN22" s="77">
        <f t="shared" si="18"/>
        <v>32913.387865135483</v>
      </c>
      <c r="AO22" s="77">
        <f t="shared" si="18"/>
        <v>33132.766403589449</v>
      </c>
      <c r="AP22" s="77">
        <f t="shared" si="18"/>
        <v>33398.130947242149</v>
      </c>
      <c r="AQ22" s="77">
        <f t="shared" si="18"/>
        <v>33672.644210162987</v>
      </c>
      <c r="AR22" s="77">
        <f t="shared" si="18"/>
        <v>33926.788372121693</v>
      </c>
      <c r="AS22" s="77">
        <f t="shared" si="18"/>
        <v>34173.272864989995</v>
      </c>
      <c r="AT22" s="77">
        <f t="shared" si="18"/>
        <v>34431.333885755776</v>
      </c>
      <c r="AU22" s="77">
        <f t="shared" si="18"/>
        <v>34697.303903842309</v>
      </c>
      <c r="AV22" s="77">
        <f t="shared" si="18"/>
        <v>34963.418829844493</v>
      </c>
      <c r="AW22" s="77">
        <f t="shared" si="18"/>
        <v>35227.820629213631</v>
      </c>
      <c r="AX22" s="77">
        <f t="shared" si="18"/>
        <v>37458.824027491144</v>
      </c>
      <c r="AY22" s="77">
        <f t="shared" si="18"/>
        <v>37770.141626658035</v>
      </c>
      <c r="AZ22" s="77">
        <f t="shared" si="18"/>
        <v>38437.903174838495</v>
      </c>
      <c r="BA22" s="77">
        <f t="shared" si="18"/>
        <v>39186.023029037729</v>
      </c>
      <c r="BB22" s="77">
        <f t="shared" si="18"/>
        <v>40030.543868876375</v>
      </c>
      <c r="BC22" s="77">
        <f t="shared" si="18"/>
        <v>40991.08851680893</v>
      </c>
      <c r="BD22" s="77">
        <f t="shared" si="18"/>
        <v>41697.54141467248</v>
      </c>
      <c r="BE22" s="77">
        <f t="shared" si="18"/>
        <v>42483.021372275383</v>
      </c>
      <c r="BF22" s="77">
        <f t="shared" si="18"/>
        <v>43292.045011762748</v>
      </c>
      <c r="BZ22" s="69" t="s">
        <v>16</v>
      </c>
    </row>
    <row r="23" spans="1:115">
      <c r="A23" s="69" t="s">
        <v>33</v>
      </c>
      <c r="B23" s="76">
        <f>'Monthly Ethanol Data'!$B165</f>
        <v>2169</v>
      </c>
      <c r="C23" s="76">
        <f>'Monthly Ethanol Data'!$B177</f>
        <v>2877</v>
      </c>
      <c r="D23" s="76">
        <f>'Monthly Ethanol Data'!$B189</f>
        <v>1977</v>
      </c>
      <c r="E23" s="76">
        <f>'Monthly Ethanol Data'!$B201</f>
        <v>2337</v>
      </c>
      <c r="F23" s="76">
        <f>'Monthly Ethanol Data'!$B213</f>
        <v>2886</v>
      </c>
      <c r="G23" s="76">
        <f>'Monthly Ethanol Data'!$B225</f>
        <v>3169</v>
      </c>
      <c r="H23" s="76">
        <f>'Monthly Ethanol Data'!$B237</f>
        <v>3311</v>
      </c>
      <c r="I23" s="76">
        <f>'Monthly Ethanol Data'!$B249</f>
        <v>3226</v>
      </c>
      <c r="J23" s="76">
        <f>'Monthly Ethanol Data'!$B261</f>
        <v>3788</v>
      </c>
      <c r="K23" s="76">
        <f>'Monthly Ethanol Data'!$B273</f>
        <v>5384</v>
      </c>
      <c r="L23" s="76">
        <f>'Monthly Ethanol Data'!$B285</f>
        <v>6525</v>
      </c>
      <c r="M23" s="76">
        <f>'Monthly Ethanol Data'!$B297</f>
        <v>7135</v>
      </c>
      <c r="N23" s="76">
        <f>'Monthly Ethanol Data'!$B309</f>
        <v>8663</v>
      </c>
      <c r="O23" s="76">
        <f>'Monthly Ethanol Data'!$B321</f>
        <v>11716</v>
      </c>
      <c r="P23" s="76">
        <f>'Monthly Ethanol Data'!$B333</f>
        <v>17152</v>
      </c>
      <c r="Q23" s="76">
        <f>'Monthly Ethanol Data'!$B345</f>
        <v>19374</v>
      </c>
      <c r="R23" s="76">
        <f>'Monthly Ethanol Data'!$B357</f>
        <v>25384</v>
      </c>
      <c r="S23" s="76">
        <f>'Monthly Ethanol Data'!$B369</f>
        <v>26538</v>
      </c>
      <c r="T23" s="76">
        <f>'Monthly Ethanol Data'!$B381</f>
        <v>26346</v>
      </c>
      <c r="U23" s="76">
        <f>'Monthly Ethanol Data'!$B393</f>
        <v>25601</v>
      </c>
      <c r="V23" s="76">
        <f>'Monthly Ethanol Data'!$B405</f>
        <v>27733</v>
      </c>
      <c r="W23" s="76">
        <f>'Monthly Ethanol Data'!$B417</f>
        <v>27910</v>
      </c>
      <c r="X23" s="76">
        <f>'Monthly Ethanol Data'!$B429</f>
        <v>28208</v>
      </c>
      <c r="Y23" s="76">
        <f>'Monthly Ethanol Data'!$B441</f>
        <v>29500</v>
      </c>
      <c r="Z23" s="76">
        <f>'Monthly Ethanol Data'!$B453</f>
        <v>30532</v>
      </c>
      <c r="AA23" s="76">
        <f>'Monthly Ethanol Data'!$B465</f>
        <v>30951</v>
      </c>
      <c r="AB23" s="76">
        <f>'Monthly Ethanol Data'!$B477</f>
        <v>17003</v>
      </c>
      <c r="AC23" s="76">
        <f>'Monthly Ethanol Data'!$B489</f>
        <v>28213</v>
      </c>
      <c r="AD23" s="76">
        <f>'Monthly Ethanol Data'!$B501</f>
        <v>28956</v>
      </c>
      <c r="AE23" s="76">
        <f>'Monthly Ethanol Data'!$B513</f>
        <v>29162</v>
      </c>
      <c r="AF23" s="76">
        <f>'Monthly Ethanol Data'!$B525</f>
        <v>29466</v>
      </c>
      <c r="AG23" s="88">
        <f>'Monthly Ethanol Data'!$B537</f>
        <v>30649</v>
      </c>
      <c r="AH23" s="77">
        <f t="shared" si="19"/>
        <v>29519.414920810672</v>
      </c>
      <c r="AI23" s="77">
        <f t="shared" si="19"/>
        <v>29457.282063973827</v>
      </c>
      <c r="AJ23" s="77">
        <f t="shared" si="19"/>
        <v>29667.933114462998</v>
      </c>
      <c r="AK23" s="77">
        <f t="shared" si="19"/>
        <v>29839.733573365284</v>
      </c>
      <c r="AL23" s="77">
        <f t="shared" si="19"/>
        <v>29825.203131751168</v>
      </c>
      <c r="AM23" s="77">
        <f t="shared" si="18"/>
        <v>30343.288793147334</v>
      </c>
      <c r="AN23" s="77">
        <f t="shared" si="18"/>
        <v>30511.40660592341</v>
      </c>
      <c r="AO23" s="77">
        <f t="shared" si="18"/>
        <v>30727.392992132103</v>
      </c>
      <c r="AP23" s="77">
        <f t="shared" si="18"/>
        <v>30944.271492548534</v>
      </c>
      <c r="AQ23" s="77">
        <f t="shared" si="18"/>
        <v>31170.465329927621</v>
      </c>
      <c r="AR23" s="77">
        <f t="shared" si="18"/>
        <v>31446.220294158538</v>
      </c>
      <c r="AS23" s="77">
        <f t="shared" si="18"/>
        <v>31672.02123881262</v>
      </c>
      <c r="AT23" s="77">
        <f t="shared" si="18"/>
        <v>31909.746772314025</v>
      </c>
      <c r="AU23" s="77">
        <f t="shared" si="18"/>
        <v>32151.909586517435</v>
      </c>
      <c r="AV23" s="77">
        <f t="shared" si="18"/>
        <v>32399.274740657846</v>
      </c>
      <c r="AW23" s="77">
        <f t="shared" si="18"/>
        <v>32650.987496060643</v>
      </c>
      <c r="AX23" s="77">
        <f t="shared" si="18"/>
        <v>34571.189338301076</v>
      </c>
      <c r="AY23" s="77">
        <f t="shared" si="18"/>
        <v>34742.191201055917</v>
      </c>
      <c r="AZ23" s="77">
        <f t="shared" si="18"/>
        <v>35308.680086804299</v>
      </c>
      <c r="BA23" s="77">
        <f t="shared" si="18"/>
        <v>35940.034186861667</v>
      </c>
      <c r="BB23" s="77">
        <f t="shared" si="18"/>
        <v>36648.186076102436</v>
      </c>
      <c r="BC23" s="77">
        <f t="shared" si="18"/>
        <v>37447.625792110797</v>
      </c>
      <c r="BD23" s="77">
        <f t="shared" si="18"/>
        <v>38022.913082872736</v>
      </c>
      <c r="BE23" s="77">
        <f t="shared" si="18"/>
        <v>38679.057459236101</v>
      </c>
      <c r="BF23" s="77">
        <f t="shared" si="18"/>
        <v>39353.13293372246</v>
      </c>
      <c r="BV23" s="90" t="s">
        <v>134</v>
      </c>
      <c r="BZ23" s="69" t="s">
        <v>17</v>
      </c>
    </row>
    <row r="24" spans="1:115">
      <c r="A24" s="69" t="s">
        <v>14</v>
      </c>
      <c r="B24" s="76">
        <f>'Monthly Ethanol Data'!$B166</f>
        <v>2463</v>
      </c>
      <c r="C24" s="76">
        <f>'Monthly Ethanol Data'!$B178</f>
        <v>2807</v>
      </c>
      <c r="D24" s="76">
        <f>'Monthly Ethanol Data'!$B190</f>
        <v>1478</v>
      </c>
      <c r="E24" s="76">
        <f>'Monthly Ethanol Data'!$B202</f>
        <v>2965</v>
      </c>
      <c r="F24" s="76">
        <f>'Monthly Ethanol Data'!$B214</f>
        <v>2437</v>
      </c>
      <c r="G24" s="76">
        <f>'Monthly Ethanol Data'!$B226</f>
        <v>2877</v>
      </c>
      <c r="H24" s="76">
        <f>'Monthly Ethanol Data'!$B238</f>
        <v>3309</v>
      </c>
      <c r="I24" s="76">
        <f>'Monthly Ethanol Data'!$B250</f>
        <v>3339</v>
      </c>
      <c r="J24" s="76">
        <f>'Monthly Ethanol Data'!$B262</f>
        <v>4007</v>
      </c>
      <c r="K24" s="76">
        <f>'Monthly Ethanol Data'!$B274</f>
        <v>5426</v>
      </c>
      <c r="L24" s="76">
        <f>'Monthly Ethanol Data'!$B286</f>
        <v>6857</v>
      </c>
      <c r="M24" s="76">
        <f>'Monthly Ethanol Data'!$B298</f>
        <v>7357</v>
      </c>
      <c r="N24" s="76">
        <f>'Monthly Ethanol Data'!$B310</f>
        <v>9086</v>
      </c>
      <c r="O24" s="76">
        <f>'Monthly Ethanol Data'!$B322</f>
        <v>12573</v>
      </c>
      <c r="P24" s="76">
        <f>'Monthly Ethanol Data'!$B334</f>
        <v>18756</v>
      </c>
      <c r="Q24" s="76">
        <f>'Monthly Ethanol Data'!$B346</f>
        <v>21024</v>
      </c>
      <c r="R24" s="76">
        <f>'Monthly Ethanol Data'!$B358</f>
        <v>26244</v>
      </c>
      <c r="S24" s="76">
        <f>'Monthly Ethanol Data'!$B370</f>
        <v>27720</v>
      </c>
      <c r="T24" s="76">
        <f>'Monthly Ethanol Data'!$B382</f>
        <v>27616</v>
      </c>
      <c r="U24" s="76">
        <f>'Monthly Ethanol Data'!$B394</f>
        <v>27197</v>
      </c>
      <c r="V24" s="76">
        <f>'Monthly Ethanol Data'!$B406</f>
        <v>28888</v>
      </c>
      <c r="W24" s="76">
        <f>'Monthly Ethanol Data'!$B418</f>
        <v>29666</v>
      </c>
      <c r="X24" s="76">
        <f>'Monthly Ethanol Data'!$B430</f>
        <v>30346</v>
      </c>
      <c r="Y24" s="76">
        <f>'Monthly Ethanol Data'!$B442</f>
        <v>31700</v>
      </c>
      <c r="Z24" s="76">
        <f>'Monthly Ethanol Data'!$B454</f>
        <v>32215</v>
      </c>
      <c r="AA24" s="76">
        <f>'Monthly Ethanol Data'!$B466</f>
        <v>32443</v>
      </c>
      <c r="AB24" s="76">
        <f>'Monthly Ethanol Data'!$B478</f>
        <v>21157</v>
      </c>
      <c r="AC24" s="76">
        <f>'Monthly Ethanol Data'!$B490</f>
        <v>31224</v>
      </c>
      <c r="AD24" s="76">
        <f>'Monthly Ethanol Data'!$B502</f>
        <v>31256</v>
      </c>
      <c r="AE24" s="76">
        <f>'Monthly Ethanol Data'!$B514</f>
        <v>30820</v>
      </c>
      <c r="AF24" s="76">
        <f>'Monthly Ethanol Data'!$B526</f>
        <v>31783</v>
      </c>
      <c r="AG24" s="88">
        <f>'Monthly Ethanol Data'!$B538</f>
        <v>32098</v>
      </c>
      <c r="AH24" s="77">
        <f t="shared" si="19"/>
        <v>31727.786044515698</v>
      </c>
      <c r="AI24" s="77">
        <f t="shared" si="19"/>
        <v>31566.309483946876</v>
      </c>
      <c r="AJ24" s="77">
        <f t="shared" si="19"/>
        <v>31844.112845629621</v>
      </c>
      <c r="AK24" s="77">
        <f t="shared" si="19"/>
        <v>31994.933621884727</v>
      </c>
      <c r="AL24" s="77">
        <f t="shared" si="19"/>
        <v>32139.125100490994</v>
      </c>
      <c r="AM24" s="77">
        <f t="shared" si="18"/>
        <v>32600.881060592692</v>
      </c>
      <c r="AN24" s="77">
        <f t="shared" si="18"/>
        <v>32779.015216463122</v>
      </c>
      <c r="AO24" s="77">
        <f t="shared" si="18"/>
        <v>33027.500056006327</v>
      </c>
      <c r="AP24" s="77">
        <f t="shared" si="18"/>
        <v>33269.753761757231</v>
      </c>
      <c r="AQ24" s="77">
        <f t="shared" si="18"/>
        <v>33530.832222466364</v>
      </c>
      <c r="AR24" s="77">
        <f t="shared" si="18"/>
        <v>33816.106849991433</v>
      </c>
      <c r="AS24" s="77">
        <f t="shared" si="18"/>
        <v>34064.899334687805</v>
      </c>
      <c r="AT24" s="77">
        <f t="shared" si="18"/>
        <v>34328.285742297419</v>
      </c>
      <c r="AU24" s="77">
        <f t="shared" si="18"/>
        <v>34594.705966340516</v>
      </c>
      <c r="AV24" s="77">
        <f t="shared" si="18"/>
        <v>34866.101249073552</v>
      </c>
      <c r="AW24" s="77">
        <f t="shared" si="18"/>
        <v>35139.619883621002</v>
      </c>
      <c r="AX24" s="77">
        <f t="shared" si="18"/>
        <v>36604.29204948977</v>
      </c>
      <c r="AY24" s="77">
        <f t="shared" si="18"/>
        <v>36646.366649593023</v>
      </c>
      <c r="AZ24" s="77">
        <f t="shared" si="18"/>
        <v>37109.982831052141</v>
      </c>
      <c r="BA24" s="77">
        <f t="shared" si="18"/>
        <v>37613.038203994467</v>
      </c>
      <c r="BB24" s="77">
        <f t="shared" si="18"/>
        <v>38162.425594978653</v>
      </c>
      <c r="BC24" s="77">
        <f t="shared" si="18"/>
        <v>38766.986737250176</v>
      </c>
      <c r="BD24" s="77">
        <f t="shared" si="18"/>
        <v>39199.525674802266</v>
      </c>
      <c r="BE24" s="77">
        <f t="shared" si="18"/>
        <v>39710.157479844122</v>
      </c>
      <c r="BF24" s="77">
        <f t="shared" si="18"/>
        <v>40230.19240960251</v>
      </c>
      <c r="BV24" s="90" t="s">
        <v>135</v>
      </c>
      <c r="BZ24" s="69" t="s">
        <v>18</v>
      </c>
    </row>
    <row r="25" spans="1:115">
      <c r="A25" s="69" t="s">
        <v>34</v>
      </c>
      <c r="B25" s="76">
        <f>'Monthly Ethanol Data'!$B167</f>
        <v>2323</v>
      </c>
      <c r="C25" s="76">
        <f>'Monthly Ethanol Data'!$B179</f>
        <v>2679</v>
      </c>
      <c r="D25" s="76">
        <f>'Monthly Ethanol Data'!$B191</f>
        <v>1102</v>
      </c>
      <c r="E25" s="76">
        <f>'Monthly Ethanol Data'!$B203</f>
        <v>2205</v>
      </c>
      <c r="F25" s="76">
        <f>'Monthly Ethanol Data'!$B215</f>
        <v>2649</v>
      </c>
      <c r="G25" s="76">
        <f>'Monthly Ethanol Data'!$B227</f>
        <v>2372</v>
      </c>
      <c r="H25" s="76">
        <f>'Monthly Ethanol Data'!$B239</f>
        <v>2928</v>
      </c>
      <c r="I25" s="76">
        <f>'Monthly Ethanol Data'!$B251</f>
        <v>3310</v>
      </c>
      <c r="J25" s="76">
        <f>'Monthly Ethanol Data'!$B263</f>
        <v>3705</v>
      </c>
      <c r="K25" s="76">
        <f>'Monthly Ethanol Data'!$B275</f>
        <v>5440</v>
      </c>
      <c r="L25" s="76">
        <f>'Monthly Ethanol Data'!$B287</f>
        <v>6648</v>
      </c>
      <c r="M25" s="76">
        <f>'Monthly Ethanol Data'!$B299</f>
        <v>7463</v>
      </c>
      <c r="N25" s="76">
        <f>'Monthly Ethanol Data'!$B311</f>
        <v>9531</v>
      </c>
      <c r="O25" s="76">
        <f>'Monthly Ethanol Data'!$B323</f>
        <v>12553</v>
      </c>
      <c r="P25" s="76">
        <f>'Monthly Ethanol Data'!$B335</f>
        <v>17651</v>
      </c>
      <c r="Q25" s="76">
        <f>'Monthly Ethanol Data'!$B347</f>
        <v>21125</v>
      </c>
      <c r="R25" s="76">
        <f>'Monthly Ethanol Data'!$B359</f>
        <v>25632</v>
      </c>
      <c r="S25" s="76">
        <f>'Monthly Ethanol Data'!$B371</f>
        <v>27224</v>
      </c>
      <c r="T25" s="76">
        <f>'Monthly Ethanol Data'!$B383</f>
        <v>26513</v>
      </c>
      <c r="U25" s="76">
        <f>'Monthly Ethanol Data'!$B395</f>
        <v>26722</v>
      </c>
      <c r="V25" s="76">
        <f>'Monthly Ethanol Data'!$B407</f>
        <v>28629</v>
      </c>
      <c r="W25" s="76">
        <f>'Monthly Ethanol Data'!$B419</f>
        <v>29684</v>
      </c>
      <c r="X25" s="76">
        <f>'Monthly Ethanol Data'!$B431</f>
        <v>30443</v>
      </c>
      <c r="Y25" s="76">
        <f>'Monthly Ethanol Data'!$B443</f>
        <v>30667</v>
      </c>
      <c r="Z25" s="76">
        <f>'Monthly Ethanol Data'!$B455</f>
        <v>31924</v>
      </c>
      <c r="AA25" s="76">
        <f>'Monthly Ethanol Data'!$B467</f>
        <v>31895</v>
      </c>
      <c r="AB25" s="76">
        <f>'Monthly Ethanol Data'!$B479</f>
        <v>25959</v>
      </c>
      <c r="AC25" s="76">
        <f>'Monthly Ethanol Data'!$B491</f>
        <v>30641</v>
      </c>
      <c r="AD25" s="76">
        <f>'Monthly Ethanol Data'!$B503</f>
        <v>31288</v>
      </c>
      <c r="AE25" s="76">
        <f>'Monthly Ethanol Data'!$B515</f>
        <v>31089</v>
      </c>
      <c r="AF25" s="76">
        <f>'Monthly Ethanol Data'!$B527</f>
        <v>31304</v>
      </c>
      <c r="AG25" s="88">
        <f>'Monthly Ethanol Data'!$B539</f>
        <v>32317</v>
      </c>
      <c r="AH25" s="77">
        <f t="shared" si="19"/>
        <v>31657.601978351388</v>
      </c>
      <c r="AI25" s="77">
        <f t="shared" si="19"/>
        <v>31551.97087288164</v>
      </c>
      <c r="AJ25" s="77">
        <f t="shared" si="19"/>
        <v>31618.128196526694</v>
      </c>
      <c r="AK25" s="77">
        <f t="shared" si="19"/>
        <v>31729.004790675659</v>
      </c>
      <c r="AL25" s="77">
        <f t="shared" si="19"/>
        <v>32194.721604465038</v>
      </c>
      <c r="AM25" s="77">
        <f t="shared" si="18"/>
        <v>32505.756520490253</v>
      </c>
      <c r="AN25" s="77">
        <f t="shared" si="18"/>
        <v>32678.767729626132</v>
      </c>
      <c r="AO25" s="77">
        <f t="shared" si="18"/>
        <v>32909.640332963711</v>
      </c>
      <c r="AP25" s="77">
        <f t="shared" si="18"/>
        <v>33174.055140147408</v>
      </c>
      <c r="AQ25" s="77">
        <f t="shared" si="18"/>
        <v>33470.026342937483</v>
      </c>
      <c r="AR25" s="77">
        <f t="shared" si="18"/>
        <v>33731.439359452583</v>
      </c>
      <c r="AS25" s="77">
        <f t="shared" si="18"/>
        <v>33982.371644883482</v>
      </c>
      <c r="AT25" s="77">
        <f t="shared" si="18"/>
        <v>34249.387953833109</v>
      </c>
      <c r="AU25" s="77">
        <f t="shared" si="18"/>
        <v>34523.792170852124</v>
      </c>
      <c r="AV25" s="77">
        <f t="shared" si="18"/>
        <v>34800.265547444753</v>
      </c>
      <c r="AW25" s="77">
        <f t="shared" si="18"/>
        <v>35072.750837753883</v>
      </c>
      <c r="AX25" s="77">
        <f t="shared" si="18"/>
        <v>36065.479302382046</v>
      </c>
      <c r="AY25" s="77">
        <f t="shared" si="18"/>
        <v>35696.009962453179</v>
      </c>
      <c r="AZ25" s="77">
        <f t="shared" si="18"/>
        <v>35985.334364177193</v>
      </c>
      <c r="BA25" s="77">
        <f t="shared" si="18"/>
        <v>36277.642802842216</v>
      </c>
      <c r="BB25" s="77">
        <f t="shared" si="18"/>
        <v>36573.118253921704</v>
      </c>
      <c r="BC25" s="77">
        <f t="shared" si="18"/>
        <v>36873.19173715527</v>
      </c>
      <c r="BD25" s="77">
        <f t="shared" si="18"/>
        <v>37034.73422410991</v>
      </c>
      <c r="BE25" s="77">
        <f t="shared" si="18"/>
        <v>37302.479076441261</v>
      </c>
      <c r="BF25" s="77">
        <f t="shared" si="18"/>
        <v>37565.908018894072</v>
      </c>
      <c r="BV25" s="83" t="s">
        <v>136</v>
      </c>
      <c r="BZ25" s="69" t="s">
        <v>19</v>
      </c>
    </row>
    <row r="26" spans="1:115">
      <c r="A26" s="69" t="s">
        <v>35</v>
      </c>
      <c r="B26" s="76">
        <f>'Monthly Ethanol Data'!$B168</f>
        <v>2384</v>
      </c>
      <c r="C26" s="76">
        <f>'Monthly Ethanol Data'!$B180</f>
        <v>2510</v>
      </c>
      <c r="D26" s="76">
        <f>'Monthly Ethanol Data'!$B192</f>
        <v>1235</v>
      </c>
      <c r="E26" s="76">
        <f>'Monthly Ethanol Data'!$B204</f>
        <v>2765</v>
      </c>
      <c r="F26" s="76">
        <f>'Monthly Ethanol Data'!$B216</f>
        <v>2584</v>
      </c>
      <c r="G26" s="76">
        <f>'Monthly Ethanol Data'!$B228</f>
        <v>2362</v>
      </c>
      <c r="H26" s="76">
        <f>'Monthly Ethanol Data'!$B240</f>
        <v>3299</v>
      </c>
      <c r="I26" s="76">
        <f>'Monthly Ethanol Data'!$B252</f>
        <v>3472</v>
      </c>
      <c r="J26" s="76">
        <f>'Monthly Ethanol Data'!$B264</f>
        <v>3970</v>
      </c>
      <c r="K26" s="76">
        <f>'Monthly Ethanol Data'!$B276</f>
        <v>5529</v>
      </c>
      <c r="L26" s="76">
        <f>'Monthly Ethanol Data'!$B288</f>
        <v>6749</v>
      </c>
      <c r="M26" s="76">
        <f>'Monthly Ethanol Data'!$B300</f>
        <v>8007</v>
      </c>
      <c r="N26" s="76">
        <f>'Monthly Ethanol Data'!$B312</f>
        <v>9791</v>
      </c>
      <c r="O26" s="76">
        <f>'Monthly Ethanol Data'!$B324</f>
        <v>13083</v>
      </c>
      <c r="P26" s="76">
        <f>'Monthly Ethanol Data'!$B336</f>
        <v>19040</v>
      </c>
      <c r="Q26" s="76">
        <f>'Monthly Ethanol Data'!$B348</f>
        <v>22887</v>
      </c>
      <c r="R26" s="76">
        <f>'Monthly Ethanol Data'!$B360</f>
        <v>26584</v>
      </c>
      <c r="S26" s="76">
        <f>'Monthly Ethanol Data'!$B372</f>
        <v>27541</v>
      </c>
      <c r="T26" s="76">
        <f>'Monthly Ethanol Data'!$B384</f>
        <v>25236</v>
      </c>
      <c r="U26" s="76">
        <f>'Monthly Ethanol Data'!$B396</f>
        <v>26923</v>
      </c>
      <c r="V26" s="76">
        <f>'Monthly Ethanol Data'!$B408</f>
        <v>29413</v>
      </c>
      <c r="W26" s="76">
        <f>'Monthly Ethanol Data'!$B420</f>
        <v>30249</v>
      </c>
      <c r="X26" s="76">
        <f>'Monthly Ethanol Data'!$B432</f>
        <v>31469</v>
      </c>
      <c r="Y26" s="76">
        <f>'Monthly Ethanol Data'!$B444</f>
        <v>31221</v>
      </c>
      <c r="Z26" s="76">
        <f>'Monthly Ethanol Data'!$B456</f>
        <v>33496</v>
      </c>
      <c r="AA26" s="76">
        <f>'Monthly Ethanol Data'!$B468</f>
        <v>32541</v>
      </c>
      <c r="AB26" s="76">
        <f>'Monthly Ethanol Data'!$B480</f>
        <v>28708</v>
      </c>
      <c r="AC26" s="76">
        <f>'Monthly Ethanol Data'!$B492</f>
        <v>31449</v>
      </c>
      <c r="AD26" s="76">
        <f>'Monthly Ethanol Data'!$B504</f>
        <v>31498</v>
      </c>
      <c r="AE26" s="76">
        <f>'Monthly Ethanol Data'!$B516</f>
        <v>32014</v>
      </c>
      <c r="AF26" s="76">
        <f>'Monthly Ethanol Data'!$B528</f>
        <v>33810</v>
      </c>
      <c r="AG26" s="88">
        <f>'Monthly Ethanol Data'!$B540</f>
        <v>37258.678571428572</v>
      </c>
      <c r="AH26" s="77">
        <f t="shared" si="19"/>
        <v>31287.16948275808</v>
      </c>
      <c r="AI26" s="77">
        <f t="shared" si="19"/>
        <v>31170.654514872011</v>
      </c>
      <c r="AJ26" s="77">
        <f t="shared" si="19"/>
        <v>31709.859571899913</v>
      </c>
      <c r="AK26" s="77">
        <f t="shared" si="19"/>
        <v>32018.858634169414</v>
      </c>
      <c r="AL26" s="77">
        <f t="shared" si="19"/>
        <v>32132.619829072319</v>
      </c>
      <c r="AM26" s="77">
        <f t="shared" si="18"/>
        <v>32436.799201063863</v>
      </c>
      <c r="AN26" s="77">
        <f t="shared" si="18"/>
        <v>32671.591683347353</v>
      </c>
      <c r="AO26" s="77">
        <f t="shared" si="18"/>
        <v>32979.158282105578</v>
      </c>
      <c r="AP26" s="77">
        <f t="shared" si="18"/>
        <v>33239.010338424509</v>
      </c>
      <c r="AQ26" s="77">
        <f t="shared" si="18"/>
        <v>33488.87255458357</v>
      </c>
      <c r="AR26" s="77">
        <f t="shared" si="18"/>
        <v>33766.878854759001</v>
      </c>
      <c r="AS26" s="77">
        <f t="shared" si="18"/>
        <v>34039.203193104164</v>
      </c>
      <c r="AT26" s="77">
        <f t="shared" si="18"/>
        <v>34319.334907520897</v>
      </c>
      <c r="AU26" s="77">
        <f t="shared" si="18"/>
        <v>34593.821158454833</v>
      </c>
      <c r="AV26" s="77">
        <f t="shared" si="18"/>
        <v>34871.329329639681</v>
      </c>
      <c r="AW26" s="77">
        <f t="shared" si="18"/>
        <v>35154.513423715849</v>
      </c>
      <c r="AX26" s="77">
        <f t="shared" si="18"/>
        <v>35349.315202487087</v>
      </c>
      <c r="AY26" s="77">
        <f t="shared" si="18"/>
        <v>36878.082580554139</v>
      </c>
      <c r="AZ26" s="77">
        <f t="shared" si="18"/>
        <v>37389.832115160796</v>
      </c>
      <c r="BA26" s="77">
        <f t="shared" si="18"/>
        <v>37949.034306501984</v>
      </c>
      <c r="BB26" s="77">
        <f t="shared" si="18"/>
        <v>38564.575301874444</v>
      </c>
      <c r="BC26" s="77">
        <f t="shared" si="18"/>
        <v>39246.58767750617</v>
      </c>
      <c r="BD26" s="77">
        <f t="shared" si="18"/>
        <v>40026.04217250998</v>
      </c>
      <c r="BE26" s="77">
        <f t="shared" si="18"/>
        <v>40655.634090901156</v>
      </c>
      <c r="BF26" s="77">
        <f t="shared" si="18"/>
        <v>41308.794486049221</v>
      </c>
      <c r="BV26" s="83" t="s">
        <v>137</v>
      </c>
      <c r="BZ26" s="69" t="s">
        <v>20</v>
      </c>
    </row>
    <row r="27" spans="1:115">
      <c r="A27" s="69" t="s">
        <v>36</v>
      </c>
      <c r="B27" s="76">
        <f>'Monthly Ethanol Data'!$B169</f>
        <v>2474</v>
      </c>
      <c r="C27" s="76">
        <f>'Monthly Ethanol Data'!$B181</f>
        <v>2397</v>
      </c>
      <c r="D27" s="76">
        <f>'Monthly Ethanol Data'!$B193</f>
        <v>1485</v>
      </c>
      <c r="E27" s="76">
        <f>'Monthly Ethanol Data'!$B205</f>
        <v>2044</v>
      </c>
      <c r="F27" s="76">
        <f>'Monthly Ethanol Data'!$B217</f>
        <v>2688</v>
      </c>
      <c r="G27" s="76">
        <f>'Monthly Ethanol Data'!$B229</f>
        <v>2831</v>
      </c>
      <c r="H27" s="76">
        <f>'Monthly Ethanol Data'!$B241</f>
        <v>2926</v>
      </c>
      <c r="I27" s="76">
        <f>'Monthly Ethanol Data'!$B253</f>
        <v>3515</v>
      </c>
      <c r="J27" s="76">
        <f>'Monthly Ethanol Data'!$B265</f>
        <v>4203</v>
      </c>
      <c r="K27" s="76">
        <f>'Monthly Ethanol Data'!$B277</f>
        <v>5589</v>
      </c>
      <c r="L27" s="76">
        <f>'Monthly Ethanol Data'!$B289</f>
        <v>6977</v>
      </c>
      <c r="M27" s="76">
        <f>'Monthly Ethanol Data'!$B301</f>
        <v>8050</v>
      </c>
      <c r="N27" s="76">
        <f>'Monthly Ethanol Data'!$B313</f>
        <v>10235</v>
      </c>
      <c r="O27" s="76">
        <f>'Monthly Ethanol Data'!$B325</f>
        <v>13581</v>
      </c>
      <c r="P27" s="76">
        <f>'Monthly Ethanol Data'!$B337</f>
        <v>20059</v>
      </c>
      <c r="Q27" s="76">
        <f>'Monthly Ethanol Data'!$B349</f>
        <v>23136</v>
      </c>
      <c r="R27" s="76">
        <f>'Monthly Ethanol Data'!$B361</f>
        <v>26964</v>
      </c>
      <c r="S27" s="76">
        <f>'Monthly Ethanol Data'!$B373</f>
        <v>27976</v>
      </c>
      <c r="T27" s="76">
        <f>'Monthly Ethanol Data'!$B385</f>
        <v>26092</v>
      </c>
      <c r="U27" s="76">
        <f>'Monthly Ethanol Data'!$B397</f>
        <v>26279</v>
      </c>
      <c r="V27" s="76">
        <f>'Monthly Ethanol Data'!$B409</f>
        <v>28665</v>
      </c>
      <c r="W27" s="76">
        <f>'Monthly Ethanol Data'!$B421</f>
        <v>29762</v>
      </c>
      <c r="X27" s="76">
        <f>'Monthly Ethanol Data'!$B433</f>
        <v>31856</v>
      </c>
      <c r="Y27" s="76">
        <f>'Monthly Ethanol Data'!$B445</f>
        <v>32447</v>
      </c>
      <c r="Z27" s="76">
        <f>'Monthly Ethanol Data'!$B457</f>
        <v>33773</v>
      </c>
      <c r="AA27" s="76">
        <f>'Monthly Ethanol Data'!$B469</f>
        <v>31921</v>
      </c>
      <c r="AB27" s="76">
        <f>'Monthly Ethanol Data'!$B481</f>
        <v>28420</v>
      </c>
      <c r="AC27" s="76">
        <f>'Monthly Ethanol Data'!$B493</f>
        <v>29087</v>
      </c>
      <c r="AD27" s="76">
        <f>'Monthly Ethanol Data'!$B505</f>
        <v>30520</v>
      </c>
      <c r="AE27" s="76">
        <f>'Monthly Ethanol Data'!$B517</f>
        <v>31132</v>
      </c>
      <c r="AF27" s="87">
        <f>'Monthly Ethanol Data'!$B529</f>
        <v>33506</v>
      </c>
      <c r="AG27" s="88">
        <f>'Monthly Ethanol Data'!$B541</f>
        <v>37046.107142857138</v>
      </c>
      <c r="AH27" s="77">
        <f t="shared" si="19"/>
        <v>32405.431079891387</v>
      </c>
      <c r="AI27" s="77">
        <f t="shared" si="19"/>
        <v>32554.297672514218</v>
      </c>
      <c r="AJ27" s="77">
        <f t="shared" si="19"/>
        <v>32823.213850394881</v>
      </c>
      <c r="AK27" s="77">
        <f t="shared" si="19"/>
        <v>33148.544992861942</v>
      </c>
      <c r="AL27" s="77">
        <f t="shared" si="19"/>
        <v>33271.286513312625</v>
      </c>
      <c r="AM27" s="77">
        <f t="shared" si="18"/>
        <v>33611.270432365032</v>
      </c>
      <c r="AN27" s="77">
        <f t="shared" si="18"/>
        <v>33857.588201439292</v>
      </c>
      <c r="AO27" s="77">
        <f t="shared" si="18"/>
        <v>34124.638536086823</v>
      </c>
      <c r="AP27" s="77">
        <f t="shared" si="18"/>
        <v>34391.077482723784</v>
      </c>
      <c r="AQ27" s="77">
        <f t="shared" si="18"/>
        <v>34645.528472257334</v>
      </c>
      <c r="AR27" s="77">
        <f t="shared" si="18"/>
        <v>34927.222449040128</v>
      </c>
      <c r="AS27" s="77">
        <f t="shared" si="18"/>
        <v>35196.651832199634</v>
      </c>
      <c r="AT27" s="77">
        <f t="shared" si="18"/>
        <v>35470.932278019551</v>
      </c>
      <c r="AU27" s="77">
        <f t="shared" si="18"/>
        <v>35746.673248416948</v>
      </c>
      <c r="AV27" s="77">
        <f t="shared" si="18"/>
        <v>36024.343020974011</v>
      </c>
      <c r="AW27" s="77">
        <f t="shared" si="18"/>
        <v>36306.78117489563</v>
      </c>
      <c r="AX27" s="77">
        <f t="shared" si="18"/>
        <v>37769.496087091633</v>
      </c>
      <c r="AY27" s="77">
        <f t="shared" si="18"/>
        <v>37627.998290450989</v>
      </c>
      <c r="AZ27" s="77">
        <f t="shared" si="18"/>
        <v>38059.411492937274</v>
      </c>
      <c r="BA27" s="77">
        <f t="shared" si="18"/>
        <v>38521.959141841333</v>
      </c>
      <c r="BB27" s="77">
        <f t="shared" si="18"/>
        <v>39021.482366014803</v>
      </c>
      <c r="BC27" s="77">
        <f t="shared" si="18"/>
        <v>39564.422604238629</v>
      </c>
      <c r="BD27" s="77">
        <f t="shared" si="18"/>
        <v>39923.407907668035</v>
      </c>
      <c r="BE27" s="77">
        <f t="shared" si="18"/>
        <v>40382.489831111452</v>
      </c>
      <c r="BF27" s="77">
        <f t="shared" si="18"/>
        <v>40847.105498746285</v>
      </c>
      <c r="BZ27" s="69" t="s">
        <v>21</v>
      </c>
    </row>
    <row r="28" spans="1:115" ht="12" thickBot="1">
      <c r="A28" s="69" t="s">
        <v>138</v>
      </c>
      <c r="B28" s="76">
        <f t="shared" ref="B28:BF28" si="20">SUM(B16:B27)</f>
        <v>28763</v>
      </c>
      <c r="C28" s="76">
        <f t="shared" si="20"/>
        <v>33435</v>
      </c>
      <c r="D28" s="76">
        <f t="shared" si="20"/>
        <v>24666</v>
      </c>
      <c r="E28" s="76">
        <f t="shared" si="20"/>
        <v>28461</v>
      </c>
      <c r="F28" s="76">
        <f t="shared" si="20"/>
        <v>32365</v>
      </c>
      <c r="G28" s="76">
        <f t="shared" si="20"/>
        <v>34400</v>
      </c>
      <c r="H28" s="76">
        <f t="shared" si="20"/>
        <v>37854</v>
      </c>
      <c r="I28" s="76">
        <f t="shared" si="20"/>
        <v>40579</v>
      </c>
      <c r="J28" s="76">
        <f t="shared" si="20"/>
        <v>46102</v>
      </c>
      <c r="K28" s="76">
        <f t="shared" si="20"/>
        <v>62726</v>
      </c>
      <c r="L28" s="76">
        <f t="shared" si="20"/>
        <v>76853</v>
      </c>
      <c r="M28" s="76">
        <f t="shared" si="20"/>
        <v>87798</v>
      </c>
      <c r="N28" s="76">
        <f t="shared" si="20"/>
        <v>107148</v>
      </c>
      <c r="O28" s="76">
        <f t="shared" si="20"/>
        <v>140071</v>
      </c>
      <c r="P28" s="76">
        <f t="shared" si="20"/>
        <v>199219</v>
      </c>
      <c r="Q28" s="76">
        <f t="shared" si="20"/>
        <v>245350</v>
      </c>
      <c r="R28" s="76">
        <f t="shared" si="20"/>
        <v>301662</v>
      </c>
      <c r="S28" s="76">
        <f t="shared" si="20"/>
        <v>328840</v>
      </c>
      <c r="T28" s="76">
        <f t="shared" si="20"/>
        <v>327738</v>
      </c>
      <c r="U28" s="76">
        <f t="shared" si="20"/>
        <v>305292</v>
      </c>
      <c r="V28" s="76">
        <f t="shared" si="20"/>
        <v>335790</v>
      </c>
      <c r="W28" s="76">
        <f t="shared" si="20"/>
        <v>349210</v>
      </c>
      <c r="X28" s="76">
        <f t="shared" si="20"/>
        <v>361754</v>
      </c>
      <c r="Y28" s="76">
        <f t="shared" si="20"/>
        <v>373765</v>
      </c>
      <c r="Z28" s="76">
        <f t="shared" si="20"/>
        <v>384038</v>
      </c>
      <c r="AA28" s="76">
        <f t="shared" si="20"/>
        <v>377120</v>
      </c>
      <c r="AB28" s="76">
        <f t="shared" si="20"/>
        <v>339319</v>
      </c>
      <c r="AC28" s="76">
        <f t="shared" si="20"/>
        <v>349061</v>
      </c>
      <c r="AD28" s="76">
        <f t="shared" si="20"/>
        <v>371465</v>
      </c>
      <c r="AE28" s="76">
        <f t="shared" si="20"/>
        <v>364001</v>
      </c>
      <c r="AF28" s="87">
        <f t="shared" si="20"/>
        <v>382085</v>
      </c>
      <c r="AG28" s="88">
        <f t="shared" si="20"/>
        <v>397327.78571428574</v>
      </c>
      <c r="AH28" s="77">
        <f t="shared" si="20"/>
        <v>389077.04673562339</v>
      </c>
      <c r="AI28" s="77">
        <f t="shared" si="20"/>
        <v>376869.07708399964</v>
      </c>
      <c r="AJ28" s="77">
        <f t="shared" si="20"/>
        <v>378629.77892016532</v>
      </c>
      <c r="AK28" s="77">
        <f t="shared" si="20"/>
        <v>381911.16271560802</v>
      </c>
      <c r="AL28" s="77">
        <f t="shared" si="20"/>
        <v>384160.65611979208</v>
      </c>
      <c r="AM28" s="77">
        <f t="shared" si="20"/>
        <v>387734.77516524325</v>
      </c>
      <c r="AN28" s="77">
        <f t="shared" si="20"/>
        <v>390730.41993182903</v>
      </c>
      <c r="AO28" s="77">
        <f t="shared" si="20"/>
        <v>393567.66400470136</v>
      </c>
      <c r="AP28" s="77">
        <f t="shared" si="20"/>
        <v>396626.76849475742</v>
      </c>
      <c r="AQ28" s="77">
        <f t="shared" si="20"/>
        <v>399640.06650598877</v>
      </c>
      <c r="AR28" s="77">
        <f t="shared" si="20"/>
        <v>402812.11535629223</v>
      </c>
      <c r="AS28" s="77">
        <f t="shared" si="20"/>
        <v>405900.28315252683</v>
      </c>
      <c r="AT28" s="77">
        <f t="shared" si="20"/>
        <v>409007.06278140284</v>
      </c>
      <c r="AU28" s="77">
        <f t="shared" si="20"/>
        <v>412169.36747527833</v>
      </c>
      <c r="AV28" s="77">
        <f t="shared" si="20"/>
        <v>415352.9108830418</v>
      </c>
      <c r="AW28" s="77">
        <f t="shared" si="20"/>
        <v>418571.50437611417</v>
      </c>
      <c r="AX28" s="77">
        <f t="shared" si="20"/>
        <v>432891.35854635772</v>
      </c>
      <c r="AY28" s="77">
        <f t="shared" si="20"/>
        <v>442955.15191243886</v>
      </c>
      <c r="AZ28" s="77">
        <f t="shared" si="20"/>
        <v>449744.76973864622</v>
      </c>
      <c r="BA28" s="77">
        <f t="shared" si="20"/>
        <v>457259.85019131965</v>
      </c>
      <c r="BB28" s="77">
        <f t="shared" si="20"/>
        <v>465641.23805297533</v>
      </c>
      <c r="BC28" s="77">
        <f t="shared" si="20"/>
        <v>475055.18478834757</v>
      </c>
      <c r="BD28" s="77">
        <f t="shared" si="20"/>
        <v>483487.95003674558</v>
      </c>
      <c r="BE28" s="77">
        <f t="shared" si="20"/>
        <v>491594.50966160692</v>
      </c>
      <c r="BF28" s="77">
        <f t="shared" si="20"/>
        <v>499964.45764619904</v>
      </c>
    </row>
    <row r="29" spans="1:11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</row>
    <row r="30" spans="1:115" ht="12" thickBot="1">
      <c r="A30" s="83" t="s">
        <v>139</v>
      </c>
      <c r="BZ30" s="83" t="s">
        <v>140</v>
      </c>
    </row>
    <row r="31" spans="1:115" ht="12" thickBot="1">
      <c r="A31" s="84"/>
      <c r="B31" s="85" t="s">
        <v>66</v>
      </c>
      <c r="C31" s="86" t="s">
        <v>67</v>
      </c>
      <c r="D31" s="86" t="s">
        <v>68</v>
      </c>
      <c r="E31" s="86" t="s">
        <v>69</v>
      </c>
      <c r="F31" s="86" t="s">
        <v>70</v>
      </c>
      <c r="G31" s="86" t="s">
        <v>71</v>
      </c>
      <c r="H31" s="86" t="s">
        <v>72</v>
      </c>
      <c r="I31" s="86" t="s">
        <v>73</v>
      </c>
      <c r="J31" s="86" t="s">
        <v>74</v>
      </c>
      <c r="K31" s="86" t="s">
        <v>75</v>
      </c>
      <c r="L31" s="86" t="s">
        <v>76</v>
      </c>
      <c r="M31" s="86" t="s">
        <v>77</v>
      </c>
      <c r="N31" s="86" t="s">
        <v>78</v>
      </c>
      <c r="O31" s="86" t="s">
        <v>79</v>
      </c>
      <c r="P31" s="86" t="s">
        <v>80</v>
      </c>
      <c r="Q31" s="86" t="s">
        <v>81</v>
      </c>
      <c r="R31" s="86" t="s">
        <v>82</v>
      </c>
      <c r="S31" s="86" t="s">
        <v>83</v>
      </c>
      <c r="T31" s="86" t="s">
        <v>84</v>
      </c>
      <c r="U31" s="86" t="s">
        <v>85</v>
      </c>
      <c r="V31" s="86" t="s">
        <v>86</v>
      </c>
      <c r="W31" s="86" t="s">
        <v>87</v>
      </c>
      <c r="X31" s="86" t="s">
        <v>88</v>
      </c>
      <c r="Y31" s="86" t="s">
        <v>89</v>
      </c>
      <c r="Z31" s="86" t="s">
        <v>90</v>
      </c>
      <c r="AA31" s="86" t="s">
        <v>91</v>
      </c>
      <c r="AB31" s="86" t="s">
        <v>92</v>
      </c>
      <c r="AC31" s="86" t="s">
        <v>93</v>
      </c>
      <c r="AD31" s="86" t="str">
        <f>AD2</f>
        <v>21/22</v>
      </c>
      <c r="AE31" s="86" t="str">
        <f t="shared" ref="AE31:BF31" si="21">AE2</f>
        <v>22/23</v>
      </c>
      <c r="AF31" s="86" t="str">
        <f t="shared" si="21"/>
        <v>23/24</v>
      </c>
      <c r="AG31" s="86" t="str">
        <f t="shared" si="21"/>
        <v>24/25</v>
      </c>
      <c r="AH31" s="86" t="str">
        <f t="shared" si="21"/>
        <v>25/26</v>
      </c>
      <c r="AI31" s="86" t="str">
        <f t="shared" si="21"/>
        <v>26/27</v>
      </c>
      <c r="AJ31" s="86" t="str">
        <f t="shared" si="21"/>
        <v>27/28</v>
      </c>
      <c r="AK31" s="86" t="str">
        <f t="shared" si="21"/>
        <v>28/29</v>
      </c>
      <c r="AL31" s="86" t="str">
        <f t="shared" si="21"/>
        <v>29/30</v>
      </c>
      <c r="AM31" s="86" t="str">
        <f t="shared" si="21"/>
        <v>30/31</v>
      </c>
      <c r="AN31" s="86" t="str">
        <f t="shared" si="21"/>
        <v>31/32</v>
      </c>
      <c r="AO31" s="86" t="str">
        <f t="shared" si="21"/>
        <v>32/33</v>
      </c>
      <c r="AP31" s="86" t="str">
        <f t="shared" si="21"/>
        <v>33/34</v>
      </c>
      <c r="AQ31" s="86" t="str">
        <f t="shared" si="21"/>
        <v>34/35</v>
      </c>
      <c r="AR31" s="86" t="str">
        <f t="shared" si="21"/>
        <v>35/36</v>
      </c>
      <c r="AS31" s="86" t="str">
        <f t="shared" si="21"/>
        <v>36/37</v>
      </c>
      <c r="AT31" s="86" t="str">
        <f t="shared" si="21"/>
        <v>37/38</v>
      </c>
      <c r="AU31" s="86" t="str">
        <f t="shared" si="21"/>
        <v>38/39</v>
      </c>
      <c r="AV31" s="86" t="str">
        <f t="shared" si="21"/>
        <v>39/40</v>
      </c>
      <c r="AW31" s="86" t="str">
        <f t="shared" si="21"/>
        <v>40/41</v>
      </c>
      <c r="AX31" s="86" t="str">
        <f t="shared" si="21"/>
        <v>41/42</v>
      </c>
      <c r="AY31" s="86" t="str">
        <f t="shared" si="21"/>
        <v>42/43</v>
      </c>
      <c r="AZ31" s="86" t="str">
        <f t="shared" si="21"/>
        <v>43/44</v>
      </c>
      <c r="BA31" s="86" t="str">
        <f t="shared" si="21"/>
        <v>44/45</v>
      </c>
      <c r="BB31" s="86" t="str">
        <f t="shared" si="21"/>
        <v>45/46</v>
      </c>
      <c r="BC31" s="86" t="str">
        <f t="shared" si="21"/>
        <v>42/47</v>
      </c>
      <c r="BD31" s="86" t="str">
        <f t="shared" si="21"/>
        <v>42/48</v>
      </c>
      <c r="BE31" s="86" t="str">
        <f t="shared" si="21"/>
        <v>42/49</v>
      </c>
      <c r="BF31" s="86" t="str">
        <f t="shared" si="21"/>
        <v>42/50</v>
      </c>
      <c r="BV31" s="86" t="str">
        <f>AF31</f>
        <v>23/24</v>
      </c>
      <c r="BW31" s="91" t="s">
        <v>141</v>
      </c>
      <c r="BX31" s="91" t="s">
        <v>142</v>
      </c>
      <c r="BY31" s="86"/>
      <c r="BZ31" s="85" t="str">
        <f t="shared" ref="BZ31:DK31" si="22">B31</f>
        <v xml:space="preserve">93/94 </v>
      </c>
      <c r="CA31" s="85" t="str">
        <f t="shared" si="22"/>
        <v xml:space="preserve">94/95 </v>
      </c>
      <c r="CB31" s="85" t="str">
        <f t="shared" si="22"/>
        <v xml:space="preserve">95/96 </v>
      </c>
      <c r="CC31" s="85" t="str">
        <f t="shared" si="22"/>
        <v xml:space="preserve">96/97 </v>
      </c>
      <c r="CD31" s="85" t="str">
        <f t="shared" si="22"/>
        <v xml:space="preserve">97/98 </v>
      </c>
      <c r="CE31" s="85" t="str">
        <f t="shared" si="22"/>
        <v xml:space="preserve">98/99 </v>
      </c>
      <c r="CF31" s="85" t="str">
        <f t="shared" si="22"/>
        <v xml:space="preserve">99/00 </v>
      </c>
      <c r="CG31" s="85" t="str">
        <f t="shared" si="22"/>
        <v xml:space="preserve">00/01 </v>
      </c>
      <c r="CH31" s="85" t="str">
        <f t="shared" si="22"/>
        <v xml:space="preserve">01/02 </v>
      </c>
      <c r="CI31" s="85" t="str">
        <f t="shared" si="22"/>
        <v xml:space="preserve">02/03 </v>
      </c>
      <c r="CJ31" s="85" t="str">
        <f t="shared" si="22"/>
        <v xml:space="preserve">03/04 </v>
      </c>
      <c r="CK31" s="85" t="str">
        <f t="shared" si="22"/>
        <v xml:space="preserve">04/05 </v>
      </c>
      <c r="CL31" s="85" t="str">
        <f t="shared" si="22"/>
        <v xml:space="preserve">05/06 </v>
      </c>
      <c r="CM31" s="85" t="str">
        <f t="shared" si="22"/>
        <v xml:space="preserve">06/07 </v>
      </c>
      <c r="CN31" s="85" t="str">
        <f t="shared" si="22"/>
        <v xml:space="preserve">07/08 </v>
      </c>
      <c r="CO31" s="85" t="str">
        <f t="shared" si="22"/>
        <v xml:space="preserve">08/09 </v>
      </c>
      <c r="CP31" s="85" t="str">
        <f t="shared" si="22"/>
        <v xml:space="preserve">09/10 </v>
      </c>
      <c r="CQ31" s="85" t="str">
        <f t="shared" si="22"/>
        <v xml:space="preserve">10/11 </v>
      </c>
      <c r="CR31" s="85" t="str">
        <f t="shared" si="22"/>
        <v xml:space="preserve">11/12 </v>
      </c>
      <c r="CS31" s="85" t="str">
        <f t="shared" si="22"/>
        <v xml:space="preserve">12/13 </v>
      </c>
      <c r="CT31" s="85" t="str">
        <f t="shared" si="22"/>
        <v xml:space="preserve">13/14 </v>
      </c>
      <c r="CU31" s="85" t="str">
        <f t="shared" si="22"/>
        <v xml:space="preserve">14/15 </v>
      </c>
      <c r="CV31" s="85" t="str">
        <f t="shared" si="22"/>
        <v xml:space="preserve">15/16 </v>
      </c>
      <c r="CW31" s="85" t="str">
        <f t="shared" si="22"/>
        <v xml:space="preserve">16/17 </v>
      </c>
      <c r="CX31" s="85" t="str">
        <f t="shared" si="22"/>
        <v xml:space="preserve">17/18 </v>
      </c>
      <c r="CY31" s="85" t="str">
        <f t="shared" si="22"/>
        <v xml:space="preserve">18/19 </v>
      </c>
      <c r="CZ31" s="85" t="str">
        <f t="shared" si="22"/>
        <v>19/20</v>
      </c>
      <c r="DA31" s="85" t="str">
        <f t="shared" si="22"/>
        <v>20/21</v>
      </c>
      <c r="DB31" s="85" t="str">
        <f t="shared" si="22"/>
        <v>21/22</v>
      </c>
      <c r="DC31" s="85" t="str">
        <f t="shared" si="22"/>
        <v>22/23</v>
      </c>
      <c r="DD31" s="85" t="str">
        <f t="shared" si="22"/>
        <v>23/24</v>
      </c>
      <c r="DE31" s="85" t="str">
        <f t="shared" si="22"/>
        <v>24/25</v>
      </c>
      <c r="DF31" s="85" t="str">
        <f t="shared" si="22"/>
        <v>25/26</v>
      </c>
      <c r="DG31" s="85" t="str">
        <f t="shared" si="22"/>
        <v>26/27</v>
      </c>
      <c r="DH31" s="85" t="str">
        <f t="shared" si="22"/>
        <v>27/28</v>
      </c>
      <c r="DI31" s="85" t="str">
        <f t="shared" si="22"/>
        <v>28/29</v>
      </c>
      <c r="DJ31" s="85" t="str">
        <f t="shared" si="22"/>
        <v>29/30</v>
      </c>
      <c r="DK31" s="85" t="str">
        <f t="shared" si="22"/>
        <v>30/31</v>
      </c>
    </row>
    <row r="32" spans="1:115">
      <c r="A32" s="69" t="s">
        <v>37</v>
      </c>
      <c r="B32" s="76">
        <f t="shared" ref="B32:AF40" si="23">B16*42/1000</f>
        <v>90.048000000000002</v>
      </c>
      <c r="C32" s="76">
        <f t="shared" si="23"/>
        <v>121.548</v>
      </c>
      <c r="D32" s="76">
        <f t="shared" si="23"/>
        <v>103.488</v>
      </c>
      <c r="E32" s="76">
        <f t="shared" si="23"/>
        <v>67.2</v>
      </c>
      <c r="F32" s="76">
        <f t="shared" si="23"/>
        <v>106.47</v>
      </c>
      <c r="G32" s="76">
        <f t="shared" si="23"/>
        <v>119.78400000000001</v>
      </c>
      <c r="H32" s="76">
        <f t="shared" si="23"/>
        <v>124.236</v>
      </c>
      <c r="I32" s="76">
        <f t="shared" si="23"/>
        <v>130.32599999999999</v>
      </c>
      <c r="J32" s="76">
        <f t="shared" si="23"/>
        <v>145.74</v>
      </c>
      <c r="K32" s="76">
        <f t="shared" si="23"/>
        <v>182.364</v>
      </c>
      <c r="L32" s="76">
        <f t="shared" si="23"/>
        <v>238.77</v>
      </c>
      <c r="M32" s="76">
        <f t="shared" si="23"/>
        <v>284.17200000000003</v>
      </c>
      <c r="N32" s="76">
        <f t="shared" si="23"/>
        <v>329.322</v>
      </c>
      <c r="O32" s="76">
        <f t="shared" si="23"/>
        <v>423.69600000000003</v>
      </c>
      <c r="P32" s="76">
        <f t="shared" si="23"/>
        <v>562.88400000000001</v>
      </c>
      <c r="Q32" s="76">
        <f t="shared" si="23"/>
        <v>812.19600000000003</v>
      </c>
      <c r="R32" s="76">
        <f t="shared" si="23"/>
        <v>933.15599999999995</v>
      </c>
      <c r="S32" s="76">
        <f t="shared" si="23"/>
        <v>1101.2819999999999</v>
      </c>
      <c r="T32" s="76">
        <f t="shared" si="23"/>
        <v>1116.6959999999999</v>
      </c>
      <c r="U32" s="76">
        <f t="shared" si="23"/>
        <v>1023.792</v>
      </c>
      <c r="V32" s="76">
        <f t="shared" si="23"/>
        <v>1073.6880000000001</v>
      </c>
      <c r="W32" s="76">
        <f t="shared" si="23"/>
        <v>1167.894</v>
      </c>
      <c r="X32" s="76">
        <f t="shared" si="23"/>
        <v>1199.982</v>
      </c>
      <c r="Y32" s="76">
        <f t="shared" si="23"/>
        <v>1262.0160000000001</v>
      </c>
      <c r="Z32" s="76">
        <f t="shared" si="23"/>
        <v>1284.402</v>
      </c>
      <c r="AA32" s="76">
        <f t="shared" si="23"/>
        <v>1288.0139999999999</v>
      </c>
      <c r="AB32" s="76">
        <f t="shared" si="23"/>
        <v>1227.7439999999999</v>
      </c>
      <c r="AC32" s="76">
        <f t="shared" si="23"/>
        <v>1166.7180000000001</v>
      </c>
      <c r="AD32" s="76">
        <f t="shared" si="23"/>
        <v>1179.3599999999999</v>
      </c>
      <c r="AE32" s="76">
        <f t="shared" si="23"/>
        <v>1137.0239999999999</v>
      </c>
      <c r="AF32" s="76">
        <f t="shared" si="23"/>
        <v>1264.3679999999999</v>
      </c>
      <c r="AG32" s="76">
        <f>AG16*42/1000</f>
        <v>1311.24</v>
      </c>
      <c r="AH32" s="77">
        <f>('[2]D6 Gallon Forecast'!Q121/1000000)+$DA66</f>
        <v>1244.1273703151612</v>
      </c>
      <c r="AI32" s="77">
        <f>('[2]D6 Gallon Forecast'!R121/1000000)+$DA66</f>
        <v>1235.8107873696395</v>
      </c>
      <c r="AJ32" s="77">
        <f>('[2]D6 Gallon Forecast'!S121/1000000)+$DA66</f>
        <v>1235.3146809327718</v>
      </c>
      <c r="AK32" s="77">
        <f>('[2]D6 Gallon Forecast'!T121/1000000)+$DA66</f>
        <v>1254.9647106346426</v>
      </c>
      <c r="AL32" s="77">
        <f>('[2]D6 Gallon Forecast'!U121/1000000)+$DA66</f>
        <v>1266.1006177014121</v>
      </c>
      <c r="AM32" s="77">
        <f>('[2]D6 Gallon Forecast'!V121/1000000)+$DA66</f>
        <v>1271.7166791700531</v>
      </c>
      <c r="AN32" s="77">
        <f>('[2]D6 Gallon Forecast'!W121/1000000)+$DA66</f>
        <v>1282.6639006646037</v>
      </c>
      <c r="AO32" s="77">
        <f>('[2]D6 Gallon Forecast'!X121/1000000)+$DA66</f>
        <v>1292.2346960607347</v>
      </c>
      <c r="AP32" s="77">
        <f>('[2]D6 Gallon Forecast'!Y121/1000000)+$DA66</f>
        <v>1303.8984503679492</v>
      </c>
      <c r="AQ32" s="77">
        <f>('[2]D6 Gallon Forecast'!Z121/1000000)+$DA66</f>
        <v>1313.9161727955734</v>
      </c>
      <c r="AR32" s="77">
        <f>('[2]D6 Gallon Forecast'!AA121/1000000)+$DA66</f>
        <v>1323.7079591075928</v>
      </c>
      <c r="AS32" s="77">
        <f>('[2]D6 Gallon Forecast'!AB121/1000000)+$DA66</f>
        <v>1334.3651891459649</v>
      </c>
      <c r="AT32" s="77">
        <f>('[2]D6 Gallon Forecast'!AC121/1000000)+$DA66</f>
        <v>1344.9507262622465</v>
      </c>
      <c r="AU32" s="77">
        <f>('[2]D6 Gallon Forecast'!AD121/1000000)+$DA66</f>
        <v>1355.7486729285138</v>
      </c>
      <c r="AV32" s="77">
        <f>('[2]D6 Gallon Forecast'!AE121/1000000)+$DA66</f>
        <v>1366.3683026984702</v>
      </c>
      <c r="AW32" s="77">
        <f>('[2]D6 Gallon Forecast'!AF121/1000000)+$DA66</f>
        <v>1377.1121701058064</v>
      </c>
      <c r="AX32" s="77">
        <f>('[2]D6 Gallon Forecast'!AG121/1000000)+$DA66</f>
        <v>1388.0515446421753</v>
      </c>
      <c r="AY32" s="77">
        <f>AVERAGE(AT32:AX32)+$DA66</f>
        <v>1424.2607109274422</v>
      </c>
      <c r="AZ32" s="77">
        <f t="shared" ref="AZ32:BF43" si="24">AVERAGE(AU32:AY32)+$DA66</f>
        <v>1440.1227078604813</v>
      </c>
      <c r="BA32" s="77">
        <f t="shared" si="24"/>
        <v>1456.9975148468748</v>
      </c>
      <c r="BB32" s="77">
        <f t="shared" si="24"/>
        <v>1475.1233572765559</v>
      </c>
      <c r="BC32" s="77">
        <f t="shared" si="24"/>
        <v>1494.7255947107058</v>
      </c>
      <c r="BD32" s="77">
        <f t="shared" si="24"/>
        <v>1516.0604047244119</v>
      </c>
      <c r="BE32" s="77">
        <f t="shared" si="24"/>
        <v>1534.4203434838057</v>
      </c>
      <c r="BF32" s="77">
        <f t="shared" si="24"/>
        <v>1553.2798706084707</v>
      </c>
      <c r="BV32" s="92">
        <f>AF32/30</f>
        <v>42.145599999999995</v>
      </c>
      <c r="BW32" s="92">
        <f>AVERAGE(CY32:DC32)</f>
        <v>39.992399999999996</v>
      </c>
      <c r="BX32" s="93">
        <f>BV32-BW32</f>
        <v>2.1531999999999982</v>
      </c>
      <c r="BY32" s="69" t="s">
        <v>37</v>
      </c>
      <c r="BZ32" s="92">
        <f t="shared" ref="BZ32:DK32" si="25">B32/30</f>
        <v>3.0016000000000003</v>
      </c>
      <c r="CA32" s="92">
        <f t="shared" si="25"/>
        <v>4.0515999999999996</v>
      </c>
      <c r="CB32" s="92">
        <f t="shared" si="25"/>
        <v>3.4495999999999998</v>
      </c>
      <c r="CC32" s="92">
        <f t="shared" si="25"/>
        <v>2.2400000000000002</v>
      </c>
      <c r="CD32" s="92">
        <f t="shared" si="25"/>
        <v>3.5489999999999999</v>
      </c>
      <c r="CE32" s="92">
        <f t="shared" si="25"/>
        <v>3.9928000000000003</v>
      </c>
      <c r="CF32" s="92">
        <f t="shared" si="25"/>
        <v>4.1412000000000004</v>
      </c>
      <c r="CG32" s="92">
        <f t="shared" si="25"/>
        <v>4.3441999999999998</v>
      </c>
      <c r="CH32" s="92">
        <f t="shared" si="25"/>
        <v>4.8580000000000005</v>
      </c>
      <c r="CI32" s="92">
        <f t="shared" si="25"/>
        <v>6.0788000000000002</v>
      </c>
      <c r="CJ32" s="92">
        <f t="shared" si="25"/>
        <v>7.9590000000000005</v>
      </c>
      <c r="CK32" s="92">
        <f t="shared" si="25"/>
        <v>9.4724000000000004</v>
      </c>
      <c r="CL32" s="92">
        <f t="shared" si="25"/>
        <v>10.977399999999999</v>
      </c>
      <c r="CM32" s="92">
        <f t="shared" si="25"/>
        <v>14.123200000000001</v>
      </c>
      <c r="CN32" s="92">
        <f t="shared" si="25"/>
        <v>18.762800000000002</v>
      </c>
      <c r="CO32" s="92">
        <f t="shared" si="25"/>
        <v>27.0732</v>
      </c>
      <c r="CP32" s="92">
        <f t="shared" si="25"/>
        <v>31.1052</v>
      </c>
      <c r="CQ32" s="92">
        <f t="shared" si="25"/>
        <v>36.709399999999995</v>
      </c>
      <c r="CR32" s="92">
        <f t="shared" si="25"/>
        <v>37.223199999999999</v>
      </c>
      <c r="CS32" s="92">
        <f t="shared" si="25"/>
        <v>34.126400000000004</v>
      </c>
      <c r="CT32" s="92">
        <f t="shared" si="25"/>
        <v>35.7896</v>
      </c>
      <c r="CU32" s="92">
        <f t="shared" si="25"/>
        <v>38.9298</v>
      </c>
      <c r="CV32" s="92">
        <f t="shared" si="25"/>
        <v>39.999400000000001</v>
      </c>
      <c r="CW32" s="92">
        <f t="shared" si="25"/>
        <v>42.0672</v>
      </c>
      <c r="CX32" s="92">
        <f t="shared" si="25"/>
        <v>42.813400000000001</v>
      </c>
      <c r="CY32" s="92">
        <f t="shared" si="25"/>
        <v>42.933799999999998</v>
      </c>
      <c r="CZ32" s="92">
        <f t="shared" si="25"/>
        <v>40.924799999999998</v>
      </c>
      <c r="DA32" s="92">
        <f t="shared" si="25"/>
        <v>38.890599999999999</v>
      </c>
      <c r="DB32" s="92">
        <f t="shared" si="25"/>
        <v>39.311999999999998</v>
      </c>
      <c r="DC32" s="92">
        <f t="shared" si="25"/>
        <v>37.900799999999997</v>
      </c>
      <c r="DD32" s="92">
        <f t="shared" si="25"/>
        <v>42.145599999999995</v>
      </c>
      <c r="DE32" s="92">
        <f t="shared" si="25"/>
        <v>43.707999999999998</v>
      </c>
      <c r="DF32" s="93">
        <f t="shared" si="25"/>
        <v>41.470912343838705</v>
      </c>
      <c r="DG32" s="93">
        <f t="shared" si="25"/>
        <v>41.193692912321318</v>
      </c>
      <c r="DH32" s="93">
        <f t="shared" si="25"/>
        <v>41.177156031092395</v>
      </c>
      <c r="DI32" s="93">
        <f t="shared" si="25"/>
        <v>41.832157021154757</v>
      </c>
      <c r="DJ32" s="93">
        <f t="shared" si="25"/>
        <v>42.203353923380405</v>
      </c>
      <c r="DK32" s="93">
        <f t="shared" si="25"/>
        <v>42.3905559723351</v>
      </c>
    </row>
    <row r="33" spans="1:115">
      <c r="A33" s="69" t="s">
        <v>38</v>
      </c>
      <c r="B33" s="76">
        <f t="shared" si="23"/>
        <v>98.573999999999998</v>
      </c>
      <c r="C33" s="76">
        <f t="shared" si="23"/>
        <v>110.25</v>
      </c>
      <c r="D33" s="76">
        <f t="shared" si="23"/>
        <v>109.2</v>
      </c>
      <c r="E33" s="76">
        <f t="shared" si="23"/>
        <v>103.236</v>
      </c>
      <c r="F33" s="76">
        <f t="shared" si="23"/>
        <v>123.06</v>
      </c>
      <c r="G33" s="76">
        <f t="shared" si="23"/>
        <v>122.514</v>
      </c>
      <c r="H33" s="76">
        <f t="shared" si="23"/>
        <v>134.19</v>
      </c>
      <c r="I33" s="76">
        <f t="shared" si="23"/>
        <v>144.018</v>
      </c>
      <c r="J33" s="76">
        <f t="shared" si="23"/>
        <v>157.20599999999999</v>
      </c>
      <c r="K33" s="76">
        <f t="shared" si="23"/>
        <v>207.43799999999999</v>
      </c>
      <c r="L33" s="76">
        <f t="shared" si="23"/>
        <v>244.81800000000001</v>
      </c>
      <c r="M33" s="76">
        <f t="shared" si="23"/>
        <v>294.29399999999998</v>
      </c>
      <c r="N33" s="76">
        <f t="shared" si="23"/>
        <v>350.07</v>
      </c>
      <c r="O33" s="76">
        <f t="shared" si="23"/>
        <v>441.50400000000002</v>
      </c>
      <c r="P33" s="76">
        <f t="shared" si="23"/>
        <v>597.28200000000004</v>
      </c>
      <c r="Q33" s="76">
        <f t="shared" si="23"/>
        <v>842.01599999999996</v>
      </c>
      <c r="R33" s="76">
        <f t="shared" si="23"/>
        <v>985.61400000000003</v>
      </c>
      <c r="S33" s="76">
        <f t="shared" si="23"/>
        <v>1153.7819999999999</v>
      </c>
      <c r="T33" s="76">
        <f t="shared" si="23"/>
        <v>1176.546</v>
      </c>
      <c r="U33" s="76">
        <f t="shared" si="23"/>
        <v>1048.992</v>
      </c>
      <c r="V33" s="76">
        <f t="shared" si="23"/>
        <v>1175.79</v>
      </c>
      <c r="W33" s="76">
        <f t="shared" si="23"/>
        <v>1203.048</v>
      </c>
      <c r="X33" s="76">
        <f t="shared" si="23"/>
        <v>1255.212</v>
      </c>
      <c r="Y33" s="76">
        <f t="shared" si="23"/>
        <v>1302.252</v>
      </c>
      <c r="Z33" s="76">
        <f t="shared" si="23"/>
        <v>1347.192</v>
      </c>
      <c r="AA33" s="76">
        <f t="shared" si="23"/>
        <v>1359.96</v>
      </c>
      <c r="AB33" s="76">
        <f t="shared" si="23"/>
        <v>1299.5219999999999</v>
      </c>
      <c r="AC33" s="76">
        <f t="shared" si="23"/>
        <v>1243.788</v>
      </c>
      <c r="AD33" s="76">
        <f t="shared" si="23"/>
        <v>1355.5920000000001</v>
      </c>
      <c r="AE33" s="76">
        <f>AE17*42/1000</f>
        <v>1320.48</v>
      </c>
      <c r="AF33" s="76">
        <f t="shared" si="23"/>
        <v>1338.0360000000001</v>
      </c>
      <c r="AG33" s="76">
        <f>AG17*42/1000</f>
        <v>1366.6379999999999</v>
      </c>
      <c r="AH33" s="77">
        <f>('[2]D6 Gallon Forecast'!Q122/1000000)+$DA67</f>
        <v>1366.743039964975</v>
      </c>
      <c r="AI33" s="77">
        <f>('[2]D6 Gallon Forecast'!R122/1000000)+$DA67</f>
        <v>1366.263978658867</v>
      </c>
      <c r="AJ33" s="77">
        <f>('[2]D6 Gallon Forecast'!S122/1000000)+$DA67</f>
        <v>1373.508895940877</v>
      </c>
      <c r="AK33" s="77">
        <f>('[2]D6 Gallon Forecast'!T122/1000000)+$DA67</f>
        <v>1390.5283401411939</v>
      </c>
      <c r="AL33" s="77">
        <f>('[2]D6 Gallon Forecast'!U122/1000000)+$DA67</f>
        <v>1394.5264173963233</v>
      </c>
      <c r="AM33" s="77">
        <f>('[2]D6 Gallon Forecast'!V122/1000000)+$DA67</f>
        <v>1404.3208186802426</v>
      </c>
      <c r="AN33" s="77">
        <f>('[2]D6 Gallon Forecast'!W122/1000000)+$DA67</f>
        <v>1417.6518808513142</v>
      </c>
      <c r="AO33" s="77">
        <f>('[2]D6 Gallon Forecast'!X122/1000000)+$DA67</f>
        <v>1428.1500884567433</v>
      </c>
      <c r="AP33" s="77">
        <f>('[2]D6 Gallon Forecast'!Y122/1000000)+$DA67</f>
        <v>1439.3463984257824</v>
      </c>
      <c r="AQ33" s="77">
        <f>('[2]D6 Gallon Forecast'!Z122/1000000)+$DA67</f>
        <v>1449.3395509014722</v>
      </c>
      <c r="AR33" s="77">
        <f>('[2]D6 Gallon Forecast'!AA122/1000000)+$DA67</f>
        <v>1460.5651436197909</v>
      </c>
      <c r="AS33" s="77">
        <f>('[2]D6 Gallon Forecast'!AB122/1000000)+$DA67</f>
        <v>1472.0941765729667</v>
      </c>
      <c r="AT33" s="77">
        <f>('[2]D6 Gallon Forecast'!AC122/1000000)+$DA67</f>
        <v>1483.2407744164136</v>
      </c>
      <c r="AU33" s="77">
        <f>('[2]D6 Gallon Forecast'!AD122/1000000)+$DA67</f>
        <v>1494.5249693003552</v>
      </c>
      <c r="AV33" s="77">
        <f>('[2]D6 Gallon Forecast'!AE122/1000000)+$DA67</f>
        <v>1505.8262901344851</v>
      </c>
      <c r="AW33" s="77">
        <f>('[2]D6 Gallon Forecast'!AF122/1000000)+$DA67</f>
        <v>1517.3966764531822</v>
      </c>
      <c r="AX33" s="77">
        <f>('[2]D6 Gallon Forecast'!AG122/1000000)+$DA67</f>
        <v>1529.0381063888703</v>
      </c>
      <c r="AY33" s="77">
        <f t="shared" ref="AY33:AY43" si="26">AVERAGE(AT33:AX33)+$DA67</f>
        <v>1619.2979451386616</v>
      </c>
      <c r="AZ33" s="77">
        <f t="shared" si="24"/>
        <v>1646.5093792831112</v>
      </c>
      <c r="BA33" s="77">
        <f t="shared" si="24"/>
        <v>1676.9062612796624</v>
      </c>
      <c r="BB33" s="77">
        <f t="shared" si="24"/>
        <v>1711.1222555086977</v>
      </c>
      <c r="BC33" s="77">
        <f t="shared" si="24"/>
        <v>1749.8673713198007</v>
      </c>
      <c r="BD33" s="77">
        <f t="shared" si="24"/>
        <v>1794.0332243059868</v>
      </c>
      <c r="BE33" s="77">
        <f t="shared" si="24"/>
        <v>1828.9802801394519</v>
      </c>
      <c r="BF33" s="77">
        <f t="shared" si="24"/>
        <v>1865.4744603107201</v>
      </c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2">
        <f>AF33/31</f>
        <v>43.162451612903226</v>
      </c>
      <c r="BW33" s="92">
        <f t="shared" ref="BW33:BW44" si="27">AVERAGE(CY33:DC33)</f>
        <v>42.44736774193548</v>
      </c>
      <c r="BX33" s="93">
        <f t="shared" ref="BX33:BX44" si="28">BV33-BW33</f>
        <v>0.71508387096774584</v>
      </c>
      <c r="BY33" s="69" t="s">
        <v>38</v>
      </c>
      <c r="BZ33" s="92">
        <f t="shared" ref="BZ33:DK33" si="29">B33/31</f>
        <v>3.1798064516129032</v>
      </c>
      <c r="CA33" s="92">
        <f t="shared" si="29"/>
        <v>3.556451612903226</v>
      </c>
      <c r="CB33" s="92">
        <f t="shared" si="29"/>
        <v>3.5225806451612902</v>
      </c>
      <c r="CC33" s="92">
        <f t="shared" si="29"/>
        <v>3.330193548387097</v>
      </c>
      <c r="CD33" s="92">
        <f t="shared" si="29"/>
        <v>3.9696774193548388</v>
      </c>
      <c r="CE33" s="92">
        <f t="shared" si="29"/>
        <v>3.952064516129032</v>
      </c>
      <c r="CF33" s="92">
        <f t="shared" si="29"/>
        <v>4.3287096774193552</v>
      </c>
      <c r="CG33" s="92">
        <f t="shared" si="29"/>
        <v>4.6457419354838709</v>
      </c>
      <c r="CH33" s="92">
        <f t="shared" si="29"/>
        <v>5.0711612903225802</v>
      </c>
      <c r="CI33" s="92">
        <f t="shared" si="29"/>
        <v>6.6915483870967742</v>
      </c>
      <c r="CJ33" s="92">
        <f t="shared" si="29"/>
        <v>7.8973548387096777</v>
      </c>
      <c r="CK33" s="92">
        <f t="shared" si="29"/>
        <v>9.493354838709676</v>
      </c>
      <c r="CL33" s="92">
        <f t="shared" si="29"/>
        <v>11.292580645161291</v>
      </c>
      <c r="CM33" s="92">
        <f t="shared" si="29"/>
        <v>14.242064516129032</v>
      </c>
      <c r="CN33" s="92">
        <f t="shared" si="29"/>
        <v>19.267161290322584</v>
      </c>
      <c r="CO33" s="92">
        <f t="shared" si="29"/>
        <v>27.1618064516129</v>
      </c>
      <c r="CP33" s="92">
        <f t="shared" si="29"/>
        <v>31.794</v>
      </c>
      <c r="CQ33" s="92">
        <f t="shared" si="29"/>
        <v>37.218774193548384</v>
      </c>
      <c r="CR33" s="92">
        <f t="shared" si="29"/>
        <v>37.953096774193547</v>
      </c>
      <c r="CS33" s="92">
        <f t="shared" si="29"/>
        <v>33.838451612903228</v>
      </c>
      <c r="CT33" s="92">
        <f t="shared" si="29"/>
        <v>37.928709677419356</v>
      </c>
      <c r="CU33" s="92">
        <f t="shared" si="29"/>
        <v>38.808</v>
      </c>
      <c r="CV33" s="92">
        <f t="shared" si="29"/>
        <v>40.490709677419353</v>
      </c>
      <c r="CW33" s="92">
        <f t="shared" si="29"/>
        <v>42.008129032258061</v>
      </c>
      <c r="CX33" s="92">
        <f t="shared" si="29"/>
        <v>43.457806451612903</v>
      </c>
      <c r="CY33" s="92">
        <f t="shared" si="29"/>
        <v>43.869677419354836</v>
      </c>
      <c r="CZ33" s="92">
        <f t="shared" si="29"/>
        <v>41.920064516129031</v>
      </c>
      <c r="DA33" s="92">
        <f t="shared" si="29"/>
        <v>40.122193548387095</v>
      </c>
      <c r="DB33" s="92">
        <f t="shared" si="29"/>
        <v>43.728774193548389</v>
      </c>
      <c r="DC33" s="92">
        <f t="shared" si="29"/>
        <v>42.596129032258062</v>
      </c>
      <c r="DD33" s="92">
        <f t="shared" si="29"/>
        <v>43.162451612903226</v>
      </c>
      <c r="DE33" s="92">
        <f t="shared" si="29"/>
        <v>44.085096774193545</v>
      </c>
      <c r="DF33" s="93">
        <f t="shared" si="29"/>
        <v>44.088485160160481</v>
      </c>
      <c r="DG33" s="93">
        <f t="shared" si="29"/>
        <v>44.073031569640868</v>
      </c>
      <c r="DH33" s="93">
        <f t="shared" si="29"/>
        <v>44.306738578737971</v>
      </c>
      <c r="DI33" s="93">
        <f t="shared" si="29"/>
        <v>44.855752907780449</v>
      </c>
      <c r="DJ33" s="93">
        <f t="shared" si="29"/>
        <v>44.984723141816879</v>
      </c>
      <c r="DK33" s="93">
        <f t="shared" si="29"/>
        <v>45.300671570330408</v>
      </c>
    </row>
    <row r="34" spans="1:115">
      <c r="A34" s="69" t="s">
        <v>39</v>
      </c>
      <c r="B34" s="76">
        <f t="shared" si="23"/>
        <v>101.976</v>
      </c>
      <c r="C34" s="76">
        <f t="shared" si="23"/>
        <v>121.464</v>
      </c>
      <c r="D34" s="76">
        <f t="shared" si="23"/>
        <v>102.94199999999999</v>
      </c>
      <c r="E34" s="76">
        <f t="shared" si="23"/>
        <v>97.608000000000004</v>
      </c>
      <c r="F34" s="76">
        <f t="shared" si="23"/>
        <v>103.194</v>
      </c>
      <c r="G34" s="76">
        <f t="shared" si="23"/>
        <v>123.48</v>
      </c>
      <c r="H34" s="76">
        <f t="shared" si="23"/>
        <v>125.79</v>
      </c>
      <c r="I34" s="76">
        <f t="shared" si="23"/>
        <v>138.47399999999999</v>
      </c>
      <c r="J34" s="76">
        <f t="shared" si="23"/>
        <v>159.34800000000001</v>
      </c>
      <c r="K34" s="76">
        <f t="shared" si="23"/>
        <v>208.53</v>
      </c>
      <c r="L34" s="76">
        <f t="shared" si="23"/>
        <v>243.852</v>
      </c>
      <c r="M34" s="76">
        <f t="shared" si="23"/>
        <v>291.73200000000003</v>
      </c>
      <c r="N34" s="76">
        <f t="shared" si="23"/>
        <v>346.87799999999999</v>
      </c>
      <c r="O34" s="76">
        <f t="shared" si="23"/>
        <v>438.56400000000002</v>
      </c>
      <c r="P34" s="76">
        <f t="shared" si="23"/>
        <v>611.85599999999999</v>
      </c>
      <c r="Q34" s="76">
        <f t="shared" si="23"/>
        <v>845.83799999999997</v>
      </c>
      <c r="R34" s="76">
        <f t="shared" si="23"/>
        <v>1013.124</v>
      </c>
      <c r="S34" s="76">
        <f t="shared" si="23"/>
        <v>1165.374</v>
      </c>
      <c r="T34" s="76">
        <f t="shared" si="23"/>
        <v>1192.086</v>
      </c>
      <c r="U34" s="76">
        <f t="shared" si="23"/>
        <v>1039.248</v>
      </c>
      <c r="V34" s="76">
        <f t="shared" si="23"/>
        <v>1172.43</v>
      </c>
      <c r="W34" s="76">
        <f t="shared" si="23"/>
        <v>1200.6959999999999</v>
      </c>
      <c r="X34" s="76">
        <f t="shared" si="23"/>
        <v>1246.3499999999999</v>
      </c>
      <c r="Y34" s="76">
        <f t="shared" si="23"/>
        <v>1289.652</v>
      </c>
      <c r="Z34" s="76">
        <f>Z18*42/1000</f>
        <v>1363.6980000000001</v>
      </c>
      <c r="AA34" s="76">
        <f t="shared" si="23"/>
        <v>1323.588</v>
      </c>
      <c r="AB34" s="76">
        <f t="shared" si="23"/>
        <v>1317.0360000000001</v>
      </c>
      <c r="AC34" s="76">
        <f t="shared" si="23"/>
        <v>1256.43</v>
      </c>
      <c r="AD34" s="76">
        <f t="shared" si="23"/>
        <v>1360.086</v>
      </c>
      <c r="AE34" s="76">
        <f t="shared" si="23"/>
        <v>1326.36</v>
      </c>
      <c r="AF34" s="76">
        <f t="shared" si="23"/>
        <v>1327.326</v>
      </c>
      <c r="AG34" s="76">
        <f>AG18*42/1000</f>
        <v>1402.086</v>
      </c>
      <c r="AH34" s="77">
        <f>('[2]D6 Gallon Forecast'!Q123/1000000)+$DA68</f>
        <v>1346.2766605386205</v>
      </c>
      <c r="AI34" s="77">
        <f>('[2]D6 Gallon Forecast'!R123/1000000)+$DA68</f>
        <v>1344.3564843950728</v>
      </c>
      <c r="AJ34" s="77">
        <f>('[2]D6 Gallon Forecast'!S123/1000000)+$DA68</f>
        <v>1338.0902466826951</v>
      </c>
      <c r="AK34" s="77">
        <f>('[2]D6 Gallon Forecast'!T123/1000000)+$DA68</f>
        <v>1342.6461892371101</v>
      </c>
      <c r="AL34" s="77">
        <f>('[2]D6 Gallon Forecast'!U123/1000000)+$DA68</f>
        <v>1351.5087601023622</v>
      </c>
      <c r="AM34" s="77">
        <f>('[2]D6 Gallon Forecast'!V123/1000000)+$DA68</f>
        <v>1370.1110911954181</v>
      </c>
      <c r="AN34" s="77">
        <f>('[2]D6 Gallon Forecast'!W123/1000000)+$DA68</f>
        <v>1380.5227722372192</v>
      </c>
      <c r="AO34" s="77">
        <f>('[2]D6 Gallon Forecast'!X123/1000000)+$DA68</f>
        <v>1387.9013423831193</v>
      </c>
      <c r="AP34" s="77">
        <f>('[2]D6 Gallon Forecast'!Y123/1000000)+$DA68</f>
        <v>1398.1076156665627</v>
      </c>
      <c r="AQ34" s="77">
        <f>('[2]D6 Gallon Forecast'!Z123/1000000)+$DA68</f>
        <v>1409.4629361564328</v>
      </c>
      <c r="AR34" s="77">
        <f>('[2]D6 Gallon Forecast'!AA123/1000000)+$DA68</f>
        <v>1421.3326455732667</v>
      </c>
      <c r="AS34" s="77">
        <f>('[2]D6 Gallon Forecast'!AB123/1000000)+$DA68</f>
        <v>1431.8320671568265</v>
      </c>
      <c r="AT34" s="77">
        <f>('[2]D6 Gallon Forecast'!AC123/1000000)+$DA68</f>
        <v>1442.3367262785159</v>
      </c>
      <c r="AU34" s="77">
        <f>('[2]D6 Gallon Forecast'!AD123/1000000)+$DA68</f>
        <v>1453.4867837812626</v>
      </c>
      <c r="AV34" s="77">
        <f>('[2]D6 Gallon Forecast'!AE123/1000000)+$DA68</f>
        <v>1464.8294328186439</v>
      </c>
      <c r="AW34" s="77">
        <f>('[2]D6 Gallon Forecast'!AF123/1000000)+$DA68</f>
        <v>1476.1703714835246</v>
      </c>
      <c r="AX34" s="77">
        <f>('[2]D6 Gallon Forecast'!AG123/1000000)+$DA68</f>
        <v>1487.4032789949015</v>
      </c>
      <c r="AY34" s="77">
        <f t="shared" si="26"/>
        <v>1567.3226042713698</v>
      </c>
      <c r="AZ34" s="77">
        <f t="shared" si="24"/>
        <v>1592.3197798699405</v>
      </c>
      <c r="BA34" s="77">
        <f t="shared" si="24"/>
        <v>1620.0863790876761</v>
      </c>
      <c r="BB34" s="77">
        <f t="shared" si="24"/>
        <v>1651.1377683414823</v>
      </c>
      <c r="BC34" s="77">
        <f t="shared" si="24"/>
        <v>1686.1312477130739</v>
      </c>
      <c r="BD34" s="77">
        <f t="shared" si="24"/>
        <v>1725.8768414567085</v>
      </c>
      <c r="BE34" s="77">
        <f t="shared" si="24"/>
        <v>1757.5876888937764</v>
      </c>
      <c r="BF34" s="77">
        <f t="shared" si="24"/>
        <v>1790.6412706985434</v>
      </c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2">
        <f>AF34/30</f>
        <v>44.244199999999999</v>
      </c>
      <c r="BW34" s="92">
        <f t="shared" si="27"/>
        <v>43.89</v>
      </c>
      <c r="BX34" s="93">
        <f t="shared" si="28"/>
        <v>0.35419999999999874</v>
      </c>
      <c r="BY34" s="69" t="s">
        <v>39</v>
      </c>
      <c r="BZ34" s="92">
        <f t="shared" ref="BZ34:DK34" si="30">B34/30</f>
        <v>3.3992</v>
      </c>
      <c r="CA34" s="92">
        <f t="shared" si="30"/>
        <v>4.0488</v>
      </c>
      <c r="CB34" s="92">
        <f t="shared" si="30"/>
        <v>3.4313999999999996</v>
      </c>
      <c r="CC34" s="92">
        <f t="shared" si="30"/>
        <v>3.2536</v>
      </c>
      <c r="CD34" s="92">
        <f t="shared" si="30"/>
        <v>3.4398</v>
      </c>
      <c r="CE34" s="92">
        <f t="shared" si="30"/>
        <v>4.1160000000000005</v>
      </c>
      <c r="CF34" s="92">
        <f t="shared" si="30"/>
        <v>4.1930000000000005</v>
      </c>
      <c r="CG34" s="92">
        <f t="shared" si="30"/>
        <v>4.6157999999999992</v>
      </c>
      <c r="CH34" s="92">
        <f t="shared" si="30"/>
        <v>5.3116000000000003</v>
      </c>
      <c r="CI34" s="92">
        <f t="shared" si="30"/>
        <v>6.9509999999999996</v>
      </c>
      <c r="CJ34" s="92">
        <f t="shared" si="30"/>
        <v>8.128400000000001</v>
      </c>
      <c r="CK34" s="92">
        <f t="shared" si="30"/>
        <v>9.724400000000001</v>
      </c>
      <c r="CL34" s="92">
        <f t="shared" si="30"/>
        <v>11.5626</v>
      </c>
      <c r="CM34" s="92">
        <f t="shared" si="30"/>
        <v>14.6188</v>
      </c>
      <c r="CN34" s="92">
        <f t="shared" si="30"/>
        <v>20.395199999999999</v>
      </c>
      <c r="CO34" s="92">
        <f t="shared" si="30"/>
        <v>28.194599999999998</v>
      </c>
      <c r="CP34" s="92">
        <f t="shared" si="30"/>
        <v>33.770800000000001</v>
      </c>
      <c r="CQ34" s="92">
        <f t="shared" si="30"/>
        <v>38.845800000000004</v>
      </c>
      <c r="CR34" s="92">
        <f t="shared" si="30"/>
        <v>39.736200000000004</v>
      </c>
      <c r="CS34" s="92">
        <f t="shared" si="30"/>
        <v>34.641600000000004</v>
      </c>
      <c r="CT34" s="92">
        <f t="shared" si="30"/>
        <v>39.081000000000003</v>
      </c>
      <c r="CU34" s="92">
        <f t="shared" si="30"/>
        <v>40.023199999999996</v>
      </c>
      <c r="CV34" s="92">
        <f t="shared" si="30"/>
        <v>41.544999999999995</v>
      </c>
      <c r="CW34" s="92">
        <f t="shared" si="30"/>
        <v>42.988399999999999</v>
      </c>
      <c r="CX34" s="92">
        <f t="shared" si="30"/>
        <v>45.456600000000002</v>
      </c>
      <c r="CY34" s="92">
        <f t="shared" si="30"/>
        <v>44.119599999999998</v>
      </c>
      <c r="CZ34" s="92">
        <f t="shared" si="30"/>
        <v>43.901200000000003</v>
      </c>
      <c r="DA34" s="92">
        <f t="shared" si="30"/>
        <v>41.881</v>
      </c>
      <c r="DB34" s="92">
        <f t="shared" si="30"/>
        <v>45.336199999999998</v>
      </c>
      <c r="DC34" s="92">
        <f t="shared" si="30"/>
        <v>44.211999999999996</v>
      </c>
      <c r="DD34" s="92">
        <f t="shared" si="30"/>
        <v>44.244199999999999</v>
      </c>
      <c r="DE34" s="92">
        <f t="shared" si="30"/>
        <v>46.736200000000004</v>
      </c>
      <c r="DF34" s="93">
        <f t="shared" si="30"/>
        <v>44.875888684620683</v>
      </c>
      <c r="DG34" s="93">
        <f t="shared" si="30"/>
        <v>44.811882813169092</v>
      </c>
      <c r="DH34" s="93">
        <f t="shared" si="30"/>
        <v>44.603008222756507</v>
      </c>
      <c r="DI34" s="93">
        <f t="shared" si="30"/>
        <v>44.75487297457034</v>
      </c>
      <c r="DJ34" s="93">
        <f t="shared" si="30"/>
        <v>45.050292003412075</v>
      </c>
      <c r="DK34" s="93">
        <f t="shared" si="30"/>
        <v>45.670369706513938</v>
      </c>
    </row>
    <row r="35" spans="1:115">
      <c r="A35" s="69" t="s">
        <v>40</v>
      </c>
      <c r="B35" s="76">
        <f t="shared" si="23"/>
        <v>108.864</v>
      </c>
      <c r="C35" s="76">
        <f t="shared" si="23"/>
        <v>127.092</v>
      </c>
      <c r="D35" s="76">
        <f t="shared" si="23"/>
        <v>118.104</v>
      </c>
      <c r="E35" s="76">
        <f t="shared" si="23"/>
        <v>103.194</v>
      </c>
      <c r="F35" s="76">
        <f t="shared" si="23"/>
        <v>131.46</v>
      </c>
      <c r="G35" s="76">
        <f t="shared" si="23"/>
        <v>144.102</v>
      </c>
      <c r="H35" s="76">
        <f t="shared" si="23"/>
        <v>145.86600000000001</v>
      </c>
      <c r="I35" s="76">
        <f t="shared" si="23"/>
        <v>149.72999999999999</v>
      </c>
      <c r="J35" s="76">
        <f t="shared" si="23"/>
        <v>161.11199999999999</v>
      </c>
      <c r="K35" s="76">
        <f t="shared" si="23"/>
        <v>228.94200000000001</v>
      </c>
      <c r="L35" s="76">
        <f t="shared" si="23"/>
        <v>269.76600000000002</v>
      </c>
      <c r="M35" s="76">
        <f t="shared" si="23"/>
        <v>303.61799999999999</v>
      </c>
      <c r="N35" s="76">
        <f t="shared" si="23"/>
        <v>364.392</v>
      </c>
      <c r="O35" s="76">
        <f t="shared" si="23"/>
        <v>471.03</v>
      </c>
      <c r="P35" s="76">
        <f t="shared" si="23"/>
        <v>640.83600000000001</v>
      </c>
      <c r="Q35" s="76">
        <f t="shared" si="23"/>
        <v>854.36400000000003</v>
      </c>
      <c r="R35" s="76">
        <f t="shared" si="23"/>
        <v>1055.6279999999999</v>
      </c>
      <c r="S35" s="76">
        <f t="shared" si="23"/>
        <v>1195.194</v>
      </c>
      <c r="T35" s="76">
        <f t="shared" si="23"/>
        <v>1248.1559999999999</v>
      </c>
      <c r="U35" s="76">
        <f t="shared" si="23"/>
        <v>1074.444</v>
      </c>
      <c r="V35" s="76">
        <f t="shared" si="23"/>
        <v>1235.01</v>
      </c>
      <c r="W35" s="76">
        <f t="shared" si="23"/>
        <v>1294.902</v>
      </c>
      <c r="X35" s="76">
        <f t="shared" si="23"/>
        <v>1305.402</v>
      </c>
      <c r="Y35" s="76">
        <f t="shared" si="23"/>
        <v>1372.56</v>
      </c>
      <c r="Z35" s="76">
        <f>Z19*42/1000</f>
        <v>1377.9780000000001</v>
      </c>
      <c r="AA35" s="76">
        <f t="shared" si="23"/>
        <v>1332.912</v>
      </c>
      <c r="AB35" s="76">
        <f t="shared" si="23"/>
        <v>1397.55</v>
      </c>
      <c r="AC35" s="76">
        <f t="shared" si="23"/>
        <v>1264.5360000000001</v>
      </c>
      <c r="AD35" s="76">
        <f t="shared" si="23"/>
        <v>1391.5440000000001</v>
      </c>
      <c r="AE35" s="76">
        <f t="shared" si="23"/>
        <v>1261.932</v>
      </c>
      <c r="AF35" s="76">
        <f t="shared" si="23"/>
        <v>1408.26</v>
      </c>
      <c r="AG35" s="76">
        <f>AG19*42/1000</f>
        <v>1435.7280000000001</v>
      </c>
      <c r="AH35" s="77">
        <f>('[2]D6 Gallon Forecast'!Q124/1000000)+$DA69</f>
        <v>1371.2062069071326</v>
      </c>
      <c r="AI35" s="77">
        <f>('[2]D6 Gallon Forecast'!R124/1000000)+$DA69</f>
        <v>1390.2960362078832</v>
      </c>
      <c r="AJ35" s="77">
        <f>('[2]D6 Gallon Forecast'!S124/1000000)+$DA69</f>
        <v>1378.8741617510409</v>
      </c>
      <c r="AK35" s="77">
        <f>('[2]D6 Gallon Forecast'!T124/1000000)+$DA69</f>
        <v>1399.3480586601822</v>
      </c>
      <c r="AL35" s="77">
        <f>('[2]D6 Gallon Forecast'!U124/1000000)+$DA69</f>
        <v>1410.8266079001326</v>
      </c>
      <c r="AM35" s="77">
        <f>('[2]D6 Gallon Forecast'!V124/1000000)+$DA69</f>
        <v>1416.1625491497243</v>
      </c>
      <c r="AN35" s="77">
        <f>('[2]D6 Gallon Forecast'!W124/1000000)+$DA69</f>
        <v>1431.0161053041281</v>
      </c>
      <c r="AO35" s="77">
        <f>('[2]D6 Gallon Forecast'!X124/1000000)+$DA69</f>
        <v>1439.3273481116707</v>
      </c>
      <c r="AP35" s="77">
        <f>('[2]D6 Gallon Forecast'!Y124/1000000)+$DA69</f>
        <v>1451.7150815347818</v>
      </c>
      <c r="AQ35" s="77">
        <f>('[2]D6 Gallon Forecast'!Z124/1000000)+$DA69</f>
        <v>1462.4357161304276</v>
      </c>
      <c r="AR35" s="77">
        <f>('[2]D6 Gallon Forecast'!AA124/1000000)+$DA69</f>
        <v>1473.0044841379693</v>
      </c>
      <c r="AS35" s="77">
        <f>('[2]D6 Gallon Forecast'!AB124/1000000)+$DA69</f>
        <v>1484.6560206284555</v>
      </c>
      <c r="AT35" s="77">
        <f>('[2]D6 Gallon Forecast'!AC124/1000000)+$DA69</f>
        <v>1495.6381096968739</v>
      </c>
      <c r="AU35" s="77">
        <f>('[2]D6 Gallon Forecast'!AD124/1000000)+$DA69</f>
        <v>1507.1723871235592</v>
      </c>
      <c r="AV35" s="77">
        <f>('[2]D6 Gallon Forecast'!AE124/1000000)+$DA69</f>
        <v>1518.5308235583336</v>
      </c>
      <c r="AW35" s="77">
        <f>('[2]D6 Gallon Forecast'!AF124/1000000)+$DA69</f>
        <v>1530.0209120085137</v>
      </c>
      <c r="AX35" s="77">
        <f>('[2]D6 Gallon Forecast'!AG124/1000000)+$DA69</f>
        <v>1541.7002248174031</v>
      </c>
      <c r="AY35" s="77">
        <f t="shared" si="26"/>
        <v>1641.4806086409369</v>
      </c>
      <c r="AZ35" s="77">
        <f t="shared" si="24"/>
        <v>1670.6491084297495</v>
      </c>
      <c r="BA35" s="77">
        <f t="shared" si="24"/>
        <v>1703.3444526909875</v>
      </c>
      <c r="BB35" s="77">
        <f t="shared" si="24"/>
        <v>1740.3071785175184</v>
      </c>
      <c r="BC35" s="77">
        <f t="shared" si="24"/>
        <v>1782.3644318193192</v>
      </c>
      <c r="BD35" s="77">
        <f t="shared" si="24"/>
        <v>1830.4972732197025</v>
      </c>
      <c r="BE35" s="77">
        <f t="shared" si="24"/>
        <v>1868.3006061354554</v>
      </c>
      <c r="BF35" s="77">
        <f t="shared" si="24"/>
        <v>1907.8309056765968</v>
      </c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2">
        <f>AF35/31</f>
        <v>45.427741935483873</v>
      </c>
      <c r="BW35" s="92">
        <f t="shared" si="27"/>
        <v>42.893380645161287</v>
      </c>
      <c r="BX35" s="93">
        <f t="shared" si="28"/>
        <v>2.5343612903225861</v>
      </c>
      <c r="BY35" s="69" t="s">
        <v>40</v>
      </c>
      <c r="BZ35" s="92">
        <f t="shared" ref="BZ35:CO36" si="31">B35/31</f>
        <v>3.511741935483871</v>
      </c>
      <c r="CA35" s="92">
        <f t="shared" si="31"/>
        <v>4.0997419354838707</v>
      </c>
      <c r="CB35" s="92">
        <f t="shared" si="31"/>
        <v>3.8098064516129031</v>
      </c>
      <c r="CC35" s="92">
        <f t="shared" si="31"/>
        <v>3.3288387096774192</v>
      </c>
      <c r="CD35" s="92">
        <f t="shared" si="31"/>
        <v>4.2406451612903231</v>
      </c>
      <c r="CE35" s="92">
        <f t="shared" si="31"/>
        <v>4.6484516129032256</v>
      </c>
      <c r="CF35" s="92">
        <f t="shared" si="31"/>
        <v>4.7053548387096775</v>
      </c>
      <c r="CG35" s="92">
        <f t="shared" si="31"/>
        <v>4.83</v>
      </c>
      <c r="CH35" s="92">
        <f t="shared" si="31"/>
        <v>5.1971612903225806</v>
      </c>
      <c r="CI35" s="92">
        <f t="shared" si="31"/>
        <v>7.3852258064516132</v>
      </c>
      <c r="CJ35" s="92">
        <f t="shared" si="31"/>
        <v>8.7021290322580658</v>
      </c>
      <c r="CK35" s="92">
        <f t="shared" si="31"/>
        <v>9.7941290322580645</v>
      </c>
      <c r="CL35" s="92">
        <f t="shared" si="31"/>
        <v>11.75458064516129</v>
      </c>
      <c r="CM35" s="92">
        <f t="shared" si="31"/>
        <v>15.194516129032257</v>
      </c>
      <c r="CN35" s="92">
        <f t="shared" si="31"/>
        <v>20.672129032258066</v>
      </c>
      <c r="CO35" s="92">
        <f t="shared" si="31"/>
        <v>27.560129032258065</v>
      </c>
      <c r="CP35" s="92">
        <f t="shared" ref="CP35:DE36" si="32">R35/31</f>
        <v>34.052516129032256</v>
      </c>
      <c r="CQ35" s="92">
        <f t="shared" si="32"/>
        <v>38.554645161290324</v>
      </c>
      <c r="CR35" s="92">
        <f t="shared" si="32"/>
        <v>40.263096774193549</v>
      </c>
      <c r="CS35" s="92">
        <f t="shared" si="32"/>
        <v>34.65948387096774</v>
      </c>
      <c r="CT35" s="92">
        <f t="shared" si="32"/>
        <v>39.839032258064513</v>
      </c>
      <c r="CU35" s="92">
        <f t="shared" si="32"/>
        <v>41.771032258064515</v>
      </c>
      <c r="CV35" s="92">
        <f t="shared" si="32"/>
        <v>42.109741935483875</v>
      </c>
      <c r="CW35" s="92">
        <f t="shared" si="32"/>
        <v>44.276129032258062</v>
      </c>
      <c r="CX35" s="92">
        <f t="shared" si="32"/>
        <v>44.450903225806456</v>
      </c>
      <c r="CY35" s="92">
        <f t="shared" si="32"/>
        <v>42.99716129032258</v>
      </c>
      <c r="CZ35" s="92">
        <f t="shared" si="32"/>
        <v>45.082258064516125</v>
      </c>
      <c r="DA35" s="92">
        <f t="shared" si="32"/>
        <v>40.791483870967745</v>
      </c>
      <c r="DB35" s="92">
        <f t="shared" si="32"/>
        <v>44.888516129032261</v>
      </c>
      <c r="DC35" s="92">
        <f t="shared" si="32"/>
        <v>40.707483870967742</v>
      </c>
      <c r="DD35" s="92">
        <f t="shared" si="32"/>
        <v>45.427741935483873</v>
      </c>
      <c r="DE35" s="92">
        <f t="shared" si="32"/>
        <v>46.313806451612905</v>
      </c>
      <c r="DF35" s="93">
        <f t="shared" ref="DD35:DK36" si="33">AH35/31</f>
        <v>44.232458287326857</v>
      </c>
      <c r="DG35" s="93">
        <f t="shared" si="33"/>
        <v>44.848259232512362</v>
      </c>
      <c r="DH35" s="93">
        <f t="shared" si="33"/>
        <v>44.479811669388418</v>
      </c>
      <c r="DI35" s="93">
        <f t="shared" si="33"/>
        <v>45.140259956780071</v>
      </c>
      <c r="DJ35" s="93">
        <f t="shared" si="33"/>
        <v>45.510535738713955</v>
      </c>
      <c r="DK35" s="93">
        <f t="shared" si="33"/>
        <v>45.682662875797561</v>
      </c>
    </row>
    <row r="36" spans="1:115">
      <c r="A36" s="69" t="s">
        <v>30</v>
      </c>
      <c r="B36" s="76">
        <f t="shared" si="23"/>
        <v>113.568</v>
      </c>
      <c r="C36" s="76">
        <f t="shared" si="23"/>
        <v>126.714</v>
      </c>
      <c r="D36" s="76">
        <f t="shared" si="23"/>
        <v>110.88</v>
      </c>
      <c r="E36" s="76">
        <f t="shared" si="23"/>
        <v>100.63200000000001</v>
      </c>
      <c r="F36" s="76">
        <f t="shared" si="23"/>
        <v>135.15600000000001</v>
      </c>
      <c r="G36" s="76">
        <f t="shared" si="23"/>
        <v>133.13999999999999</v>
      </c>
      <c r="H36" s="76">
        <f t="shared" si="23"/>
        <v>134.56800000000001</v>
      </c>
      <c r="I36" s="76">
        <f t="shared" si="23"/>
        <v>150.108</v>
      </c>
      <c r="J36" s="76">
        <f t="shared" si="23"/>
        <v>175.93799999999999</v>
      </c>
      <c r="K36" s="76">
        <f t="shared" si="23"/>
        <v>230.874</v>
      </c>
      <c r="L36" s="76">
        <f t="shared" si="23"/>
        <v>275.142</v>
      </c>
      <c r="M36" s="76">
        <f t="shared" si="23"/>
        <v>313.36200000000002</v>
      </c>
      <c r="N36" s="76">
        <f t="shared" si="23"/>
        <v>375.27</v>
      </c>
      <c r="O36" s="76">
        <f t="shared" si="23"/>
        <v>488.08199999999999</v>
      </c>
      <c r="P36" s="76">
        <f t="shared" si="23"/>
        <v>674.43600000000004</v>
      </c>
      <c r="Q36" s="76">
        <f t="shared" si="23"/>
        <v>821.56200000000001</v>
      </c>
      <c r="R36" s="76">
        <f t="shared" si="23"/>
        <v>1076.25</v>
      </c>
      <c r="S36" s="76">
        <f t="shared" si="23"/>
        <v>1195.614</v>
      </c>
      <c r="T36" s="76">
        <f t="shared" si="23"/>
        <v>1219.596</v>
      </c>
      <c r="U36" s="76">
        <f t="shared" si="23"/>
        <v>1040.6759999999999</v>
      </c>
      <c r="V36" s="76">
        <f t="shared" si="23"/>
        <v>1184.1479999999999</v>
      </c>
      <c r="W36" s="76">
        <f t="shared" si="23"/>
        <v>1250.3399999999999</v>
      </c>
      <c r="X36" s="76">
        <f t="shared" si="23"/>
        <v>1278.9839999999999</v>
      </c>
      <c r="Y36" s="76">
        <f t="shared" si="23"/>
        <v>1368.2339999999999</v>
      </c>
      <c r="Z36" s="76">
        <f t="shared" si="23"/>
        <v>1361.9760000000001</v>
      </c>
      <c r="AA36" s="76">
        <f t="shared" si="23"/>
        <v>1327.242</v>
      </c>
      <c r="AB36" s="76">
        <f t="shared" si="23"/>
        <v>1400.5319999999999</v>
      </c>
      <c r="AC36" s="76">
        <f t="shared" si="23"/>
        <v>1209.9780000000001</v>
      </c>
      <c r="AD36" s="76">
        <f t="shared" si="23"/>
        <v>1352.0219999999999</v>
      </c>
      <c r="AE36" s="76">
        <f t="shared" si="23"/>
        <v>1304.6880000000001</v>
      </c>
      <c r="AF36" s="76">
        <f t="shared" si="23"/>
        <v>1295.4059999999999</v>
      </c>
      <c r="AG36" s="76">
        <f>AG20*42/1000</f>
        <v>1411.0319999999999</v>
      </c>
      <c r="AH36" s="77">
        <f>('[2]D6 Gallon Forecast'!R113/1000000)+$DA69</f>
        <v>1319.0133181871042</v>
      </c>
      <c r="AI36" s="77">
        <f>('[2]D6 Gallon Forecast'!S113/1000000)+$DA69</f>
        <v>1337.4749131508661</v>
      </c>
      <c r="AJ36" s="77">
        <f>('[2]D6 Gallon Forecast'!T113/1000000)+$DA69</f>
        <v>1346.6680197219885</v>
      </c>
      <c r="AK36" s="77">
        <f>('[2]D6 Gallon Forecast'!U113/1000000)+$DA69</f>
        <v>1357.7074172865632</v>
      </c>
      <c r="AL36" s="77">
        <f>('[2]D6 Gallon Forecast'!V113/1000000)+$DA69</f>
        <v>1370.6773833437978</v>
      </c>
      <c r="AM36" s="77">
        <f>('[2]D6 Gallon Forecast'!W113/1000000)+$DA69</f>
        <v>1376.9026375520757</v>
      </c>
      <c r="AN36" s="77">
        <f>('[2]D6 Gallon Forecast'!X113/1000000)+$DA69</f>
        <v>1388.7350002401265</v>
      </c>
      <c r="AO36" s="77">
        <f>('[2]D6 Gallon Forecast'!Y113/1000000)+$DA69</f>
        <v>1399.2383817011214</v>
      </c>
      <c r="AP36" s="77">
        <f>('[2]D6 Gallon Forecast'!Z113/1000000)+$DA69</f>
        <v>1410.0012611135787</v>
      </c>
      <c r="AQ36" s="77">
        <f>('[2]D6 Gallon Forecast'!AA113/1000000)+$DA69</f>
        <v>1420.7108103645971</v>
      </c>
      <c r="AR36" s="77">
        <f>('[2]D6 Gallon Forecast'!AB113/1000000)+$DA69</f>
        <v>1430.9666850588521</v>
      </c>
      <c r="AS36" s="77">
        <f>('[2]D6 Gallon Forecast'!AC113/1000000)+$DA69</f>
        <v>1442.0362489649403</v>
      </c>
      <c r="AT36" s="77">
        <f>('[2]D6 Gallon Forecast'!AD113/1000000)+$DA69</f>
        <v>1452.9539543825626</v>
      </c>
      <c r="AU36" s="77">
        <f>('[2]D6 Gallon Forecast'!AE113/1000000)+$DA69</f>
        <v>1463.955733525695</v>
      </c>
      <c r="AV36" s="77">
        <f>('[2]D6 Gallon Forecast'!AF113/1000000)+$DA69</f>
        <v>1475.0073589129111</v>
      </c>
      <c r="AW36" s="77">
        <f>('[2]D6 Gallon Forecast'!AG113/1000000)+$DA69</f>
        <v>1486.1294583963584</v>
      </c>
      <c r="AX36" s="77">
        <f>AVERAGE(AS36:AW36)+$DA69</f>
        <v>1586.8846680364934</v>
      </c>
      <c r="AY36" s="77">
        <f t="shared" si="26"/>
        <v>1621.463797250804</v>
      </c>
      <c r="AZ36" s="77">
        <f t="shared" si="24"/>
        <v>1655.1657658244526</v>
      </c>
      <c r="BA36" s="77">
        <f t="shared" si="24"/>
        <v>1693.4077722842039</v>
      </c>
      <c r="BB36" s="77">
        <f t="shared" si="24"/>
        <v>1737.0878549584625</v>
      </c>
      <c r="BC36" s="77">
        <f t="shared" si="24"/>
        <v>1787.2795342708835</v>
      </c>
      <c r="BD36" s="77">
        <f t="shared" si="24"/>
        <v>1827.3585075177614</v>
      </c>
      <c r="BE36" s="77">
        <f t="shared" si="24"/>
        <v>1868.5374495711528</v>
      </c>
      <c r="BF36" s="77">
        <f t="shared" si="24"/>
        <v>1911.2117863204928</v>
      </c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2">
        <f>AF36/30</f>
        <v>43.180199999999999</v>
      </c>
      <c r="BW36" s="92">
        <f t="shared" si="27"/>
        <v>42.544916129032259</v>
      </c>
      <c r="BX36" s="93">
        <f t="shared" si="28"/>
        <v>0.63528387096773997</v>
      </c>
      <c r="BY36" s="69" t="s">
        <v>30</v>
      </c>
      <c r="BZ36" s="92">
        <f t="shared" si="31"/>
        <v>3.6634838709677418</v>
      </c>
      <c r="CA36" s="92">
        <f t="shared" si="31"/>
        <v>4.0875483870967741</v>
      </c>
      <c r="CB36" s="92">
        <f t="shared" si="31"/>
        <v>3.576774193548387</v>
      </c>
      <c r="CC36" s="92">
        <f t="shared" si="31"/>
        <v>3.2461935483870969</v>
      </c>
      <c r="CD36" s="92">
        <f t="shared" si="31"/>
        <v>4.3598709677419354</v>
      </c>
      <c r="CE36" s="92">
        <f t="shared" si="31"/>
        <v>4.2948387096774185</v>
      </c>
      <c r="CF36" s="92">
        <f t="shared" si="31"/>
        <v>4.3409032258064517</v>
      </c>
      <c r="CG36" s="92">
        <f t="shared" si="31"/>
        <v>4.8421935483870966</v>
      </c>
      <c r="CH36" s="92">
        <f t="shared" si="31"/>
        <v>5.6754193548387093</v>
      </c>
      <c r="CI36" s="92">
        <f t="shared" si="31"/>
        <v>7.4475483870967745</v>
      </c>
      <c r="CJ36" s="92">
        <f t="shared" si="31"/>
        <v>8.8755483870967744</v>
      </c>
      <c r="CK36" s="92">
        <f t="shared" si="31"/>
        <v>10.108451612903227</v>
      </c>
      <c r="CL36" s="92">
        <f t="shared" si="31"/>
        <v>12.105483870967742</v>
      </c>
      <c r="CM36" s="92">
        <f t="shared" si="31"/>
        <v>15.744580645161291</v>
      </c>
      <c r="CN36" s="92">
        <f t="shared" si="31"/>
        <v>21.756</v>
      </c>
      <c r="CO36" s="92">
        <f t="shared" si="31"/>
        <v>26.501999999999999</v>
      </c>
      <c r="CP36" s="92">
        <f t="shared" si="32"/>
        <v>34.717741935483872</v>
      </c>
      <c r="CQ36" s="92">
        <f t="shared" si="32"/>
        <v>38.5681935483871</v>
      </c>
      <c r="CR36" s="92">
        <f t="shared" si="32"/>
        <v>39.341806451612904</v>
      </c>
      <c r="CS36" s="92">
        <f t="shared" si="32"/>
        <v>33.570193548387095</v>
      </c>
      <c r="CT36" s="92">
        <f t="shared" si="32"/>
        <v>38.198322580645161</v>
      </c>
      <c r="CU36" s="92">
        <f t="shared" si="32"/>
        <v>40.333548387096769</v>
      </c>
      <c r="CV36" s="92">
        <f t="shared" si="32"/>
        <v>41.257548387096769</v>
      </c>
      <c r="CW36" s="92">
        <f t="shared" si="32"/>
        <v>44.136580645161288</v>
      </c>
      <c r="CX36" s="92">
        <f t="shared" si="32"/>
        <v>43.934709677419356</v>
      </c>
      <c r="CY36" s="92">
        <f t="shared" si="32"/>
        <v>42.814258064516125</v>
      </c>
      <c r="CZ36" s="92">
        <f t="shared" si="32"/>
        <v>45.178451612903224</v>
      </c>
      <c r="DA36" s="92">
        <f t="shared" si="32"/>
        <v>39.031548387096777</v>
      </c>
      <c r="DB36" s="92">
        <f t="shared" si="32"/>
        <v>43.613612903225807</v>
      </c>
      <c r="DC36" s="92">
        <f t="shared" si="32"/>
        <v>42.086709677419357</v>
      </c>
      <c r="DD36" s="92">
        <f t="shared" si="33"/>
        <v>41.787290322580645</v>
      </c>
      <c r="DE36" s="93">
        <f t="shared" si="33"/>
        <v>45.517161290322576</v>
      </c>
      <c r="DF36" s="93">
        <f t="shared" si="33"/>
        <v>42.548816715713038</v>
      </c>
      <c r="DG36" s="93">
        <f t="shared" si="33"/>
        <v>43.144352037124712</v>
      </c>
      <c r="DH36" s="93">
        <f t="shared" si="33"/>
        <v>43.440903861999629</v>
      </c>
      <c r="DI36" s="93">
        <f t="shared" si="33"/>
        <v>43.797013460856881</v>
      </c>
      <c r="DJ36" s="93">
        <f t="shared" si="33"/>
        <v>44.215399462703154</v>
      </c>
      <c r="DK36" s="93">
        <f t="shared" si="33"/>
        <v>44.416214114583084</v>
      </c>
    </row>
    <row r="37" spans="1:115">
      <c r="A37" s="69" t="s">
        <v>31</v>
      </c>
      <c r="B37" s="76">
        <f t="shared" si="23"/>
        <v>90.804000000000002</v>
      </c>
      <c r="C37" s="76">
        <f t="shared" si="23"/>
        <v>115.164</v>
      </c>
      <c r="D37" s="76">
        <f t="shared" si="23"/>
        <v>88.367999999999995</v>
      </c>
      <c r="E37" s="76">
        <f t="shared" si="23"/>
        <v>95.885999999999996</v>
      </c>
      <c r="F37" s="76">
        <f t="shared" si="23"/>
        <v>97.524000000000001</v>
      </c>
      <c r="G37" s="76">
        <f t="shared" si="23"/>
        <v>107.142</v>
      </c>
      <c r="H37" s="76">
        <f t="shared" si="23"/>
        <v>127.05</v>
      </c>
      <c r="I37" s="76">
        <f t="shared" si="23"/>
        <v>136.458</v>
      </c>
      <c r="J37" s="76">
        <f t="shared" si="23"/>
        <v>144.018</v>
      </c>
      <c r="K37" s="76">
        <f t="shared" si="23"/>
        <v>198.828</v>
      </c>
      <c r="L37" s="76">
        <f t="shared" si="23"/>
        <v>258.51</v>
      </c>
      <c r="M37" s="76">
        <f t="shared" si="23"/>
        <v>287.57400000000001</v>
      </c>
      <c r="N37" s="76">
        <f t="shared" si="23"/>
        <v>355.44600000000003</v>
      </c>
      <c r="O37" s="76">
        <f t="shared" si="23"/>
        <v>453.39</v>
      </c>
      <c r="P37" s="76">
        <f t="shared" si="23"/>
        <v>652.13400000000001</v>
      </c>
      <c r="Q37" s="76">
        <f t="shared" si="23"/>
        <v>766.71</v>
      </c>
      <c r="R37" s="76">
        <f t="shared" si="23"/>
        <v>999.68399999999997</v>
      </c>
      <c r="S37" s="76">
        <f t="shared" si="23"/>
        <v>1062.5999999999999</v>
      </c>
      <c r="T37" s="76">
        <f t="shared" si="23"/>
        <v>1119.174</v>
      </c>
      <c r="U37" s="76">
        <f t="shared" si="23"/>
        <v>944.74800000000005</v>
      </c>
      <c r="V37" s="76">
        <f t="shared" si="23"/>
        <v>1061.298</v>
      </c>
      <c r="W37" s="76">
        <f t="shared" si="23"/>
        <v>1126.1880000000001</v>
      </c>
      <c r="X37" s="76">
        <f t="shared" si="23"/>
        <v>1210.02</v>
      </c>
      <c r="Y37" s="76">
        <f t="shared" si="23"/>
        <v>1220.184</v>
      </c>
      <c r="Z37" s="76">
        <f t="shared" si="23"/>
        <v>1239.798</v>
      </c>
      <c r="AA37" s="76">
        <f t="shared" si="23"/>
        <v>1200.192</v>
      </c>
      <c r="AB37" s="76">
        <f>AB21*42/1000</f>
        <v>1281.462</v>
      </c>
      <c r="AC37" s="76">
        <f t="shared" si="23"/>
        <v>961.59</v>
      </c>
      <c r="AD37" s="76">
        <f t="shared" si="23"/>
        <v>1188.768</v>
      </c>
      <c r="AE37" s="76">
        <f t="shared" si="23"/>
        <v>1175.1600000000001</v>
      </c>
      <c r="AF37" s="76">
        <f t="shared" si="23"/>
        <v>1308.258</v>
      </c>
      <c r="AG37" s="89">
        <f t="shared" ref="AE37:AG43" si="34">AG21*42/1000</f>
        <v>1274.8679999999999</v>
      </c>
      <c r="AH37" s="77">
        <f>('[2]D6 Gallon Forecast'!R114/1000000)+$DA70</f>
        <v>1217.8567959984505</v>
      </c>
      <c r="AI37" s="77">
        <f>('[2]D6 Gallon Forecast'!S114/1000000)+$DA70</f>
        <v>1252.2849159195639</v>
      </c>
      <c r="AJ37" s="77">
        <f>('[2]D6 Gallon Forecast'!T114/1000000)+$DA70</f>
        <v>1270.9980316937213</v>
      </c>
      <c r="AK37" s="77">
        <f>('[2]D6 Gallon Forecast'!U114/1000000)+$DA70</f>
        <v>1281.9414844251555</v>
      </c>
      <c r="AL37" s="77">
        <f>('[2]D6 Gallon Forecast'!V114/1000000)+$DA70</f>
        <v>1277.2859743354293</v>
      </c>
      <c r="AM37" s="77">
        <f>('[2]D6 Gallon Forecast'!W114/1000000)+$DA70</f>
        <v>1288.3711298468188</v>
      </c>
      <c r="AN37" s="77">
        <f>('[2]D6 Gallon Forecast'!X114/1000000)+$DA70</f>
        <v>1302.7941711581655</v>
      </c>
      <c r="AO37" s="77">
        <f>('[2]D6 Gallon Forecast'!Y114/1000000)+$DA70</f>
        <v>1313.1439741629399</v>
      </c>
      <c r="AP37" s="77">
        <f>('[2]D6 Gallon Forecast'!Z114/1000000)+$DA70</f>
        <v>1321.7709048317236</v>
      </c>
      <c r="AQ37" s="77">
        <f>('[2]D6 Gallon Forecast'!AA114/1000000)+$DA70</f>
        <v>1329.9261033449404</v>
      </c>
      <c r="AR37" s="77">
        <f>('[2]D6 Gallon Forecast'!AB114/1000000)+$DA70</f>
        <v>1340.7163679268215</v>
      </c>
      <c r="AS37" s="77">
        <f>('[2]D6 Gallon Forecast'!AC114/1000000)+$DA70</f>
        <v>1351.4345453725089</v>
      </c>
      <c r="AT37" s="77">
        <f>('[2]D6 Gallon Forecast'!AD114/1000000)+$DA70</f>
        <v>1361.3974411131937</v>
      </c>
      <c r="AU37" s="77">
        <f>('[2]D6 Gallon Forecast'!AE114/1000000)+$DA70</f>
        <v>1371.2802338564877</v>
      </c>
      <c r="AV37" s="77">
        <f>('[2]D6 Gallon Forecast'!AF114/1000000)+$DA70</f>
        <v>1381.4212748242678</v>
      </c>
      <c r="AW37" s="77">
        <f>('[2]D6 Gallon Forecast'!AG114/1000000)+$DA70</f>
        <v>1391.9697106484621</v>
      </c>
      <c r="AX37" s="77">
        <f t="shared" ref="AX37:AX43" si="35">AVERAGE(AS37:AW37)+$DA70</f>
        <v>1499.9782037629841</v>
      </c>
      <c r="AY37" s="77">
        <f t="shared" si="26"/>
        <v>1517.137521041079</v>
      </c>
      <c r="AZ37" s="77">
        <f t="shared" si="24"/>
        <v>1548.2855370266561</v>
      </c>
      <c r="BA37" s="77">
        <f t="shared" si="24"/>
        <v>1583.6865976606898</v>
      </c>
      <c r="BB37" s="77">
        <f t="shared" si="24"/>
        <v>1624.1396622279744</v>
      </c>
      <c r="BC37" s="77">
        <f t="shared" si="24"/>
        <v>1670.5736525438767</v>
      </c>
      <c r="BD37" s="77">
        <f t="shared" si="24"/>
        <v>1704.6927423000552</v>
      </c>
      <c r="BE37" s="77">
        <f t="shared" si="24"/>
        <v>1742.2037865518505</v>
      </c>
      <c r="BF37" s="77">
        <f t="shared" si="24"/>
        <v>1780.9874364568896</v>
      </c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2">
        <f>AF37/28</f>
        <v>46.723500000000001</v>
      </c>
      <c r="BW37" s="92">
        <f t="shared" si="27"/>
        <v>41.164168965517248</v>
      </c>
      <c r="BX37" s="93">
        <f t="shared" si="28"/>
        <v>5.5593310344827529</v>
      </c>
      <c r="BY37" s="69" t="s">
        <v>31</v>
      </c>
      <c r="BZ37" s="92">
        <f>B37/28</f>
        <v>3.2429999999999999</v>
      </c>
      <c r="CA37" s="92">
        <f>C37/28</f>
        <v>4.1130000000000004</v>
      </c>
      <c r="CB37" s="92">
        <f>D37/29</f>
        <v>3.0471724137931031</v>
      </c>
      <c r="CC37" s="92">
        <f>E37/28</f>
        <v>3.4244999999999997</v>
      </c>
      <c r="CD37" s="92">
        <f>F37/28</f>
        <v>3.4830000000000001</v>
      </c>
      <c r="CE37" s="92">
        <f>G37/28</f>
        <v>3.8264999999999998</v>
      </c>
      <c r="CF37" s="92">
        <f>H37/29</f>
        <v>4.3810344827586203</v>
      </c>
      <c r="CG37" s="92">
        <f>I37/28</f>
        <v>4.8734999999999999</v>
      </c>
      <c r="CH37" s="92">
        <f>J37/28</f>
        <v>5.1435000000000004</v>
      </c>
      <c r="CI37" s="92">
        <f>K37/28</f>
        <v>7.101</v>
      </c>
      <c r="CJ37" s="92">
        <f>L37/29</f>
        <v>8.9141379310344817</v>
      </c>
      <c r="CK37" s="92">
        <f>M37/28</f>
        <v>10.2705</v>
      </c>
      <c r="CL37" s="92">
        <f>N37/28</f>
        <v>12.694500000000001</v>
      </c>
      <c r="CM37" s="92">
        <f>O37/28</f>
        <v>16.192499999999999</v>
      </c>
      <c r="CN37" s="92">
        <f>P37/29</f>
        <v>22.487379310344828</v>
      </c>
      <c r="CO37" s="92">
        <f>Q37/28</f>
        <v>27.3825</v>
      </c>
      <c r="CP37" s="92">
        <f>R37/28</f>
        <v>35.702999999999996</v>
      </c>
      <c r="CQ37" s="92">
        <f>S37/28</f>
        <v>37.949999999999996</v>
      </c>
      <c r="CR37" s="92">
        <f>T37/29</f>
        <v>38.592206896551723</v>
      </c>
      <c r="CS37" s="92">
        <f>U37/28</f>
        <v>33.741</v>
      </c>
      <c r="CT37" s="92">
        <f>V37/28</f>
        <v>37.903500000000001</v>
      </c>
      <c r="CU37" s="92">
        <f>W37/28</f>
        <v>40.221000000000004</v>
      </c>
      <c r="CV37" s="92">
        <f>X37/29</f>
        <v>41.724827586206899</v>
      </c>
      <c r="CW37" s="92">
        <f>Y37/28</f>
        <v>43.577999999999996</v>
      </c>
      <c r="CX37" s="92">
        <f>Z37/28</f>
        <v>44.278500000000001</v>
      </c>
      <c r="CY37" s="92">
        <f>AA37/28</f>
        <v>42.863999999999997</v>
      </c>
      <c r="CZ37" s="92">
        <f>AB37/29</f>
        <v>44.188344827586207</v>
      </c>
      <c r="DA37" s="92">
        <f>AC37/28</f>
        <v>34.342500000000001</v>
      </c>
      <c r="DB37" s="92">
        <f>AD37/28</f>
        <v>42.456000000000003</v>
      </c>
      <c r="DC37" s="92">
        <f>AE37/28</f>
        <v>41.970000000000006</v>
      </c>
      <c r="DD37" s="92">
        <f>AF37/29</f>
        <v>45.112344827586206</v>
      </c>
      <c r="DE37" s="93">
        <f>AG37/28</f>
        <v>45.530999999999999</v>
      </c>
      <c r="DF37" s="93">
        <f>AH37/28</f>
        <v>43.494885571373231</v>
      </c>
      <c r="DG37" s="93">
        <f>AI37/28</f>
        <v>44.724461282841567</v>
      </c>
      <c r="DH37" s="93">
        <f>AJ37/29</f>
        <v>43.827518334266252</v>
      </c>
      <c r="DI37" s="93">
        <f>AK37/28</f>
        <v>45.783624443755556</v>
      </c>
      <c r="DJ37" s="93">
        <f>AL37/28</f>
        <v>45.617356226265329</v>
      </c>
      <c r="DK37" s="93">
        <f>AM37/28</f>
        <v>46.013254637386389</v>
      </c>
    </row>
    <row r="38" spans="1:115">
      <c r="A38" s="69" t="s">
        <v>32</v>
      </c>
      <c r="B38" s="76">
        <f t="shared" si="23"/>
        <v>108.066</v>
      </c>
      <c r="C38" s="76">
        <f t="shared" si="23"/>
        <v>124.69799999999999</v>
      </c>
      <c r="D38" s="76">
        <f t="shared" si="23"/>
        <v>97.355999999999995</v>
      </c>
      <c r="E38" s="76">
        <f t="shared" si="23"/>
        <v>110.334</v>
      </c>
      <c r="F38" s="76">
        <f t="shared" si="23"/>
        <v>106.218</v>
      </c>
      <c r="G38" s="76">
        <f t="shared" si="23"/>
        <v>122.976</v>
      </c>
      <c r="H38" s="76">
        <f t="shared" si="23"/>
        <v>135.702</v>
      </c>
      <c r="I38" s="76">
        <f t="shared" si="23"/>
        <v>147</v>
      </c>
      <c r="J38" s="76">
        <f t="shared" si="23"/>
        <v>166.65600000000001</v>
      </c>
      <c r="K38" s="76">
        <f t="shared" si="23"/>
        <v>228.06</v>
      </c>
      <c r="L38" s="76">
        <f t="shared" si="23"/>
        <v>279.21600000000001</v>
      </c>
      <c r="M38" s="76">
        <f t="shared" si="23"/>
        <v>316.26</v>
      </c>
      <c r="N38" s="76">
        <f t="shared" si="23"/>
        <v>391.98599999999999</v>
      </c>
      <c r="O38" s="76">
        <f t="shared" si="23"/>
        <v>499.464</v>
      </c>
      <c r="P38" s="76">
        <f t="shared" si="23"/>
        <v>736.13400000000001</v>
      </c>
      <c r="Q38" s="76">
        <f t="shared" si="23"/>
        <v>845.08199999999999</v>
      </c>
      <c r="R38" s="76">
        <f t="shared" si="23"/>
        <v>1112.412</v>
      </c>
      <c r="S38" s="76">
        <f t="shared" si="23"/>
        <v>1183.4760000000001</v>
      </c>
      <c r="T38" s="76">
        <f t="shared" si="23"/>
        <v>1157.0160000000001</v>
      </c>
      <c r="U38" s="76">
        <f t="shared" si="23"/>
        <v>1076.04</v>
      </c>
      <c r="V38" s="76">
        <f t="shared" si="23"/>
        <v>1181.04</v>
      </c>
      <c r="W38" s="76">
        <f t="shared" si="23"/>
        <v>1238.3699999999999</v>
      </c>
      <c r="X38" s="76">
        <f t="shared" si="23"/>
        <v>1300.194</v>
      </c>
      <c r="Y38" s="76">
        <f t="shared" si="23"/>
        <v>1350.7619999999999</v>
      </c>
      <c r="Z38" s="76">
        <f t="shared" si="23"/>
        <v>1353.0719999999999</v>
      </c>
      <c r="AA38" s="76">
        <f t="shared" si="23"/>
        <v>1297.5899999999999</v>
      </c>
      <c r="AB38" s="76">
        <f t="shared" si="23"/>
        <v>1235.1780000000001</v>
      </c>
      <c r="AC38" s="76">
        <f t="shared" si="23"/>
        <v>1231.7339999999999</v>
      </c>
      <c r="AD38" s="76">
        <f t="shared" si="23"/>
        <v>1326.402</v>
      </c>
      <c r="AE38" s="76">
        <f t="shared" si="34"/>
        <v>1285.2840000000001</v>
      </c>
      <c r="AF38" s="76">
        <f t="shared" si="23"/>
        <v>1391.4179999999999</v>
      </c>
      <c r="AG38" s="89">
        <f t="shared" si="34"/>
        <v>1372.6859999999999</v>
      </c>
      <c r="AH38" s="77">
        <f>('[2]D6 Gallon Forecast'!R115/1000000)+$DA71</f>
        <v>1335.1526945377514</v>
      </c>
      <c r="AI38" s="77">
        <f>('[2]D6 Gallon Forecast'!S115/1000000)+$DA71</f>
        <v>1337.3925082821725</v>
      </c>
      <c r="AJ38" s="77">
        <f>('[2]D6 Gallon Forecast'!T115/1000000)+$DA71</f>
        <v>1337.1402796094558</v>
      </c>
      <c r="AK38" s="77">
        <f>('[2]D6 Gallon Forecast'!U115/1000000)+$DA71</f>
        <v>1346.4274579264982</v>
      </c>
      <c r="AL38" s="77">
        <f>('[2]D6 Gallon Forecast'!V115/1000000)+$DA71</f>
        <v>1362.1776367299412</v>
      </c>
      <c r="AM38" s="77">
        <f>('[2]D6 Gallon Forecast'!W115/1000000)+$DA71</f>
        <v>1374.3598190241973</v>
      </c>
      <c r="AN38" s="77">
        <f>('[2]D6 Gallon Forecast'!X115/1000000)+$DA71</f>
        <v>1382.3622903356902</v>
      </c>
      <c r="AO38" s="77">
        <f>('[2]D6 Gallon Forecast'!Y115/1000000)+$DA71</f>
        <v>1391.5761889507569</v>
      </c>
      <c r="AP38" s="77">
        <f>('[2]D6 Gallon Forecast'!Z115/1000000)+$DA71</f>
        <v>1402.7214997841704</v>
      </c>
      <c r="AQ38" s="77">
        <f>('[2]D6 Gallon Forecast'!AA115/1000000)+$DA71</f>
        <v>1414.2510568268453</v>
      </c>
      <c r="AR38" s="77">
        <f>('[2]D6 Gallon Forecast'!AB115/1000000)+$DA71</f>
        <v>1424.9251116291109</v>
      </c>
      <c r="AS38" s="77">
        <f>('[2]D6 Gallon Forecast'!AC115/1000000)+$DA71</f>
        <v>1435.2774603295798</v>
      </c>
      <c r="AT38" s="77">
        <f>('[2]D6 Gallon Forecast'!AD115/1000000)+$DA71</f>
        <v>1446.1160232017426</v>
      </c>
      <c r="AU38" s="77">
        <f>('[2]D6 Gallon Forecast'!AE115/1000000)+$DA71</f>
        <v>1457.2867639613771</v>
      </c>
      <c r="AV38" s="77">
        <f>('[2]D6 Gallon Forecast'!AF115/1000000)+$DA71</f>
        <v>1468.4635908534688</v>
      </c>
      <c r="AW38" s="77">
        <f>('[2]D6 Gallon Forecast'!AG115/1000000)+$DA71</f>
        <v>1479.5684664269725</v>
      </c>
      <c r="AX38" s="77">
        <f t="shared" si="35"/>
        <v>1573.2706091546281</v>
      </c>
      <c r="AY38" s="77">
        <f t="shared" si="26"/>
        <v>1586.3459483196375</v>
      </c>
      <c r="AZ38" s="77">
        <f t="shared" si="24"/>
        <v>1614.3919333432168</v>
      </c>
      <c r="BA38" s="77">
        <f t="shared" si="24"/>
        <v>1645.8129672195846</v>
      </c>
      <c r="BB38" s="77">
        <f t="shared" si="24"/>
        <v>1681.282842492808</v>
      </c>
      <c r="BC38" s="77">
        <f t="shared" si="24"/>
        <v>1721.6257177059749</v>
      </c>
      <c r="BD38" s="77">
        <f t="shared" si="24"/>
        <v>1751.2967394162442</v>
      </c>
      <c r="BE38" s="77">
        <f t="shared" si="24"/>
        <v>1784.286897635566</v>
      </c>
      <c r="BF38" s="77">
        <f t="shared" si="24"/>
        <v>1818.2658904940354</v>
      </c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2">
        <f>AF38/31</f>
        <v>44.88445161290322</v>
      </c>
      <c r="BW38" s="92">
        <f t="shared" si="27"/>
        <v>41.136696774193545</v>
      </c>
      <c r="BX38" s="93">
        <f t="shared" si="28"/>
        <v>3.7477548387096746</v>
      </c>
      <c r="BY38" s="69" t="s">
        <v>32</v>
      </c>
      <c r="BZ38" s="92">
        <f t="shared" ref="BZ38:DK38" si="36">B38/31</f>
        <v>3.4860000000000002</v>
      </c>
      <c r="CA38" s="92">
        <f t="shared" si="36"/>
        <v>4.0225161290322582</v>
      </c>
      <c r="CB38" s="92">
        <f t="shared" si="36"/>
        <v>3.1405161290322581</v>
      </c>
      <c r="CC38" s="92">
        <f t="shared" si="36"/>
        <v>3.5591612903225807</v>
      </c>
      <c r="CD38" s="92">
        <f t="shared" si="36"/>
        <v>3.4263870967741936</v>
      </c>
      <c r="CE38" s="92">
        <f t="shared" si="36"/>
        <v>3.9669677419354836</v>
      </c>
      <c r="CF38" s="92">
        <f t="shared" si="36"/>
        <v>4.3774838709677422</v>
      </c>
      <c r="CG38" s="92">
        <f t="shared" si="36"/>
        <v>4.741935483870968</v>
      </c>
      <c r="CH38" s="92">
        <f t="shared" si="36"/>
        <v>5.3760000000000003</v>
      </c>
      <c r="CI38" s="92">
        <f t="shared" si="36"/>
        <v>7.3567741935483868</v>
      </c>
      <c r="CJ38" s="92">
        <f t="shared" si="36"/>
        <v>9.006967741935485</v>
      </c>
      <c r="CK38" s="92">
        <f t="shared" si="36"/>
        <v>10.201935483870967</v>
      </c>
      <c r="CL38" s="92">
        <f t="shared" si="36"/>
        <v>12.644709677419355</v>
      </c>
      <c r="CM38" s="92">
        <f t="shared" si="36"/>
        <v>16.11174193548387</v>
      </c>
      <c r="CN38" s="92">
        <f t="shared" si="36"/>
        <v>23.74625806451613</v>
      </c>
      <c r="CO38" s="92">
        <f t="shared" si="36"/>
        <v>27.260709677419353</v>
      </c>
      <c r="CP38" s="92">
        <f t="shared" si="36"/>
        <v>35.884258064516132</v>
      </c>
      <c r="CQ38" s="92">
        <f t="shared" si="36"/>
        <v>38.176645161290324</v>
      </c>
      <c r="CR38" s="92">
        <f t="shared" si="36"/>
        <v>37.323096774193552</v>
      </c>
      <c r="CS38" s="92">
        <f t="shared" si="36"/>
        <v>34.710967741935484</v>
      </c>
      <c r="CT38" s="92">
        <f t="shared" si="36"/>
        <v>38.098064516129028</v>
      </c>
      <c r="CU38" s="92">
        <f t="shared" si="36"/>
        <v>39.947419354838708</v>
      </c>
      <c r="CV38" s="92">
        <f t="shared" si="36"/>
        <v>41.941741935483869</v>
      </c>
      <c r="CW38" s="92">
        <f t="shared" si="36"/>
        <v>43.572967741935479</v>
      </c>
      <c r="CX38" s="92">
        <f t="shared" si="36"/>
        <v>43.64748387096774</v>
      </c>
      <c r="CY38" s="92">
        <f t="shared" si="36"/>
        <v>41.857741935483865</v>
      </c>
      <c r="CZ38" s="92">
        <f t="shared" si="36"/>
        <v>39.844451612903228</v>
      </c>
      <c r="DA38" s="92">
        <f t="shared" si="36"/>
        <v>39.733354838709673</v>
      </c>
      <c r="DB38" s="92">
        <f t="shared" si="36"/>
        <v>42.78716129032258</v>
      </c>
      <c r="DC38" s="92">
        <f t="shared" si="36"/>
        <v>41.460774193548389</v>
      </c>
      <c r="DD38" s="92">
        <f t="shared" si="36"/>
        <v>44.88445161290322</v>
      </c>
      <c r="DE38" s="93">
        <f t="shared" si="36"/>
        <v>44.280193548387096</v>
      </c>
      <c r="DF38" s="93">
        <f t="shared" si="36"/>
        <v>43.069441759282299</v>
      </c>
      <c r="DG38" s="93">
        <f t="shared" si="36"/>
        <v>43.14169381555395</v>
      </c>
      <c r="DH38" s="93">
        <f t="shared" si="36"/>
        <v>43.133557406756637</v>
      </c>
      <c r="DI38" s="93">
        <f t="shared" si="36"/>
        <v>43.433143804080586</v>
      </c>
      <c r="DJ38" s="93">
        <f t="shared" si="36"/>
        <v>43.941214088062623</v>
      </c>
      <c r="DK38" s="93">
        <f t="shared" si="36"/>
        <v>44.334187710457982</v>
      </c>
    </row>
    <row r="39" spans="1:115">
      <c r="A39" s="69" t="s">
        <v>33</v>
      </c>
      <c r="B39" s="76">
        <f t="shared" si="23"/>
        <v>91.097999999999999</v>
      </c>
      <c r="C39" s="76">
        <f t="shared" si="23"/>
        <v>120.834</v>
      </c>
      <c r="D39" s="76">
        <f t="shared" si="23"/>
        <v>83.034000000000006</v>
      </c>
      <c r="E39" s="76">
        <f t="shared" si="23"/>
        <v>98.153999999999996</v>
      </c>
      <c r="F39" s="76">
        <f t="shared" si="23"/>
        <v>121.212</v>
      </c>
      <c r="G39" s="76">
        <f t="shared" si="23"/>
        <v>133.09800000000001</v>
      </c>
      <c r="H39" s="76">
        <f t="shared" si="23"/>
        <v>139.06200000000001</v>
      </c>
      <c r="I39" s="76">
        <f t="shared" si="23"/>
        <v>135.49199999999999</v>
      </c>
      <c r="J39" s="76">
        <f t="shared" si="23"/>
        <v>159.096</v>
      </c>
      <c r="K39" s="76">
        <f t="shared" si="23"/>
        <v>226.12799999999999</v>
      </c>
      <c r="L39" s="76">
        <f t="shared" si="23"/>
        <v>274.05</v>
      </c>
      <c r="M39" s="76">
        <f t="shared" si="23"/>
        <v>299.67</v>
      </c>
      <c r="N39" s="76">
        <f t="shared" si="23"/>
        <v>363.846</v>
      </c>
      <c r="O39" s="76">
        <f t="shared" si="23"/>
        <v>492.072</v>
      </c>
      <c r="P39" s="76">
        <f t="shared" si="23"/>
        <v>720.38400000000001</v>
      </c>
      <c r="Q39" s="76">
        <f t="shared" si="23"/>
        <v>813.70799999999997</v>
      </c>
      <c r="R39" s="76">
        <f t="shared" si="23"/>
        <v>1066.1279999999999</v>
      </c>
      <c r="S39" s="76">
        <f t="shared" si="23"/>
        <v>1114.596</v>
      </c>
      <c r="T39" s="76">
        <f t="shared" si="23"/>
        <v>1106.5319999999999</v>
      </c>
      <c r="U39" s="76">
        <f t="shared" si="23"/>
        <v>1075.242</v>
      </c>
      <c r="V39" s="76">
        <f t="shared" si="23"/>
        <v>1164.7860000000001</v>
      </c>
      <c r="W39" s="76">
        <f t="shared" si="23"/>
        <v>1172.22</v>
      </c>
      <c r="X39" s="76">
        <f t="shared" si="23"/>
        <v>1184.7360000000001</v>
      </c>
      <c r="Y39" s="76">
        <f t="shared" si="23"/>
        <v>1239</v>
      </c>
      <c r="Z39" s="76">
        <f t="shared" si="23"/>
        <v>1282.3440000000001</v>
      </c>
      <c r="AA39" s="76">
        <f t="shared" si="23"/>
        <v>1299.942</v>
      </c>
      <c r="AB39" s="76">
        <f t="shared" si="23"/>
        <v>714.12599999999998</v>
      </c>
      <c r="AC39" s="76">
        <f t="shared" si="23"/>
        <v>1184.9459999999999</v>
      </c>
      <c r="AD39" s="76">
        <f t="shared" si="23"/>
        <v>1216.152</v>
      </c>
      <c r="AE39" s="76">
        <f t="shared" si="34"/>
        <v>1224.8040000000001</v>
      </c>
      <c r="AF39" s="76">
        <f t="shared" si="23"/>
        <v>1237.5719999999999</v>
      </c>
      <c r="AG39" s="77">
        <f>('[2]D6 Gallon Forecast'!Q116/1000000)+$DA72</f>
        <v>1170.9941705666238</v>
      </c>
      <c r="AH39" s="77">
        <f>('[2]D6 Gallon Forecast'!R116/1000000)+$DA72</f>
        <v>1239.8154266740482</v>
      </c>
      <c r="AI39" s="77">
        <f>('[2]D6 Gallon Forecast'!S116/1000000)+$DA72</f>
        <v>1237.2058466869007</v>
      </c>
      <c r="AJ39" s="77">
        <f>('[2]D6 Gallon Forecast'!T116/1000000)+$DA72</f>
        <v>1246.0531908074458</v>
      </c>
      <c r="AK39" s="77">
        <f>('[2]D6 Gallon Forecast'!U116/1000000)+$DA72</f>
        <v>1253.2688100813418</v>
      </c>
      <c r="AL39" s="77">
        <f>('[2]D6 Gallon Forecast'!V116/1000000)+$DA72</f>
        <v>1252.658531533549</v>
      </c>
      <c r="AM39" s="77">
        <f>('[2]D6 Gallon Forecast'!W116/1000000)+$DA72</f>
        <v>1274.4181293121881</v>
      </c>
      <c r="AN39" s="77">
        <f>('[2]D6 Gallon Forecast'!X116/1000000)+$DA72</f>
        <v>1281.4790774487833</v>
      </c>
      <c r="AO39" s="77">
        <f>('[2]D6 Gallon Forecast'!Y116/1000000)+$DA72</f>
        <v>1290.5505056695483</v>
      </c>
      <c r="AP39" s="77">
        <f>('[2]D6 Gallon Forecast'!Z116/1000000)+$DA72</f>
        <v>1299.6594026870384</v>
      </c>
      <c r="AQ39" s="77">
        <f>('[2]D6 Gallon Forecast'!AA116/1000000)+$DA72</f>
        <v>1309.1595438569602</v>
      </c>
      <c r="AR39" s="77">
        <f>('[2]D6 Gallon Forecast'!AB116/1000000)+$DA72</f>
        <v>1320.7412523546586</v>
      </c>
      <c r="AS39" s="77">
        <f>('[2]D6 Gallon Forecast'!AC116/1000000)+$DA72</f>
        <v>1330.2248920301299</v>
      </c>
      <c r="AT39" s="77">
        <f>('[2]D6 Gallon Forecast'!AD116/1000000)+$DA72</f>
        <v>1340.2093644371892</v>
      </c>
      <c r="AU39" s="77">
        <f>('[2]D6 Gallon Forecast'!AE116/1000000)+$DA72</f>
        <v>1350.3802026337321</v>
      </c>
      <c r="AV39" s="77">
        <f>('[2]D6 Gallon Forecast'!AF116/1000000)+$DA72</f>
        <v>1360.7695391076295</v>
      </c>
      <c r="AW39" s="77">
        <f>('[2]D6 Gallon Forecast'!AG116/1000000)+$DA72</f>
        <v>1371.3414748345469</v>
      </c>
      <c r="AX39" s="77">
        <f t="shared" si="35"/>
        <v>1451.9899522086453</v>
      </c>
      <c r="AY39" s="77">
        <f t="shared" si="26"/>
        <v>1459.1720304443486</v>
      </c>
      <c r="AZ39" s="77">
        <f t="shared" si="24"/>
        <v>1482.9645636457806</v>
      </c>
      <c r="BA39" s="77">
        <f t="shared" si="24"/>
        <v>1509.4814358481901</v>
      </c>
      <c r="BB39" s="77">
        <f t="shared" si="24"/>
        <v>1539.2238151963022</v>
      </c>
      <c r="BC39" s="77">
        <f t="shared" si="24"/>
        <v>1572.8002832686534</v>
      </c>
      <c r="BD39" s="77">
        <f t="shared" si="24"/>
        <v>1596.9623494806549</v>
      </c>
      <c r="BE39" s="77">
        <f t="shared" si="24"/>
        <v>1624.5204132879162</v>
      </c>
      <c r="BF39" s="77">
        <f t="shared" si="24"/>
        <v>1652.8315832163435</v>
      </c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2">
        <f>AF39/30</f>
        <v>41.252399999999994</v>
      </c>
      <c r="BW39" s="92">
        <f t="shared" si="27"/>
        <v>37.599800000000002</v>
      </c>
      <c r="BX39" s="93">
        <f t="shared" si="28"/>
        <v>3.6525999999999925</v>
      </c>
      <c r="BY39" s="69" t="s">
        <v>33</v>
      </c>
      <c r="BZ39" s="92">
        <f t="shared" ref="BZ39:DK39" si="37">B39/30</f>
        <v>3.0366</v>
      </c>
      <c r="CA39" s="92">
        <f t="shared" si="37"/>
        <v>4.0278</v>
      </c>
      <c r="CB39" s="92">
        <f t="shared" si="37"/>
        <v>2.7678000000000003</v>
      </c>
      <c r="CC39" s="92">
        <f t="shared" si="37"/>
        <v>3.2717999999999998</v>
      </c>
      <c r="CD39" s="92">
        <f t="shared" si="37"/>
        <v>4.0404</v>
      </c>
      <c r="CE39" s="92">
        <f t="shared" si="37"/>
        <v>4.4366000000000003</v>
      </c>
      <c r="CF39" s="92">
        <f t="shared" si="37"/>
        <v>4.6354000000000006</v>
      </c>
      <c r="CG39" s="92">
        <f t="shared" si="37"/>
        <v>4.5164</v>
      </c>
      <c r="CH39" s="92">
        <f t="shared" si="37"/>
        <v>5.3032000000000004</v>
      </c>
      <c r="CI39" s="92">
        <f t="shared" si="37"/>
        <v>7.5375999999999994</v>
      </c>
      <c r="CJ39" s="92">
        <f t="shared" si="37"/>
        <v>9.1349999999999998</v>
      </c>
      <c r="CK39" s="92">
        <f t="shared" si="37"/>
        <v>9.9890000000000008</v>
      </c>
      <c r="CL39" s="92">
        <f t="shared" si="37"/>
        <v>12.1282</v>
      </c>
      <c r="CM39" s="92">
        <f t="shared" si="37"/>
        <v>16.4024</v>
      </c>
      <c r="CN39" s="92">
        <f t="shared" si="37"/>
        <v>24.012800000000002</v>
      </c>
      <c r="CO39" s="92">
        <f t="shared" si="37"/>
        <v>27.1236</v>
      </c>
      <c r="CP39" s="92">
        <f t="shared" si="37"/>
        <v>35.537599999999998</v>
      </c>
      <c r="CQ39" s="92">
        <f t="shared" si="37"/>
        <v>37.153199999999998</v>
      </c>
      <c r="CR39" s="92">
        <f t="shared" si="37"/>
        <v>36.884399999999999</v>
      </c>
      <c r="CS39" s="92">
        <f t="shared" si="37"/>
        <v>35.8414</v>
      </c>
      <c r="CT39" s="92">
        <f t="shared" si="37"/>
        <v>38.8262</v>
      </c>
      <c r="CU39" s="92">
        <f t="shared" si="37"/>
        <v>39.073999999999998</v>
      </c>
      <c r="CV39" s="92">
        <f t="shared" si="37"/>
        <v>39.491200000000006</v>
      </c>
      <c r="CW39" s="92">
        <f t="shared" si="37"/>
        <v>41.3</v>
      </c>
      <c r="CX39" s="92">
        <f t="shared" si="37"/>
        <v>42.744800000000005</v>
      </c>
      <c r="CY39" s="92">
        <f t="shared" si="37"/>
        <v>43.331400000000002</v>
      </c>
      <c r="CZ39" s="92">
        <f t="shared" si="37"/>
        <v>23.804199999999998</v>
      </c>
      <c r="DA39" s="92">
        <f t="shared" si="37"/>
        <v>39.498199999999997</v>
      </c>
      <c r="DB39" s="92">
        <f t="shared" si="37"/>
        <v>40.538400000000003</v>
      </c>
      <c r="DC39" s="92">
        <f t="shared" si="37"/>
        <v>40.826800000000006</v>
      </c>
      <c r="DD39" s="92">
        <f t="shared" si="37"/>
        <v>41.252399999999994</v>
      </c>
      <c r="DE39" s="93">
        <f t="shared" si="37"/>
        <v>39.033139018887461</v>
      </c>
      <c r="DF39" s="93">
        <f t="shared" si="37"/>
        <v>41.327180889134944</v>
      </c>
      <c r="DG39" s="93">
        <f t="shared" si="37"/>
        <v>41.240194889563355</v>
      </c>
      <c r="DH39" s="93">
        <f t="shared" si="37"/>
        <v>41.535106360248193</v>
      </c>
      <c r="DI39" s="93">
        <f t="shared" si="37"/>
        <v>41.775627002711396</v>
      </c>
      <c r="DJ39" s="93">
        <f t="shared" si="37"/>
        <v>41.755284384451635</v>
      </c>
      <c r="DK39" s="93">
        <f t="shared" si="37"/>
        <v>42.480604310406271</v>
      </c>
    </row>
    <row r="40" spans="1:115">
      <c r="A40" s="69" t="s">
        <v>14</v>
      </c>
      <c r="B40" s="76">
        <f t="shared" si="23"/>
        <v>103.446</v>
      </c>
      <c r="C40" s="76">
        <f t="shared" si="23"/>
        <v>117.89400000000001</v>
      </c>
      <c r="D40" s="76">
        <f t="shared" si="23"/>
        <v>62.076000000000001</v>
      </c>
      <c r="E40" s="76">
        <f t="shared" si="23"/>
        <v>124.53</v>
      </c>
      <c r="F40" s="76">
        <f t="shared" si="23"/>
        <v>102.354</v>
      </c>
      <c r="G40" s="76">
        <f t="shared" si="23"/>
        <v>120.834</v>
      </c>
      <c r="H40" s="76">
        <f t="shared" si="23"/>
        <v>138.97800000000001</v>
      </c>
      <c r="I40" s="76">
        <f t="shared" si="23"/>
        <v>140.238</v>
      </c>
      <c r="J40" s="76">
        <f t="shared" si="23"/>
        <v>168.29400000000001</v>
      </c>
      <c r="K40" s="76">
        <f t="shared" si="23"/>
        <v>227.892</v>
      </c>
      <c r="L40" s="76">
        <f t="shared" si="23"/>
        <v>287.99400000000003</v>
      </c>
      <c r="M40" s="76">
        <f t="shared" si="23"/>
        <v>308.99400000000003</v>
      </c>
      <c r="N40" s="76">
        <f t="shared" si="23"/>
        <v>381.61200000000002</v>
      </c>
      <c r="O40" s="76">
        <f t="shared" ref="O40:AD43" si="38">O24*42/1000</f>
        <v>528.06600000000003</v>
      </c>
      <c r="P40" s="76">
        <f t="shared" si="38"/>
        <v>787.75199999999995</v>
      </c>
      <c r="Q40" s="76">
        <f t="shared" si="38"/>
        <v>883.00800000000004</v>
      </c>
      <c r="R40" s="76">
        <f t="shared" si="38"/>
        <v>1102.248</v>
      </c>
      <c r="S40" s="76">
        <f t="shared" si="38"/>
        <v>1164.24</v>
      </c>
      <c r="T40" s="76">
        <f t="shared" si="38"/>
        <v>1159.8720000000001</v>
      </c>
      <c r="U40" s="76">
        <f t="shared" si="38"/>
        <v>1142.2739999999999</v>
      </c>
      <c r="V40" s="76">
        <f t="shared" si="38"/>
        <v>1213.296</v>
      </c>
      <c r="W40" s="76">
        <f t="shared" si="38"/>
        <v>1245.972</v>
      </c>
      <c r="X40" s="76">
        <f t="shared" si="38"/>
        <v>1274.5319999999999</v>
      </c>
      <c r="Y40" s="76">
        <f t="shared" si="38"/>
        <v>1331.4</v>
      </c>
      <c r="Z40" s="76">
        <f t="shared" si="38"/>
        <v>1353.03</v>
      </c>
      <c r="AA40" s="76">
        <f t="shared" si="38"/>
        <v>1362.606</v>
      </c>
      <c r="AB40" s="76">
        <f t="shared" si="38"/>
        <v>888.59400000000005</v>
      </c>
      <c r="AC40" s="76">
        <f t="shared" si="38"/>
        <v>1311.4079999999999</v>
      </c>
      <c r="AD40" s="76">
        <f t="shared" si="38"/>
        <v>1312.752</v>
      </c>
      <c r="AE40" s="76">
        <f t="shared" si="34"/>
        <v>1294.44</v>
      </c>
      <c r="AF40" s="76">
        <f t="shared" si="34"/>
        <v>1334.886</v>
      </c>
      <c r="AG40" s="77">
        <f>('[2]D6 Gallon Forecast'!Q117/1000000)+$DA73</f>
        <v>1282.1510990483857</v>
      </c>
      <c r="AH40" s="77">
        <f>('[2]D6 Gallon Forecast'!R117/1000000)+$DA73</f>
        <v>1332.5670138696594</v>
      </c>
      <c r="AI40" s="77">
        <f>('[2]D6 Gallon Forecast'!S117/1000000)+$DA73</f>
        <v>1325.7849983257688</v>
      </c>
      <c r="AJ40" s="77">
        <f>('[2]D6 Gallon Forecast'!T117/1000000)+$DA73</f>
        <v>1337.4527395164441</v>
      </c>
      <c r="AK40" s="77">
        <f>('[2]D6 Gallon Forecast'!U117/1000000)+$DA73</f>
        <v>1343.7872121191585</v>
      </c>
      <c r="AL40" s="77">
        <f>('[2]D6 Gallon Forecast'!V117/1000000)+$DA73</f>
        <v>1349.8432542206217</v>
      </c>
      <c r="AM40" s="77">
        <f>('[2]D6 Gallon Forecast'!W117/1000000)+$DA73</f>
        <v>1369.2370045448929</v>
      </c>
      <c r="AN40" s="77">
        <f>('[2]D6 Gallon Forecast'!X117/1000000)+$DA73</f>
        <v>1376.718639091451</v>
      </c>
      <c r="AO40" s="77">
        <f>('[2]D6 Gallon Forecast'!Y117/1000000)+$DA73</f>
        <v>1387.1550023522657</v>
      </c>
      <c r="AP40" s="77">
        <f>('[2]D6 Gallon Forecast'!Z117/1000000)+$DA73</f>
        <v>1397.3296579938035</v>
      </c>
      <c r="AQ40" s="77">
        <f>('[2]D6 Gallon Forecast'!AA117/1000000)+$DA73</f>
        <v>1408.2949533435874</v>
      </c>
      <c r="AR40" s="77">
        <f>('[2]D6 Gallon Forecast'!AB117/1000000)+$DA73</f>
        <v>1420.2764876996403</v>
      </c>
      <c r="AS40" s="77">
        <f>('[2]D6 Gallon Forecast'!AC117/1000000)+$DA73</f>
        <v>1430.7257720568878</v>
      </c>
      <c r="AT40" s="77">
        <f>('[2]D6 Gallon Forecast'!AD117/1000000)+$DA73</f>
        <v>1441.7880011764914</v>
      </c>
      <c r="AU40" s="77">
        <f>('[2]D6 Gallon Forecast'!AE117/1000000)+$DA73</f>
        <v>1452.9776505863015</v>
      </c>
      <c r="AV40" s="77">
        <f>('[2]D6 Gallon Forecast'!AF117/1000000)+$DA73</f>
        <v>1464.3762524610891</v>
      </c>
      <c r="AW40" s="77">
        <f>('[2]D6 Gallon Forecast'!AG117/1000000)+$DA73</f>
        <v>1475.8640351120821</v>
      </c>
      <c r="AX40" s="77">
        <f t="shared" si="35"/>
        <v>1537.3802660785705</v>
      </c>
      <c r="AY40" s="77">
        <f t="shared" si="26"/>
        <v>1539.1473992829069</v>
      </c>
      <c r="AZ40" s="77">
        <f t="shared" si="24"/>
        <v>1558.61927890419</v>
      </c>
      <c r="BA40" s="77">
        <f t="shared" si="24"/>
        <v>1579.7476045677677</v>
      </c>
      <c r="BB40" s="77">
        <f t="shared" si="24"/>
        <v>1602.8218749891034</v>
      </c>
      <c r="BC40" s="77">
        <f t="shared" si="24"/>
        <v>1628.2134429645075</v>
      </c>
      <c r="BD40" s="77">
        <f t="shared" si="24"/>
        <v>1646.3800783416953</v>
      </c>
      <c r="BE40" s="77">
        <f t="shared" si="24"/>
        <v>1667.826614153453</v>
      </c>
      <c r="BF40" s="77">
        <f t="shared" si="24"/>
        <v>1689.6680812033055</v>
      </c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2">
        <f>AF40/31</f>
        <v>43.060838709677419</v>
      </c>
      <c r="BW40" s="92">
        <f t="shared" si="27"/>
        <v>39.80516129032258</v>
      </c>
      <c r="BX40" s="93">
        <f t="shared" si="28"/>
        <v>3.2556774193548392</v>
      </c>
      <c r="BY40" s="69" t="s">
        <v>14</v>
      </c>
      <c r="BZ40" s="92">
        <f t="shared" ref="BZ40:DK40" si="39">B40/31</f>
        <v>3.3369677419354837</v>
      </c>
      <c r="CA40" s="92">
        <f t="shared" si="39"/>
        <v>3.8030322580645164</v>
      </c>
      <c r="CB40" s="92">
        <f t="shared" si="39"/>
        <v>2.0024516129032257</v>
      </c>
      <c r="CC40" s="92">
        <f t="shared" si="39"/>
        <v>4.0170967741935488</v>
      </c>
      <c r="CD40" s="92">
        <f t="shared" si="39"/>
        <v>3.3017419354838711</v>
      </c>
      <c r="CE40" s="92">
        <f t="shared" si="39"/>
        <v>3.8978709677419356</v>
      </c>
      <c r="CF40" s="92">
        <f t="shared" si="39"/>
        <v>4.483161290322581</v>
      </c>
      <c r="CG40" s="92">
        <f t="shared" si="39"/>
        <v>4.5238064516129031</v>
      </c>
      <c r="CH40" s="92">
        <f t="shared" si="39"/>
        <v>5.4288387096774198</v>
      </c>
      <c r="CI40" s="92">
        <f t="shared" si="39"/>
        <v>7.3513548387096774</v>
      </c>
      <c r="CJ40" s="92">
        <f t="shared" si="39"/>
        <v>9.290129032258065</v>
      </c>
      <c r="CK40" s="92">
        <f t="shared" si="39"/>
        <v>9.9675483870967749</v>
      </c>
      <c r="CL40" s="92">
        <f t="shared" si="39"/>
        <v>12.310064516129033</v>
      </c>
      <c r="CM40" s="92">
        <f t="shared" si="39"/>
        <v>17.034387096774193</v>
      </c>
      <c r="CN40" s="92">
        <f t="shared" si="39"/>
        <v>25.411354838709677</v>
      </c>
      <c r="CO40" s="92">
        <f t="shared" si="39"/>
        <v>28.484129032258064</v>
      </c>
      <c r="CP40" s="92">
        <f t="shared" si="39"/>
        <v>35.556387096774195</v>
      </c>
      <c r="CQ40" s="92">
        <f t="shared" si="39"/>
        <v>37.556129032258063</v>
      </c>
      <c r="CR40" s="92">
        <f t="shared" si="39"/>
        <v>37.415225806451616</v>
      </c>
      <c r="CS40" s="92">
        <f t="shared" si="39"/>
        <v>36.847548387096772</v>
      </c>
      <c r="CT40" s="92">
        <f t="shared" si="39"/>
        <v>39.138580645161291</v>
      </c>
      <c r="CU40" s="92">
        <f t="shared" si="39"/>
        <v>40.192645161290322</v>
      </c>
      <c r="CV40" s="92">
        <f t="shared" si="39"/>
        <v>41.113935483870968</v>
      </c>
      <c r="CW40" s="92">
        <f t="shared" si="39"/>
        <v>42.948387096774198</v>
      </c>
      <c r="CX40" s="92">
        <f t="shared" si="39"/>
        <v>43.646129032258067</v>
      </c>
      <c r="CY40" s="92">
        <f t="shared" si="39"/>
        <v>43.955032258064513</v>
      </c>
      <c r="CZ40" s="92">
        <f t="shared" si="39"/>
        <v>28.664322580645162</v>
      </c>
      <c r="DA40" s="92">
        <f t="shared" si="39"/>
        <v>42.303483870967739</v>
      </c>
      <c r="DB40" s="92">
        <f t="shared" si="39"/>
        <v>42.346838709677421</v>
      </c>
      <c r="DC40" s="92">
        <f t="shared" si="39"/>
        <v>41.756129032258066</v>
      </c>
      <c r="DD40" s="92">
        <f t="shared" si="39"/>
        <v>43.060838709677419</v>
      </c>
      <c r="DE40" s="93">
        <f t="shared" si="39"/>
        <v>41.359712872528569</v>
      </c>
      <c r="DF40" s="93">
        <f t="shared" si="39"/>
        <v>42.98603270547288</v>
      </c>
      <c r="DG40" s="93">
        <f t="shared" si="39"/>
        <v>42.767258010508669</v>
      </c>
      <c r="DH40" s="93">
        <f t="shared" si="39"/>
        <v>43.143636758594972</v>
      </c>
      <c r="DI40" s="93">
        <f t="shared" si="39"/>
        <v>43.347974584488988</v>
      </c>
      <c r="DJ40" s="93">
        <f t="shared" si="39"/>
        <v>43.543330781310381</v>
      </c>
      <c r="DK40" s="93">
        <f t="shared" si="39"/>
        <v>44.168935630480419</v>
      </c>
    </row>
    <row r="41" spans="1:115">
      <c r="A41" s="69" t="s">
        <v>34</v>
      </c>
      <c r="B41" s="76">
        <f t="shared" ref="B41:Z43" si="40">B25*42/1000</f>
        <v>97.566000000000003</v>
      </c>
      <c r="C41" s="76">
        <f t="shared" si="40"/>
        <v>112.518</v>
      </c>
      <c r="D41" s="76">
        <f t="shared" si="40"/>
        <v>46.283999999999999</v>
      </c>
      <c r="E41" s="76">
        <f t="shared" si="40"/>
        <v>92.61</v>
      </c>
      <c r="F41" s="76">
        <f t="shared" si="40"/>
        <v>111.258</v>
      </c>
      <c r="G41" s="76">
        <f t="shared" si="40"/>
        <v>99.623999999999995</v>
      </c>
      <c r="H41" s="76">
        <f t="shared" si="40"/>
        <v>122.976</v>
      </c>
      <c r="I41" s="76">
        <f t="shared" si="40"/>
        <v>139.02000000000001</v>
      </c>
      <c r="J41" s="76">
        <f t="shared" si="40"/>
        <v>155.61000000000001</v>
      </c>
      <c r="K41" s="76">
        <f t="shared" si="40"/>
        <v>228.48</v>
      </c>
      <c r="L41" s="76">
        <f t="shared" si="40"/>
        <v>279.21600000000001</v>
      </c>
      <c r="M41" s="76">
        <f t="shared" si="40"/>
        <v>313.44600000000003</v>
      </c>
      <c r="N41" s="76">
        <f t="shared" si="40"/>
        <v>400.30200000000002</v>
      </c>
      <c r="O41" s="76">
        <f t="shared" si="40"/>
        <v>527.226</v>
      </c>
      <c r="P41" s="76">
        <f t="shared" si="40"/>
        <v>741.34199999999998</v>
      </c>
      <c r="Q41" s="76">
        <f t="shared" si="40"/>
        <v>887.25</v>
      </c>
      <c r="R41" s="76">
        <f t="shared" si="40"/>
        <v>1076.5440000000001</v>
      </c>
      <c r="S41" s="76">
        <f t="shared" si="40"/>
        <v>1143.4079999999999</v>
      </c>
      <c r="T41" s="76">
        <f t="shared" si="40"/>
        <v>1113.546</v>
      </c>
      <c r="U41" s="76">
        <f t="shared" si="40"/>
        <v>1122.3240000000001</v>
      </c>
      <c r="V41" s="76">
        <f t="shared" si="40"/>
        <v>1202.4179999999999</v>
      </c>
      <c r="W41" s="76">
        <f t="shared" si="40"/>
        <v>1246.7280000000001</v>
      </c>
      <c r="X41" s="76">
        <f t="shared" si="40"/>
        <v>1278.606</v>
      </c>
      <c r="Y41" s="76">
        <f t="shared" si="40"/>
        <v>1288.0139999999999</v>
      </c>
      <c r="Z41" s="76">
        <f t="shared" si="40"/>
        <v>1340.808</v>
      </c>
      <c r="AA41" s="76">
        <f t="shared" si="38"/>
        <v>1339.59</v>
      </c>
      <c r="AB41" s="76">
        <f t="shared" si="38"/>
        <v>1090.278</v>
      </c>
      <c r="AC41" s="76">
        <f t="shared" si="38"/>
        <v>1286.922</v>
      </c>
      <c r="AD41" s="76">
        <f t="shared" si="38"/>
        <v>1314.096</v>
      </c>
      <c r="AE41" s="76">
        <f t="shared" si="34"/>
        <v>1305.7380000000001</v>
      </c>
      <c r="AF41" s="76">
        <f t="shared" si="34"/>
        <v>1314.768</v>
      </c>
      <c r="AG41" s="77">
        <f>('[2]D6 Gallon Forecast'!Q118/1000000)+$DA74</f>
        <v>1315.8310165395587</v>
      </c>
      <c r="AH41" s="77">
        <f>('[2]D6 Gallon Forecast'!R118/1000000)+$DA74</f>
        <v>1329.6192830907582</v>
      </c>
      <c r="AI41" s="77">
        <f>('[2]D6 Gallon Forecast'!S118/1000000)+$DA74</f>
        <v>1325.1827766610288</v>
      </c>
      <c r="AJ41" s="77">
        <f>('[2]D6 Gallon Forecast'!T118/1000000)+$DA74</f>
        <v>1327.9613842541212</v>
      </c>
      <c r="AK41" s="77">
        <f>('[2]D6 Gallon Forecast'!U118/1000000)+$DA74</f>
        <v>1332.6182012083777</v>
      </c>
      <c r="AL41" s="77">
        <f>('[2]D6 Gallon Forecast'!V118/1000000)+$DA74</f>
        <v>1352.1783073875315</v>
      </c>
      <c r="AM41" s="77">
        <f>('[2]D6 Gallon Forecast'!W118/1000000)+$DA74</f>
        <v>1365.2417738605907</v>
      </c>
      <c r="AN41" s="77">
        <f>('[2]D6 Gallon Forecast'!X118/1000000)+$DA74</f>
        <v>1372.5082446442975</v>
      </c>
      <c r="AO41" s="77">
        <f>('[2]D6 Gallon Forecast'!Y118/1000000)+$DA74</f>
        <v>1382.2048939844758</v>
      </c>
      <c r="AP41" s="77">
        <f>('[2]D6 Gallon Forecast'!Z118/1000000)+$DA74</f>
        <v>1393.3103158861911</v>
      </c>
      <c r="AQ41" s="77">
        <f>('[2]D6 Gallon Forecast'!AA118/1000000)+$DA74</f>
        <v>1405.7411064033743</v>
      </c>
      <c r="AR41" s="77">
        <f>('[2]D6 Gallon Forecast'!AB118/1000000)+$DA74</f>
        <v>1416.7204530970082</v>
      </c>
      <c r="AS41" s="77">
        <f>('[2]D6 Gallon Forecast'!AC118/1000000)+$DA74</f>
        <v>1427.2596090851061</v>
      </c>
      <c r="AT41" s="77">
        <f>('[2]D6 Gallon Forecast'!AD118/1000000)+$DA74</f>
        <v>1438.4742940609906</v>
      </c>
      <c r="AU41" s="77">
        <f>('[2]D6 Gallon Forecast'!AE118/1000000)+$DA74</f>
        <v>1449.9992711757893</v>
      </c>
      <c r="AV41" s="77">
        <f>('[2]D6 Gallon Forecast'!AF118/1000000)+$DA74</f>
        <v>1461.6111529926795</v>
      </c>
      <c r="AW41" s="77">
        <f>('[2]D6 Gallon Forecast'!AG118/1000000)+$DA74</f>
        <v>1473.0555351856633</v>
      </c>
      <c r="AX41" s="77">
        <f t="shared" si="35"/>
        <v>1514.7501307000459</v>
      </c>
      <c r="AY41" s="77">
        <f t="shared" si="26"/>
        <v>1499.2324184230336</v>
      </c>
      <c r="AZ41" s="77">
        <f t="shared" si="24"/>
        <v>1511.3840432954421</v>
      </c>
      <c r="BA41" s="77">
        <f t="shared" si="24"/>
        <v>1523.660997719373</v>
      </c>
      <c r="BB41" s="77">
        <f t="shared" si="24"/>
        <v>1536.0709666647117</v>
      </c>
      <c r="BC41" s="77">
        <f t="shared" si="24"/>
        <v>1548.6740529605213</v>
      </c>
      <c r="BD41" s="77">
        <f t="shared" si="24"/>
        <v>1555.4588374126163</v>
      </c>
      <c r="BE41" s="77">
        <f t="shared" si="24"/>
        <v>1566.7041212105328</v>
      </c>
      <c r="BF41" s="77">
        <f t="shared" si="24"/>
        <v>1577.7681367935511</v>
      </c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2">
        <f>AF41/30</f>
        <v>43.825600000000001</v>
      </c>
      <c r="BW41" s="92">
        <f t="shared" si="27"/>
        <v>42.244160000000001</v>
      </c>
      <c r="BX41" s="93">
        <f t="shared" si="28"/>
        <v>1.5814400000000006</v>
      </c>
      <c r="BY41" s="69" t="s">
        <v>34</v>
      </c>
      <c r="BZ41" s="92">
        <f t="shared" ref="BZ41:DK41" si="41">B41/30</f>
        <v>3.2522000000000002</v>
      </c>
      <c r="CA41" s="92">
        <f t="shared" si="41"/>
        <v>3.7505999999999999</v>
      </c>
      <c r="CB41" s="92">
        <f t="shared" si="41"/>
        <v>1.5427999999999999</v>
      </c>
      <c r="CC41" s="92">
        <f t="shared" si="41"/>
        <v>3.0870000000000002</v>
      </c>
      <c r="CD41" s="92">
        <f t="shared" si="41"/>
        <v>3.7085999999999997</v>
      </c>
      <c r="CE41" s="92">
        <f t="shared" si="41"/>
        <v>3.3207999999999998</v>
      </c>
      <c r="CF41" s="92">
        <f t="shared" si="41"/>
        <v>4.0991999999999997</v>
      </c>
      <c r="CG41" s="92">
        <f t="shared" si="41"/>
        <v>4.6340000000000003</v>
      </c>
      <c r="CH41" s="92">
        <f t="shared" si="41"/>
        <v>5.1870000000000003</v>
      </c>
      <c r="CI41" s="92">
        <f t="shared" si="41"/>
        <v>7.6159999999999997</v>
      </c>
      <c r="CJ41" s="92">
        <f t="shared" si="41"/>
        <v>9.3071999999999999</v>
      </c>
      <c r="CK41" s="92">
        <f t="shared" si="41"/>
        <v>10.448200000000002</v>
      </c>
      <c r="CL41" s="92">
        <f t="shared" si="41"/>
        <v>13.343400000000001</v>
      </c>
      <c r="CM41" s="92">
        <f t="shared" si="41"/>
        <v>17.574200000000001</v>
      </c>
      <c r="CN41" s="92">
        <f t="shared" si="41"/>
        <v>24.711400000000001</v>
      </c>
      <c r="CO41" s="92">
        <f t="shared" si="41"/>
        <v>29.574999999999999</v>
      </c>
      <c r="CP41" s="92">
        <f t="shared" si="41"/>
        <v>35.884800000000006</v>
      </c>
      <c r="CQ41" s="92">
        <f t="shared" si="41"/>
        <v>38.113599999999998</v>
      </c>
      <c r="CR41" s="92">
        <f t="shared" si="41"/>
        <v>37.118200000000002</v>
      </c>
      <c r="CS41" s="92">
        <f t="shared" si="41"/>
        <v>37.410800000000002</v>
      </c>
      <c r="CT41" s="92">
        <f t="shared" si="41"/>
        <v>40.080599999999997</v>
      </c>
      <c r="CU41" s="92">
        <f t="shared" si="41"/>
        <v>41.557600000000001</v>
      </c>
      <c r="CV41" s="92">
        <f t="shared" si="41"/>
        <v>42.620199999999997</v>
      </c>
      <c r="CW41" s="92">
        <f t="shared" si="41"/>
        <v>42.933799999999998</v>
      </c>
      <c r="CX41" s="92">
        <f t="shared" si="41"/>
        <v>44.693599999999996</v>
      </c>
      <c r="CY41" s="92">
        <f t="shared" si="41"/>
        <v>44.652999999999999</v>
      </c>
      <c r="CZ41" s="92">
        <f t="shared" si="41"/>
        <v>36.342599999999997</v>
      </c>
      <c r="DA41" s="92">
        <f t="shared" si="41"/>
        <v>42.897399999999998</v>
      </c>
      <c r="DB41" s="92">
        <f t="shared" si="41"/>
        <v>43.803199999999997</v>
      </c>
      <c r="DC41" s="92">
        <f t="shared" si="41"/>
        <v>43.5246</v>
      </c>
      <c r="DD41" s="92">
        <f t="shared" si="41"/>
        <v>43.825600000000001</v>
      </c>
      <c r="DE41" s="93">
        <f t="shared" si="41"/>
        <v>43.86103388465196</v>
      </c>
      <c r="DF41" s="93">
        <f t="shared" si="41"/>
        <v>44.320642769691943</v>
      </c>
      <c r="DG41" s="93">
        <f t="shared" si="41"/>
        <v>44.172759222034294</v>
      </c>
      <c r="DH41" s="93">
        <f t="shared" si="41"/>
        <v>44.265379475137372</v>
      </c>
      <c r="DI41" s="93">
        <f t="shared" si="41"/>
        <v>44.420606706945925</v>
      </c>
      <c r="DJ41" s="93">
        <f t="shared" si="41"/>
        <v>45.072610246251053</v>
      </c>
      <c r="DK41" s="93">
        <f t="shared" si="41"/>
        <v>45.508059128686355</v>
      </c>
    </row>
    <row r="42" spans="1:115">
      <c r="A42" s="69" t="s">
        <v>35</v>
      </c>
      <c r="B42" s="76">
        <f t="shared" si="40"/>
        <v>100.128</v>
      </c>
      <c r="C42" s="76">
        <f t="shared" si="40"/>
        <v>105.42</v>
      </c>
      <c r="D42" s="76">
        <f t="shared" si="40"/>
        <v>51.87</v>
      </c>
      <c r="E42" s="76">
        <f t="shared" si="40"/>
        <v>116.13</v>
      </c>
      <c r="F42" s="76">
        <f t="shared" si="40"/>
        <v>108.52800000000001</v>
      </c>
      <c r="G42" s="76">
        <f t="shared" si="40"/>
        <v>99.203999999999994</v>
      </c>
      <c r="H42" s="76">
        <f t="shared" si="40"/>
        <v>138.55799999999999</v>
      </c>
      <c r="I42" s="76">
        <f t="shared" si="40"/>
        <v>145.82400000000001</v>
      </c>
      <c r="J42" s="76">
        <f t="shared" si="40"/>
        <v>166.74</v>
      </c>
      <c r="K42" s="76">
        <f t="shared" si="40"/>
        <v>232.21799999999999</v>
      </c>
      <c r="L42" s="76">
        <f t="shared" si="40"/>
        <v>283.45800000000003</v>
      </c>
      <c r="M42" s="76">
        <f t="shared" si="40"/>
        <v>336.29399999999998</v>
      </c>
      <c r="N42" s="76">
        <f t="shared" si="40"/>
        <v>411.22199999999998</v>
      </c>
      <c r="O42" s="76">
        <f t="shared" si="40"/>
        <v>549.48599999999999</v>
      </c>
      <c r="P42" s="76">
        <f t="shared" si="40"/>
        <v>799.68</v>
      </c>
      <c r="Q42" s="76">
        <f t="shared" si="40"/>
        <v>961.25400000000002</v>
      </c>
      <c r="R42" s="76">
        <f t="shared" si="40"/>
        <v>1116.528</v>
      </c>
      <c r="S42" s="76">
        <f t="shared" si="40"/>
        <v>1156.722</v>
      </c>
      <c r="T42" s="76">
        <f t="shared" si="40"/>
        <v>1059.912</v>
      </c>
      <c r="U42" s="76">
        <f t="shared" si="40"/>
        <v>1130.7660000000001</v>
      </c>
      <c r="V42" s="76">
        <f t="shared" si="40"/>
        <v>1235.346</v>
      </c>
      <c r="W42" s="76">
        <f t="shared" si="40"/>
        <v>1270.4580000000001</v>
      </c>
      <c r="X42" s="76">
        <f t="shared" si="40"/>
        <v>1321.6980000000001</v>
      </c>
      <c r="Y42" s="76">
        <f t="shared" si="40"/>
        <v>1311.2819999999999</v>
      </c>
      <c r="Z42" s="76">
        <f t="shared" si="40"/>
        <v>1406.8320000000001</v>
      </c>
      <c r="AA42" s="76">
        <f t="shared" si="38"/>
        <v>1366.722</v>
      </c>
      <c r="AB42" s="76">
        <f t="shared" si="38"/>
        <v>1205.7360000000001</v>
      </c>
      <c r="AC42" s="76">
        <f t="shared" si="38"/>
        <v>1320.8579999999999</v>
      </c>
      <c r="AD42" s="76">
        <f t="shared" si="38"/>
        <v>1322.9159999999999</v>
      </c>
      <c r="AE42" s="76">
        <f t="shared" si="34"/>
        <v>1344.588</v>
      </c>
      <c r="AF42" s="76">
        <f>AF26*42/1000</f>
        <v>1420.02</v>
      </c>
      <c r="AG42" s="77">
        <f>('[2]D6 Gallon Forecast'!Q119/1000000)+$DA75</f>
        <v>1315.2738438302972</v>
      </c>
      <c r="AH42" s="77">
        <f>('[2]D6 Gallon Forecast'!R119/1000000)+$DA75</f>
        <v>1314.0611182758394</v>
      </c>
      <c r="AI42" s="77">
        <f>('[2]D6 Gallon Forecast'!S119/1000000)+$DA75</f>
        <v>1309.1674896246245</v>
      </c>
      <c r="AJ42" s="77">
        <f>('[2]D6 Gallon Forecast'!T119/1000000)+$DA75</f>
        <v>1331.8141020197963</v>
      </c>
      <c r="AK42" s="77">
        <f>('[2]D6 Gallon Forecast'!U119/1000000)+$DA75</f>
        <v>1344.7920626351154</v>
      </c>
      <c r="AL42" s="77">
        <f>('[2]D6 Gallon Forecast'!V119/1000000)+$DA75</f>
        <v>1349.5700328210373</v>
      </c>
      <c r="AM42" s="77">
        <f>('[2]D6 Gallon Forecast'!W119/1000000)+$DA75</f>
        <v>1362.3455664446822</v>
      </c>
      <c r="AN42" s="77">
        <f>('[2]D6 Gallon Forecast'!X119/1000000)+$DA75</f>
        <v>1372.2068507005888</v>
      </c>
      <c r="AO42" s="77">
        <f>('[2]D6 Gallon Forecast'!Y119/1000000)+$DA75</f>
        <v>1385.1246478484343</v>
      </c>
      <c r="AP42" s="77">
        <f>('[2]D6 Gallon Forecast'!Z119/1000000)+$DA75</f>
        <v>1396.0384342138293</v>
      </c>
      <c r="AQ42" s="77">
        <f>('[2]D6 Gallon Forecast'!AA119/1000000)+$DA75</f>
        <v>1406.5326472925101</v>
      </c>
      <c r="AR42" s="77">
        <f>('[2]D6 Gallon Forecast'!AB119/1000000)+$DA75</f>
        <v>1418.2089118998781</v>
      </c>
      <c r="AS42" s="77">
        <f>('[2]D6 Gallon Forecast'!AC119/1000000)+$DA75</f>
        <v>1429.6465341103749</v>
      </c>
      <c r="AT42" s="77">
        <f>('[2]D6 Gallon Forecast'!AD119/1000000)+$DA75</f>
        <v>1441.4120661158777</v>
      </c>
      <c r="AU42" s="77">
        <f>('[2]D6 Gallon Forecast'!AE119/1000000)+$DA75</f>
        <v>1452.9404886551031</v>
      </c>
      <c r="AV42" s="77">
        <f>('[2]D6 Gallon Forecast'!AF119/1000000)+$DA75</f>
        <v>1464.5958318448666</v>
      </c>
      <c r="AW42" s="77">
        <f>('[2]D6 Gallon Forecast'!AG119/1000000)+$DA75</f>
        <v>1476.4895637960656</v>
      </c>
      <c r="AX42" s="77">
        <f t="shared" si="35"/>
        <v>1484.6712385044575</v>
      </c>
      <c r="AY42" s="77">
        <f t="shared" si="26"/>
        <v>1548.8794683832739</v>
      </c>
      <c r="AZ42" s="77">
        <f t="shared" si="24"/>
        <v>1570.3729488367533</v>
      </c>
      <c r="BA42" s="77">
        <f t="shared" si="24"/>
        <v>1593.8594408730833</v>
      </c>
      <c r="BB42" s="77">
        <f t="shared" si="24"/>
        <v>1619.7121626787266</v>
      </c>
      <c r="BC42" s="77">
        <f t="shared" si="24"/>
        <v>1648.356682455259</v>
      </c>
      <c r="BD42" s="77">
        <f t="shared" si="24"/>
        <v>1681.0937712454192</v>
      </c>
      <c r="BE42" s="77">
        <f t="shared" si="24"/>
        <v>1707.5366318178485</v>
      </c>
      <c r="BF42" s="77">
        <f t="shared" si="24"/>
        <v>1734.9693684140675</v>
      </c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2">
        <f>AF42/31</f>
        <v>45.807096774193546</v>
      </c>
      <c r="BW42" s="92">
        <f t="shared" si="27"/>
        <v>42.32787096774193</v>
      </c>
      <c r="BX42" s="93">
        <f t="shared" si="28"/>
        <v>3.4792258064516162</v>
      </c>
      <c r="BY42" s="69" t="s">
        <v>35</v>
      </c>
      <c r="BZ42" s="92">
        <f t="shared" ref="BZ42:CO43" si="42">B42/31</f>
        <v>3.229935483870968</v>
      </c>
      <c r="CA42" s="92">
        <f t="shared" si="42"/>
        <v>3.4006451612903228</v>
      </c>
      <c r="CB42" s="92">
        <f t="shared" si="42"/>
        <v>1.6732258064516128</v>
      </c>
      <c r="CC42" s="92">
        <f t="shared" si="42"/>
        <v>3.7461290322580645</v>
      </c>
      <c r="CD42" s="92">
        <f t="shared" si="42"/>
        <v>3.5009032258064519</v>
      </c>
      <c r="CE42" s="92">
        <f t="shared" si="42"/>
        <v>3.2001290322580642</v>
      </c>
      <c r="CF42" s="92">
        <f t="shared" si="42"/>
        <v>4.4696129032258058</v>
      </c>
      <c r="CG42" s="92">
        <f t="shared" si="42"/>
        <v>4.7040000000000006</v>
      </c>
      <c r="CH42" s="92">
        <f t="shared" si="42"/>
        <v>5.378709677419355</v>
      </c>
      <c r="CI42" s="92">
        <f t="shared" si="42"/>
        <v>7.4909032258064512</v>
      </c>
      <c r="CJ42" s="92">
        <f t="shared" si="42"/>
        <v>9.143806451612905</v>
      </c>
      <c r="CK42" s="92">
        <f t="shared" si="42"/>
        <v>10.848193548387096</v>
      </c>
      <c r="CL42" s="92">
        <f t="shared" si="42"/>
        <v>13.265225806451612</v>
      </c>
      <c r="CM42" s="92">
        <f t="shared" si="42"/>
        <v>17.725354838709677</v>
      </c>
      <c r="CN42" s="92">
        <f t="shared" si="42"/>
        <v>25.796129032258062</v>
      </c>
      <c r="CO42" s="92">
        <f t="shared" si="42"/>
        <v>31.008193548387098</v>
      </c>
      <c r="CP42" s="92">
        <f t="shared" ref="CP42:DE43" si="43">R42/31</f>
        <v>36.017032258064518</v>
      </c>
      <c r="CQ42" s="92">
        <f t="shared" si="43"/>
        <v>37.313612903225803</v>
      </c>
      <c r="CR42" s="92">
        <f t="shared" si="43"/>
        <v>34.190709677419356</v>
      </c>
      <c r="CS42" s="92">
        <f t="shared" si="43"/>
        <v>36.476322580645167</v>
      </c>
      <c r="CT42" s="92">
        <f t="shared" si="43"/>
        <v>39.849870967741936</v>
      </c>
      <c r="CU42" s="92">
        <f t="shared" si="43"/>
        <v>40.982516129032263</v>
      </c>
      <c r="CV42" s="92">
        <f t="shared" si="43"/>
        <v>42.63541935483871</v>
      </c>
      <c r="CW42" s="92">
        <f t="shared" si="43"/>
        <v>42.299419354838705</v>
      </c>
      <c r="CX42" s="92">
        <f t="shared" si="43"/>
        <v>45.381677419354844</v>
      </c>
      <c r="CY42" s="92">
        <f t="shared" si="43"/>
        <v>44.087806451612906</v>
      </c>
      <c r="CZ42" s="92">
        <f t="shared" si="43"/>
        <v>38.894709677419357</v>
      </c>
      <c r="DA42" s="92">
        <f t="shared" si="43"/>
        <v>42.608322580645158</v>
      </c>
      <c r="DB42" s="92">
        <f t="shared" si="43"/>
        <v>42.674709677419351</v>
      </c>
      <c r="DC42" s="92">
        <f t="shared" si="43"/>
        <v>43.3738064516129</v>
      </c>
      <c r="DD42" s="92">
        <f t="shared" si="43"/>
        <v>45.807096774193546</v>
      </c>
      <c r="DE42" s="93">
        <f t="shared" si="43"/>
        <v>42.428188510654749</v>
      </c>
      <c r="DF42" s="93">
        <f t="shared" ref="DD42:DK43" si="44">AH42/31</f>
        <v>42.38906833147869</v>
      </c>
      <c r="DG42" s="93">
        <f t="shared" si="44"/>
        <v>42.231209342729827</v>
      </c>
      <c r="DH42" s="93">
        <f t="shared" si="44"/>
        <v>42.961745226445046</v>
      </c>
      <c r="DI42" s="93">
        <f t="shared" si="44"/>
        <v>43.380389117261785</v>
      </c>
      <c r="DJ42" s="93">
        <f t="shared" si="44"/>
        <v>43.5345171877754</v>
      </c>
      <c r="DK42" s="93">
        <f t="shared" si="44"/>
        <v>43.946631175634906</v>
      </c>
    </row>
    <row r="43" spans="1:115">
      <c r="A43" s="69" t="s">
        <v>36</v>
      </c>
      <c r="B43" s="76">
        <f t="shared" si="40"/>
        <v>103.908</v>
      </c>
      <c r="C43" s="76">
        <f t="shared" si="40"/>
        <v>100.67400000000001</v>
      </c>
      <c r="D43" s="76">
        <f t="shared" si="40"/>
        <v>62.37</v>
      </c>
      <c r="E43" s="76">
        <f t="shared" si="40"/>
        <v>85.847999999999999</v>
      </c>
      <c r="F43" s="76">
        <f t="shared" si="40"/>
        <v>112.896</v>
      </c>
      <c r="G43" s="76">
        <f t="shared" si="40"/>
        <v>118.902</v>
      </c>
      <c r="H43" s="76">
        <f t="shared" si="40"/>
        <v>122.892</v>
      </c>
      <c r="I43" s="76">
        <f t="shared" si="40"/>
        <v>147.63</v>
      </c>
      <c r="J43" s="76">
        <f t="shared" si="40"/>
        <v>176.52600000000001</v>
      </c>
      <c r="K43" s="76">
        <f t="shared" si="40"/>
        <v>234.738</v>
      </c>
      <c r="L43" s="76">
        <f t="shared" si="40"/>
        <v>293.03399999999999</v>
      </c>
      <c r="M43" s="76">
        <f t="shared" si="40"/>
        <v>338.1</v>
      </c>
      <c r="N43" s="76">
        <f t="shared" si="40"/>
        <v>429.87</v>
      </c>
      <c r="O43" s="76">
        <f t="shared" si="40"/>
        <v>570.40200000000004</v>
      </c>
      <c r="P43" s="76">
        <f t="shared" si="40"/>
        <v>842.47799999999995</v>
      </c>
      <c r="Q43" s="76">
        <f t="shared" si="40"/>
        <v>971.71199999999999</v>
      </c>
      <c r="R43" s="76">
        <f t="shared" si="40"/>
        <v>1132.4880000000001</v>
      </c>
      <c r="S43" s="76">
        <f t="shared" si="40"/>
        <v>1174.992</v>
      </c>
      <c r="T43" s="76">
        <f t="shared" si="40"/>
        <v>1095.864</v>
      </c>
      <c r="U43" s="76">
        <f t="shared" si="40"/>
        <v>1103.7180000000001</v>
      </c>
      <c r="V43" s="76">
        <f t="shared" si="40"/>
        <v>1203.93</v>
      </c>
      <c r="W43" s="76">
        <f t="shared" si="40"/>
        <v>1250.0039999999999</v>
      </c>
      <c r="X43" s="76">
        <f t="shared" si="40"/>
        <v>1337.952</v>
      </c>
      <c r="Y43" s="76">
        <f t="shared" si="40"/>
        <v>1362.7739999999999</v>
      </c>
      <c r="Z43" s="76">
        <f t="shared" si="40"/>
        <v>1418.4659999999999</v>
      </c>
      <c r="AA43" s="76">
        <f t="shared" si="38"/>
        <v>1340.682</v>
      </c>
      <c r="AB43" s="76">
        <f t="shared" si="38"/>
        <v>1193.6400000000001</v>
      </c>
      <c r="AC43" s="76">
        <f t="shared" si="38"/>
        <v>1221.654</v>
      </c>
      <c r="AD43" s="76">
        <f t="shared" si="38"/>
        <v>1281.8399999999999</v>
      </c>
      <c r="AE43" s="76">
        <f t="shared" si="34"/>
        <v>1307.5440000000001</v>
      </c>
      <c r="AF43" s="76">
        <f t="shared" si="34"/>
        <v>1407.252</v>
      </c>
      <c r="AG43" s="77">
        <f>('[2]D6 Gallon Forecast'!Q120/1000000)+$DA76</f>
        <v>1355.6479473773918</v>
      </c>
      <c r="AH43" s="77">
        <f>('[2]D6 Gallon Forecast'!R120/1000000)+$DA76</f>
        <v>1361.0281053554384</v>
      </c>
      <c r="AI43" s="77">
        <f>('[2]D6 Gallon Forecast'!S120/1000000)+$DA76</f>
        <v>1367.2805022455971</v>
      </c>
      <c r="AJ43" s="77">
        <f>('[2]D6 Gallon Forecast'!T120/1000000)+$DA76</f>
        <v>1378.5749817165849</v>
      </c>
      <c r="AK43" s="77">
        <f>('[2]D6 Gallon Forecast'!U120/1000000)+$DA76</f>
        <v>1392.2388897002018</v>
      </c>
      <c r="AL43" s="77">
        <f>('[2]D6 Gallon Forecast'!V120/1000000)+$DA76</f>
        <v>1397.3940335591301</v>
      </c>
      <c r="AM43" s="77">
        <f>('[2]D6 Gallon Forecast'!W120/1000000)+$DA76</f>
        <v>1411.6733581593314</v>
      </c>
      <c r="AN43" s="77">
        <f>('[2]D6 Gallon Forecast'!X120/1000000)+$DA76</f>
        <v>1422.0187044604502</v>
      </c>
      <c r="AO43" s="77">
        <f>('[2]D6 Gallon Forecast'!Y120/1000000)+$DA76</f>
        <v>1433.2348185156466</v>
      </c>
      <c r="AP43" s="77">
        <f>('[2]D6 Gallon Forecast'!Z120/1000000)+$DA76</f>
        <v>1444.4252542743991</v>
      </c>
      <c r="AQ43" s="77">
        <f>('[2]D6 Gallon Forecast'!AA120/1000000)+$DA76</f>
        <v>1455.1121958348078</v>
      </c>
      <c r="AR43" s="77">
        <f>('[2]D6 Gallon Forecast'!AB120/1000000)+$DA76</f>
        <v>1466.9433428596856</v>
      </c>
      <c r="AS43" s="77">
        <f>('[2]D6 Gallon Forecast'!AC120/1000000)+$DA76</f>
        <v>1478.2593769523846</v>
      </c>
      <c r="AT43" s="77">
        <f>('[2]D6 Gallon Forecast'!AD120/1000000)+$DA76</f>
        <v>1489.7791556768213</v>
      </c>
      <c r="AU43" s="77">
        <f>('[2]D6 Gallon Forecast'!AE120/1000000)+$DA76</f>
        <v>1501.3602764335119</v>
      </c>
      <c r="AV43" s="77">
        <f>('[2]D6 Gallon Forecast'!AF120/1000000)+$DA76</f>
        <v>1513.0224068809084</v>
      </c>
      <c r="AW43" s="77">
        <f>('[2]D6 Gallon Forecast'!AG120/1000000)+$DA76</f>
        <v>1524.8848093456165</v>
      </c>
      <c r="AX43" s="77">
        <f t="shared" si="35"/>
        <v>1586.3188356578485</v>
      </c>
      <c r="AY43" s="77">
        <f t="shared" si="26"/>
        <v>1580.3759281989414</v>
      </c>
      <c r="AZ43" s="77">
        <f t="shared" si="24"/>
        <v>1598.4952827033653</v>
      </c>
      <c r="BA43" s="77">
        <f t="shared" si="24"/>
        <v>1617.922283957336</v>
      </c>
      <c r="BB43" s="77">
        <f t="shared" si="24"/>
        <v>1638.9022593726215</v>
      </c>
      <c r="BC43" s="77">
        <f t="shared" si="24"/>
        <v>1661.7057493780226</v>
      </c>
      <c r="BD43" s="77">
        <f t="shared" si="24"/>
        <v>1676.7831321220574</v>
      </c>
      <c r="BE43" s="77">
        <f t="shared" si="24"/>
        <v>1696.064572906681</v>
      </c>
      <c r="BF43" s="77">
        <f t="shared" si="24"/>
        <v>1715.578430947344</v>
      </c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U43" s="94"/>
      <c r="BV43" s="92">
        <f>AF43/31</f>
        <v>45.395225806451613</v>
      </c>
      <c r="BW43" s="92">
        <f t="shared" si="27"/>
        <v>40.9378064516129</v>
      </c>
      <c r="BX43" s="93">
        <f t="shared" si="28"/>
        <v>4.4574193548387129</v>
      </c>
      <c r="BY43" s="69" t="s">
        <v>36</v>
      </c>
      <c r="BZ43" s="92">
        <f t="shared" si="42"/>
        <v>3.3518709677419354</v>
      </c>
      <c r="CA43" s="92">
        <f t="shared" si="42"/>
        <v>3.2475483870967743</v>
      </c>
      <c r="CB43" s="92">
        <f t="shared" si="42"/>
        <v>2.0119354838709675</v>
      </c>
      <c r="CC43" s="92">
        <f t="shared" si="42"/>
        <v>2.7692903225806451</v>
      </c>
      <c r="CD43" s="92">
        <f t="shared" si="42"/>
        <v>3.6418064516129034</v>
      </c>
      <c r="CE43" s="92">
        <f t="shared" si="42"/>
        <v>3.8355483870967744</v>
      </c>
      <c r="CF43" s="92">
        <f t="shared" si="42"/>
        <v>3.9642580645161289</v>
      </c>
      <c r="CG43" s="92">
        <f t="shared" si="42"/>
        <v>4.7622580645161285</v>
      </c>
      <c r="CH43" s="92">
        <f t="shared" si="42"/>
        <v>5.6943870967741939</v>
      </c>
      <c r="CI43" s="92">
        <f t="shared" si="42"/>
        <v>7.572193548387097</v>
      </c>
      <c r="CJ43" s="92">
        <f t="shared" si="42"/>
        <v>9.4527096774193549</v>
      </c>
      <c r="CK43" s="92">
        <f t="shared" si="42"/>
        <v>10.906451612903227</v>
      </c>
      <c r="CL43" s="92">
        <f t="shared" si="42"/>
        <v>13.866774193548387</v>
      </c>
      <c r="CM43" s="92">
        <f t="shared" si="42"/>
        <v>18.400064516129035</v>
      </c>
      <c r="CN43" s="92">
        <f t="shared" si="42"/>
        <v>27.176709677419353</v>
      </c>
      <c r="CO43" s="92">
        <f t="shared" si="42"/>
        <v>31.345548387096773</v>
      </c>
      <c r="CP43" s="92">
        <f t="shared" si="43"/>
        <v>36.531870967741938</v>
      </c>
      <c r="CQ43" s="92">
        <f t="shared" si="43"/>
        <v>37.902967741935484</v>
      </c>
      <c r="CR43" s="92">
        <f t="shared" si="43"/>
        <v>35.350451612903228</v>
      </c>
      <c r="CS43" s="92">
        <f t="shared" si="43"/>
        <v>35.603806451612904</v>
      </c>
      <c r="CT43" s="92">
        <f t="shared" si="43"/>
        <v>38.836451612903225</v>
      </c>
      <c r="CU43" s="92">
        <f t="shared" si="43"/>
        <v>40.322709677419354</v>
      </c>
      <c r="CV43" s="92">
        <f t="shared" si="43"/>
        <v>43.159741935483872</v>
      </c>
      <c r="CW43" s="92">
        <f t="shared" si="43"/>
        <v>43.960451612903221</v>
      </c>
      <c r="CX43" s="92">
        <f t="shared" si="43"/>
        <v>45.756967741935483</v>
      </c>
      <c r="CY43" s="92">
        <f t="shared" si="43"/>
        <v>43.247806451612902</v>
      </c>
      <c r="CZ43" s="92">
        <f t="shared" si="43"/>
        <v>38.504516129032261</v>
      </c>
      <c r="DA43" s="92">
        <f t="shared" si="43"/>
        <v>39.408193548387096</v>
      </c>
      <c r="DB43" s="92">
        <f t="shared" si="43"/>
        <v>41.349677419354833</v>
      </c>
      <c r="DC43" s="92">
        <f t="shared" si="43"/>
        <v>42.178838709677422</v>
      </c>
      <c r="DD43" s="92">
        <f t="shared" si="44"/>
        <v>45.395225806451613</v>
      </c>
      <c r="DE43" s="93">
        <f t="shared" si="44"/>
        <v>43.730578947657797</v>
      </c>
      <c r="DF43" s="93">
        <f t="shared" si="44"/>
        <v>43.904132430820589</v>
      </c>
      <c r="DG43" s="93">
        <f t="shared" si="44"/>
        <v>44.105822653083777</v>
      </c>
      <c r="DH43" s="93">
        <f t="shared" si="44"/>
        <v>44.470160700534997</v>
      </c>
      <c r="DI43" s="93">
        <f t="shared" si="44"/>
        <v>44.91093192581296</v>
      </c>
      <c r="DJ43" s="93">
        <f t="shared" si="44"/>
        <v>45.077226889004194</v>
      </c>
      <c r="DK43" s="93">
        <f t="shared" si="44"/>
        <v>45.537850263204241</v>
      </c>
    </row>
    <row r="44" spans="1:115" ht="12" thickBot="1">
      <c r="A44" s="69" t="s">
        <v>138</v>
      </c>
      <c r="B44" s="76">
        <f t="shared" ref="B44:AF44" si="45">SUM(B32:B43)</f>
        <v>1208.0459999999998</v>
      </c>
      <c r="C44" s="76">
        <f t="shared" si="45"/>
        <v>1404.27</v>
      </c>
      <c r="D44" s="76">
        <f t="shared" si="45"/>
        <v>1035.972</v>
      </c>
      <c r="E44" s="76">
        <f t="shared" si="45"/>
        <v>1195.3619999999999</v>
      </c>
      <c r="F44" s="76">
        <f t="shared" si="45"/>
        <v>1359.33</v>
      </c>
      <c r="G44" s="76">
        <f t="shared" si="45"/>
        <v>1444.8000000000002</v>
      </c>
      <c r="H44" s="76">
        <f t="shared" si="45"/>
        <v>1589.8680000000002</v>
      </c>
      <c r="I44" s="76">
        <f t="shared" si="45"/>
        <v>1704.3180000000002</v>
      </c>
      <c r="J44" s="76">
        <f t="shared" si="45"/>
        <v>1936.2840000000001</v>
      </c>
      <c r="K44" s="76">
        <f t="shared" si="45"/>
        <v>2634.4919999999993</v>
      </c>
      <c r="L44" s="76">
        <f t="shared" si="45"/>
        <v>3227.8260000000005</v>
      </c>
      <c r="M44" s="76">
        <f t="shared" si="45"/>
        <v>3687.5160000000001</v>
      </c>
      <c r="N44" s="76">
        <f t="shared" si="45"/>
        <v>4500.2160000000003</v>
      </c>
      <c r="O44" s="76">
        <f t="shared" si="45"/>
        <v>5882.982</v>
      </c>
      <c r="P44" s="76">
        <f t="shared" si="45"/>
        <v>8367.1980000000003</v>
      </c>
      <c r="Q44" s="76">
        <f t="shared" si="45"/>
        <v>10304.700000000001</v>
      </c>
      <c r="R44" s="76">
        <f t="shared" si="45"/>
        <v>12669.804</v>
      </c>
      <c r="S44" s="76">
        <f t="shared" si="45"/>
        <v>13811.279999999999</v>
      </c>
      <c r="T44" s="76">
        <f t="shared" si="45"/>
        <v>13764.995999999999</v>
      </c>
      <c r="U44" s="76">
        <f t="shared" si="45"/>
        <v>12822.263999999999</v>
      </c>
      <c r="V44" s="76">
        <f t="shared" si="45"/>
        <v>14103.18</v>
      </c>
      <c r="W44" s="76">
        <f t="shared" si="45"/>
        <v>14666.82</v>
      </c>
      <c r="X44" s="76">
        <f t="shared" si="45"/>
        <v>15193.668</v>
      </c>
      <c r="Y44" s="76">
        <f t="shared" si="45"/>
        <v>15698.129999999997</v>
      </c>
      <c r="Z44" s="76">
        <f t="shared" si="45"/>
        <v>16129.596</v>
      </c>
      <c r="AA44" s="76">
        <f t="shared" si="45"/>
        <v>15839.039999999999</v>
      </c>
      <c r="AB44" s="76">
        <f t="shared" si="45"/>
        <v>14251.397999999999</v>
      </c>
      <c r="AC44" s="76">
        <f t="shared" si="45"/>
        <v>14660.562000000002</v>
      </c>
      <c r="AD44" s="76">
        <f t="shared" si="45"/>
        <v>15601.53</v>
      </c>
      <c r="AE44" s="76">
        <f t="shared" si="45"/>
        <v>15288.041999999999</v>
      </c>
      <c r="AF44" s="76">
        <f t="shared" si="45"/>
        <v>16047.570000000002</v>
      </c>
      <c r="AG44" s="77">
        <f t="shared" ref="AG44:BF44" si="46">SUM(AG32:AG43)</f>
        <v>16014.176077362259</v>
      </c>
      <c r="AH44" s="77">
        <f t="shared" si="46"/>
        <v>15777.46703371494</v>
      </c>
      <c r="AI44" s="77">
        <f t="shared" si="46"/>
        <v>15828.501237527986</v>
      </c>
      <c r="AJ44" s="77">
        <f t="shared" si="46"/>
        <v>15902.450714646942</v>
      </c>
      <c r="AK44" s="77">
        <f t="shared" si="46"/>
        <v>16040.26883405554</v>
      </c>
      <c r="AL44" s="77">
        <f t="shared" si="46"/>
        <v>16134.747557031267</v>
      </c>
      <c r="AM44" s="77">
        <f t="shared" si="46"/>
        <v>16284.860556940215</v>
      </c>
      <c r="AN44" s="77">
        <f t="shared" si="46"/>
        <v>16410.677637136818</v>
      </c>
      <c r="AO44" s="77">
        <f t="shared" si="46"/>
        <v>16529.841888197454</v>
      </c>
      <c r="AP44" s="77">
        <f t="shared" si="46"/>
        <v>16658.324276779811</v>
      </c>
      <c r="AQ44" s="77">
        <f t="shared" si="46"/>
        <v>16784.882793251527</v>
      </c>
      <c r="AR44" s="77">
        <f t="shared" si="46"/>
        <v>16918.108844964274</v>
      </c>
      <c r="AS44" s="77">
        <f t="shared" si="46"/>
        <v>17047.811892406124</v>
      </c>
      <c r="AT44" s="77">
        <f t="shared" si="46"/>
        <v>17178.296636818919</v>
      </c>
      <c r="AU44" s="77">
        <f t="shared" si="46"/>
        <v>17311.113433961691</v>
      </c>
      <c r="AV44" s="77">
        <f t="shared" si="46"/>
        <v>17444.822257087755</v>
      </c>
      <c r="AW44" s="77">
        <f t="shared" si="46"/>
        <v>17580.003183796798</v>
      </c>
      <c r="AX44" s="77">
        <f t="shared" si="46"/>
        <v>18181.43705894702</v>
      </c>
      <c r="AY44" s="77">
        <f t="shared" si="46"/>
        <v>18604.116380322434</v>
      </c>
      <c r="AZ44" s="77">
        <f t="shared" si="46"/>
        <v>18889.280329023142</v>
      </c>
      <c r="BA44" s="77">
        <f t="shared" si="46"/>
        <v>19204.91370803543</v>
      </c>
      <c r="BB44" s="77">
        <f t="shared" si="46"/>
        <v>19556.931998224965</v>
      </c>
      <c r="BC44" s="77">
        <f t="shared" si="46"/>
        <v>19952.317761110597</v>
      </c>
      <c r="BD44" s="77">
        <f t="shared" si="46"/>
        <v>20306.493901543316</v>
      </c>
      <c r="BE44" s="77">
        <f t="shared" si="46"/>
        <v>20646.969405787495</v>
      </c>
      <c r="BF44" s="77">
        <f t="shared" si="46"/>
        <v>20998.50722114036</v>
      </c>
      <c r="BV44" s="92">
        <f>AVERAGE(BV32:BV43)</f>
        <v>44.092442204301079</v>
      </c>
      <c r="BW44" s="92">
        <f t="shared" si="27"/>
        <v>41.415310747126441</v>
      </c>
      <c r="BX44" s="93">
        <f t="shared" si="28"/>
        <v>2.6771314571746387</v>
      </c>
      <c r="BY44" s="69" t="s">
        <v>143</v>
      </c>
      <c r="BZ44" s="92">
        <f>AVERAGE(BZ32:BZ43)</f>
        <v>3.3077005376344086</v>
      </c>
      <c r="CA44" s="92">
        <f t="shared" ref="CA44:CX44" si="47">AVERAGE(CA32:CA43)</f>
        <v>3.850773655913978</v>
      </c>
      <c r="CB44" s="92">
        <f t="shared" si="47"/>
        <v>2.831338561364479</v>
      </c>
      <c r="CC44" s="92">
        <f t="shared" si="47"/>
        <v>3.2728169354838719</v>
      </c>
      <c r="CD44" s="92">
        <f t="shared" si="47"/>
        <v>3.7218193548387095</v>
      </c>
      <c r="CE44" s="92">
        <f t="shared" si="47"/>
        <v>3.9573809139784939</v>
      </c>
      <c r="CF44" s="92">
        <f t="shared" si="47"/>
        <v>4.3432765294771976</v>
      </c>
      <c r="CG44" s="92">
        <f t="shared" si="47"/>
        <v>4.6694862903225802</v>
      </c>
      <c r="CH44" s="92">
        <f t="shared" si="47"/>
        <v>5.3020814516129029</v>
      </c>
      <c r="CI44" s="92">
        <f t="shared" si="47"/>
        <v>7.2149956989247306</v>
      </c>
      <c r="CJ44" s="92">
        <f t="shared" si="47"/>
        <v>8.8176985910270655</v>
      </c>
      <c r="CK44" s="92">
        <f t="shared" si="47"/>
        <v>10.102047043010753</v>
      </c>
      <c r="CL44" s="92">
        <f t="shared" si="47"/>
        <v>12.328793279569894</v>
      </c>
      <c r="CM44" s="92">
        <f t="shared" si="47"/>
        <v>16.113650806451613</v>
      </c>
      <c r="CN44" s="92">
        <f t="shared" si="47"/>
        <v>22.84961010381906</v>
      </c>
      <c r="CO44" s="92">
        <f t="shared" si="47"/>
        <v>28.222618010752687</v>
      </c>
      <c r="CP44" s="92">
        <f t="shared" si="47"/>
        <v>34.712933870967738</v>
      </c>
      <c r="CQ44" s="92">
        <f t="shared" si="47"/>
        <v>37.838580645161294</v>
      </c>
      <c r="CR44" s="92">
        <f t="shared" si="47"/>
        <v>37.615974230626627</v>
      </c>
      <c r="CS44" s="92">
        <f t="shared" si="47"/>
        <v>35.122331182795698</v>
      </c>
      <c r="CT44" s="92">
        <f t="shared" si="47"/>
        <v>38.630827688172047</v>
      </c>
      <c r="CU44" s="92">
        <f t="shared" si="47"/>
        <v>40.180289247311826</v>
      </c>
      <c r="CV44" s="92">
        <f t="shared" si="47"/>
        <v>41.507455524657026</v>
      </c>
      <c r="CW44" s="92">
        <f t="shared" si="47"/>
        <v>43.005788709677411</v>
      </c>
      <c r="CX44" s="92">
        <f t="shared" si="47"/>
        <v>44.188548118279563</v>
      </c>
      <c r="CY44" s="92">
        <f>AVERAGE(CY32:CY43)</f>
        <v>43.39427365591397</v>
      </c>
      <c r="CZ44" s="92">
        <f>AVERAGE(CZ32:CZ43)</f>
        <v>38.937493251761218</v>
      </c>
      <c r="DA44" s="92">
        <f>AVERAGE(DA32:DA43)</f>
        <v>40.125690053763442</v>
      </c>
      <c r="DB44" s="92">
        <f>AVERAGE(DB32:DB43)</f>
        <v>42.736257526881722</v>
      </c>
      <c r="DC44" s="92">
        <f t="shared" ref="DC44:DK44" si="48">AVERAGE(DC32:DC43)</f>
        <v>41.882839247311829</v>
      </c>
      <c r="DD44" s="92">
        <f t="shared" si="48"/>
        <v>43.842103466814983</v>
      </c>
      <c r="DE44" s="93">
        <f t="shared" si="48"/>
        <v>43.882009274908057</v>
      </c>
      <c r="DF44" s="93">
        <f t="shared" si="48"/>
        <v>43.225662137409529</v>
      </c>
      <c r="DG44" s="93">
        <f t="shared" si="48"/>
        <v>43.371218148423651</v>
      </c>
      <c r="DH44" s="93">
        <f t="shared" si="48"/>
        <v>43.445393552163189</v>
      </c>
      <c r="DI44" s="93">
        <f t="shared" si="48"/>
        <v>43.952696158849982</v>
      </c>
      <c r="DJ44" s="93">
        <f t="shared" si="48"/>
        <v>44.208820339428918</v>
      </c>
      <c r="DK44" s="93">
        <f t="shared" si="48"/>
        <v>44.620833091318055</v>
      </c>
    </row>
    <row r="45" spans="1:11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</row>
    <row r="46" spans="1:115" ht="12" thickBot="1">
      <c r="A46" s="83" t="s">
        <v>144</v>
      </c>
      <c r="W46" s="76"/>
      <c r="X46" s="76"/>
      <c r="Y46" s="76"/>
      <c r="Z46" s="76"/>
      <c r="AA46" s="76"/>
      <c r="BU46" s="95" t="s">
        <v>145</v>
      </c>
    </row>
    <row r="47" spans="1:115" ht="12" thickBot="1">
      <c r="A47" s="84"/>
      <c r="B47" s="85" t="s">
        <v>66</v>
      </c>
      <c r="C47" s="86" t="s">
        <v>67</v>
      </c>
      <c r="D47" s="86" t="s">
        <v>68</v>
      </c>
      <c r="E47" s="86" t="s">
        <v>69</v>
      </c>
      <c r="F47" s="86" t="s">
        <v>70</v>
      </c>
      <c r="G47" s="86" t="s">
        <v>71</v>
      </c>
      <c r="H47" s="86" t="s">
        <v>72</v>
      </c>
      <c r="I47" s="86" t="s">
        <v>73</v>
      </c>
      <c r="J47" s="86" t="s">
        <v>74</v>
      </c>
      <c r="K47" s="86" t="s">
        <v>75</v>
      </c>
      <c r="L47" s="86" t="s">
        <v>76</v>
      </c>
      <c r="M47" s="86" t="s">
        <v>77</v>
      </c>
      <c r="N47" s="86" t="s">
        <v>78</v>
      </c>
      <c r="O47" s="86" t="s">
        <v>79</v>
      </c>
      <c r="P47" s="86" t="s">
        <v>80</v>
      </c>
      <c r="Q47" s="86" t="s">
        <v>81</v>
      </c>
      <c r="R47" s="86" t="s">
        <v>82</v>
      </c>
      <c r="S47" s="86" t="s">
        <v>83</v>
      </c>
      <c r="T47" s="86" t="s">
        <v>84</v>
      </c>
      <c r="U47" s="86" t="s">
        <v>85</v>
      </c>
      <c r="V47" s="86" t="s">
        <v>86</v>
      </c>
      <c r="W47" s="86" t="s">
        <v>87</v>
      </c>
      <c r="X47" s="86" t="s">
        <v>88</v>
      </c>
      <c r="Y47" s="86" t="s">
        <v>89</v>
      </c>
      <c r="Z47" s="86" t="s">
        <v>90</v>
      </c>
      <c r="AA47" s="86" t="s">
        <v>91</v>
      </c>
      <c r="AB47" s="86" t="s">
        <v>92</v>
      </c>
      <c r="AC47" s="86" t="s">
        <v>93</v>
      </c>
      <c r="AD47" s="86" t="str">
        <f>AD2</f>
        <v>21/22</v>
      </c>
      <c r="AE47" s="86" t="str">
        <f t="shared" ref="AE47:BF47" si="49">AE2</f>
        <v>22/23</v>
      </c>
      <c r="AF47" s="86" t="str">
        <f t="shared" si="49"/>
        <v>23/24</v>
      </c>
      <c r="AG47" s="86" t="str">
        <f t="shared" si="49"/>
        <v>24/25</v>
      </c>
      <c r="AH47" s="86" t="str">
        <f t="shared" si="49"/>
        <v>25/26</v>
      </c>
      <c r="AI47" s="86" t="str">
        <f t="shared" si="49"/>
        <v>26/27</v>
      </c>
      <c r="AJ47" s="86" t="str">
        <f t="shared" si="49"/>
        <v>27/28</v>
      </c>
      <c r="AK47" s="86" t="str">
        <f t="shared" si="49"/>
        <v>28/29</v>
      </c>
      <c r="AL47" s="86" t="str">
        <f t="shared" si="49"/>
        <v>29/30</v>
      </c>
      <c r="AM47" s="86" t="str">
        <f t="shared" si="49"/>
        <v>30/31</v>
      </c>
      <c r="AN47" s="86" t="str">
        <f t="shared" si="49"/>
        <v>31/32</v>
      </c>
      <c r="AO47" s="86" t="str">
        <f t="shared" si="49"/>
        <v>32/33</v>
      </c>
      <c r="AP47" s="86" t="str">
        <f t="shared" si="49"/>
        <v>33/34</v>
      </c>
      <c r="AQ47" s="86" t="str">
        <f t="shared" si="49"/>
        <v>34/35</v>
      </c>
      <c r="AR47" s="86" t="str">
        <f t="shared" si="49"/>
        <v>35/36</v>
      </c>
      <c r="AS47" s="86" t="str">
        <f t="shared" si="49"/>
        <v>36/37</v>
      </c>
      <c r="AT47" s="86" t="str">
        <f t="shared" si="49"/>
        <v>37/38</v>
      </c>
      <c r="AU47" s="86" t="str">
        <f t="shared" si="49"/>
        <v>38/39</v>
      </c>
      <c r="AV47" s="86" t="str">
        <f t="shared" si="49"/>
        <v>39/40</v>
      </c>
      <c r="AW47" s="86" t="str">
        <f t="shared" si="49"/>
        <v>40/41</v>
      </c>
      <c r="AX47" s="86" t="str">
        <f t="shared" si="49"/>
        <v>41/42</v>
      </c>
      <c r="AY47" s="86" t="str">
        <f t="shared" si="49"/>
        <v>42/43</v>
      </c>
      <c r="AZ47" s="86" t="str">
        <f t="shared" si="49"/>
        <v>43/44</v>
      </c>
      <c r="BA47" s="86" t="str">
        <f t="shared" si="49"/>
        <v>44/45</v>
      </c>
      <c r="BB47" s="86" t="str">
        <f t="shared" si="49"/>
        <v>45/46</v>
      </c>
      <c r="BC47" s="86" t="str">
        <f t="shared" si="49"/>
        <v>42/47</v>
      </c>
      <c r="BD47" s="86" t="str">
        <f t="shared" si="49"/>
        <v>42/48</v>
      </c>
      <c r="BE47" s="86" t="str">
        <f t="shared" si="49"/>
        <v>42/49</v>
      </c>
      <c r="BF47" s="86" t="str">
        <f t="shared" si="49"/>
        <v>42/50</v>
      </c>
      <c r="BV47" s="96" t="s">
        <v>146</v>
      </c>
    </row>
    <row r="48" spans="1:115">
      <c r="A48" s="69" t="s">
        <v>37</v>
      </c>
      <c r="B48" s="76">
        <f>'Monthly Ethanol Data'!$C158*42/1000</f>
        <v>1.05</v>
      </c>
      <c r="C48" s="76">
        <f>'Monthly Ethanol Data'!$C170*42/1000</f>
        <v>1.1339999999999999</v>
      </c>
      <c r="D48" s="76">
        <f>'Monthly Ethanol Data'!$C182*42/1000</f>
        <v>2.4359999999999999</v>
      </c>
      <c r="E48" s="76">
        <f>'Monthly Ethanol Data'!$C194*42/1000</f>
        <v>0</v>
      </c>
      <c r="F48" s="76">
        <f>'Monthly Ethanol Data'!$C206*42/1000</f>
        <v>0.21</v>
      </c>
      <c r="G48" s="76">
        <f>'Monthly Ethanol Data'!$C218*42/1000</f>
        <v>0.29399999999999998</v>
      </c>
      <c r="H48" s="76">
        <f>'Monthly Ethanol Data'!$C230*42/1000</f>
        <v>0.54600000000000004</v>
      </c>
      <c r="I48" s="76">
        <f>'Monthly Ethanol Data'!$C242*42/1000</f>
        <v>2.016</v>
      </c>
      <c r="J48" s="76">
        <f>'Monthly Ethanol Data'!$C254*42/1000</f>
        <v>0.504</v>
      </c>
      <c r="K48" s="76">
        <f>'Monthly Ethanol Data'!$C266*42/1000</f>
        <v>0.504</v>
      </c>
      <c r="L48" s="76">
        <f>'Monthly Ethanol Data'!$C278*42/1000</f>
        <v>16.716000000000001</v>
      </c>
      <c r="M48" s="76">
        <f>'Monthly Ethanol Data'!$C290*42/1000</f>
        <v>2.5619999999999998</v>
      </c>
      <c r="N48" s="76">
        <f>'Monthly Ethanol Data'!$C302*42/1000</f>
        <v>95.256</v>
      </c>
      <c r="O48" s="76">
        <f>'Monthly Ethanol Data'!$C314*42/1000</f>
        <v>25.62</v>
      </c>
      <c r="P48" s="76">
        <f>'Monthly Ethanol Data'!$C326*42/1000</f>
        <v>103.572</v>
      </c>
      <c r="Q48" s="76">
        <f>'Monthly Ethanol Data'!$C338*42/1000</f>
        <v>13.02</v>
      </c>
      <c r="R48" s="76">
        <f>'Monthly Ethanol Data'!$C350*42/1000</f>
        <v>0.21</v>
      </c>
      <c r="S48" s="76">
        <f>'Monthly Ethanol Data'!$C362*42/1000</f>
        <v>1.9319999999999999</v>
      </c>
      <c r="T48" s="76">
        <f>'Monthly Ethanol Data'!$C374*42/1000</f>
        <v>31.542000000000002</v>
      </c>
      <c r="U48" s="76">
        <f>'Monthly Ethanol Data'!$C386*42/1000</f>
        <v>2.8140000000000001</v>
      </c>
      <c r="V48" s="76">
        <f>'Monthly Ethanol Data'!$C398*42/1000</f>
        <v>0.29399999999999998</v>
      </c>
      <c r="W48" s="76">
        <f>'Monthly Ethanol Data'!$C410*42/1000</f>
        <v>0.126</v>
      </c>
      <c r="X48" s="76">
        <f>'Monthly Ethanol Data'!$C422*42/1000</f>
        <v>1.302</v>
      </c>
      <c r="Y48" s="76">
        <f>'Monthly Ethanol Data'!$C434*42/1000</f>
        <v>1.302</v>
      </c>
      <c r="Z48" s="97">
        <f>'Monthly Ethanol Data'!$D446*42/1000</f>
        <v>30.306614871308529</v>
      </c>
      <c r="AA48" s="97">
        <f>'Monthly Ethanol Data'!$D458*42/1000</f>
        <v>16.326030733791054</v>
      </c>
      <c r="AB48" s="97">
        <f>'Monthly Ethanol Data'!$D470*42/1000</f>
        <v>67.552380323399575</v>
      </c>
      <c r="AC48" s="97">
        <f>'Monthly Ethanol Data'!$D482*42/1000</f>
        <v>24.770116050837292</v>
      </c>
      <c r="AD48" s="97">
        <f>'Monthly Ethanol Data'!$D494*42/1000</f>
        <v>20.238815610462275</v>
      </c>
      <c r="AE48" s="97">
        <f>'Monthly Ethanol Data'!$D506*42/1000</f>
        <v>1.97469885816336</v>
      </c>
      <c r="AF48" s="97">
        <f>'Monthly Ethanol Data'!$D518*42/1000</f>
        <v>16.930468334754579</v>
      </c>
      <c r="AG48" s="97">
        <f>'Monthly Ethanol Data'!$D530*42/1000</f>
        <v>3.8398554767618425</v>
      </c>
      <c r="AH48" s="77">
        <f t="shared" ref="AH48" si="50">(SUM(AB48:AF48)/SUM(AB$60:AF$60))*AH$60</f>
        <v>35.507346661231445</v>
      </c>
      <c r="AI48" s="77">
        <f t="shared" ref="AI48" si="51">(SUM(AC48:AG48)/SUM(AC$60:AG$60))*AI$60</f>
        <v>24.144805728841916</v>
      </c>
      <c r="AJ48" s="77">
        <f t="shared" ref="AJ48:BF58" si="52">(SUM(AD48:AH48)/SUM(AD$60:AH$60))*AJ$60</f>
        <v>26.700953981885679</v>
      </c>
      <c r="AK48" s="77">
        <f t="shared" si="52"/>
        <v>23.295489954668952</v>
      </c>
      <c r="AL48" s="77">
        <f t="shared" si="52"/>
        <v>26.338133632552697</v>
      </c>
      <c r="AM48" s="77">
        <f t="shared" si="52"/>
        <v>25.219655956308852</v>
      </c>
      <c r="AN48" s="77">
        <f t="shared" si="52"/>
        <v>27.197345991836141</v>
      </c>
      <c r="AO48" s="77">
        <f t="shared" si="52"/>
        <v>25.139807850851618</v>
      </c>
      <c r="AP48" s="77">
        <f t="shared" si="52"/>
        <v>25.750315903450463</v>
      </c>
      <c r="AQ48" s="77">
        <f t="shared" si="52"/>
        <v>25.438086677243657</v>
      </c>
      <c r="AR48" s="77">
        <f t="shared" si="52"/>
        <v>25.929051866999952</v>
      </c>
      <c r="AS48" s="77">
        <f t="shared" si="52"/>
        <v>25.74904247593815</v>
      </c>
      <c r="AT48" s="77">
        <f t="shared" si="52"/>
        <v>25.890921658076365</v>
      </c>
      <c r="AU48" s="77">
        <f t="shared" si="52"/>
        <v>25.60126095489677</v>
      </c>
      <c r="AV48" s="77">
        <f t="shared" si="52"/>
        <v>25.751483716341717</v>
      </c>
      <c r="AW48" s="77">
        <f t="shared" si="52"/>
        <v>25.721672726630974</v>
      </c>
      <c r="AX48" s="77">
        <f t="shared" si="52"/>
        <v>25.784352134450593</v>
      </c>
      <c r="AY48" s="77">
        <f t="shared" si="52"/>
        <v>25.742876306376797</v>
      </c>
      <c r="AZ48" s="77">
        <f t="shared" si="52"/>
        <v>25.852937991031602</v>
      </c>
      <c r="BA48" s="77">
        <f t="shared" si="52"/>
        <v>25.926091801081281</v>
      </c>
      <c r="BB48" s="77">
        <f t="shared" si="52"/>
        <v>26.059065297627832</v>
      </c>
      <c r="BC48" s="77">
        <f t="shared" si="52"/>
        <v>26.155701886457379</v>
      </c>
      <c r="BD48" s="77">
        <f t="shared" si="52"/>
        <v>26.264456608515022</v>
      </c>
      <c r="BE48" s="77">
        <f t="shared" si="52"/>
        <v>26.359197111380293</v>
      </c>
      <c r="BF48" s="77">
        <f t="shared" si="52"/>
        <v>26.463534522744087</v>
      </c>
      <c r="BW48" s="69">
        <v>2024</v>
      </c>
      <c r="BX48" s="69">
        <v>2023</v>
      </c>
      <c r="BY48" s="69">
        <v>2022</v>
      </c>
      <c r="BZ48" s="69">
        <v>2021</v>
      </c>
      <c r="CA48" s="69">
        <v>2020</v>
      </c>
      <c r="CB48" s="69">
        <v>2019</v>
      </c>
      <c r="CC48" s="69">
        <v>2018</v>
      </c>
      <c r="CD48" s="69">
        <v>2017</v>
      </c>
      <c r="CE48" s="69">
        <v>2016</v>
      </c>
      <c r="CF48" s="69">
        <v>2015</v>
      </c>
      <c r="CG48" s="69">
        <v>2014</v>
      </c>
    </row>
    <row r="49" spans="1:103">
      <c r="A49" s="69" t="s">
        <v>38</v>
      </c>
      <c r="B49" s="76">
        <f>'Monthly Ethanol Data'!$C159*42/1000</f>
        <v>1.008</v>
      </c>
      <c r="C49" s="76">
        <f>'Monthly Ethanol Data'!$C171*42/1000</f>
        <v>0</v>
      </c>
      <c r="D49" s="76">
        <f>'Monthly Ethanol Data'!$C183*42/1000</f>
        <v>1.9319999999999999</v>
      </c>
      <c r="E49" s="76">
        <f>'Monthly Ethanol Data'!$C195*42/1000</f>
        <v>0</v>
      </c>
      <c r="F49" s="76">
        <f>'Monthly Ethanol Data'!$C207*42/1000</f>
        <v>8.4000000000000005E-2</v>
      </c>
      <c r="G49" s="76">
        <f>'Monthly Ethanol Data'!$C219*42/1000</f>
        <v>0.33600000000000002</v>
      </c>
      <c r="H49" s="76">
        <f>'Monthly Ethanol Data'!$C231*42/1000</f>
        <v>0.46200000000000002</v>
      </c>
      <c r="I49" s="76">
        <f>'Monthly Ethanol Data'!$C243*42/1000</f>
        <v>0.71399999999999997</v>
      </c>
      <c r="J49" s="76">
        <f>'Monthly Ethanol Data'!$C255*42/1000</f>
        <v>0.54600000000000004</v>
      </c>
      <c r="K49" s="76">
        <f>'Monthly Ethanol Data'!$C267*42/1000</f>
        <v>0.46200000000000002</v>
      </c>
      <c r="L49" s="76">
        <f>'Monthly Ethanol Data'!$C279*42/1000</f>
        <v>21.756</v>
      </c>
      <c r="M49" s="76">
        <f>'Monthly Ethanol Data'!$C291*42/1000</f>
        <v>28.98</v>
      </c>
      <c r="N49" s="76">
        <f>'Monthly Ethanol Data'!$C303*42/1000</f>
        <v>85.847999999999999</v>
      </c>
      <c r="O49" s="76">
        <f>'Monthly Ethanol Data'!$C315*42/1000</f>
        <v>41.915999999999997</v>
      </c>
      <c r="P49" s="76">
        <f>'Monthly Ethanol Data'!$C327*42/1000</f>
        <v>25.452000000000002</v>
      </c>
      <c r="Q49" s="76">
        <f>'Monthly Ethanol Data'!$C339*42/1000</f>
        <v>11.298</v>
      </c>
      <c r="R49" s="76">
        <f>'Monthly Ethanol Data'!$C351*42/1000</f>
        <v>0.16800000000000001</v>
      </c>
      <c r="S49" s="76">
        <f>'Monthly Ethanol Data'!$C363*42/1000</f>
        <v>0.29399999999999998</v>
      </c>
      <c r="T49" s="76">
        <f>'Monthly Ethanol Data'!$C375*42/1000</f>
        <v>12.18</v>
      </c>
      <c r="U49" s="76">
        <f>'Monthly Ethanol Data'!$C387*42/1000</f>
        <v>1.8480000000000001</v>
      </c>
      <c r="V49" s="76">
        <f>'Monthly Ethanol Data'!$C399*42/1000</f>
        <v>1.6379999999999999</v>
      </c>
      <c r="W49" s="76">
        <f>'Monthly Ethanol Data'!$C411*42/1000</f>
        <v>0.126</v>
      </c>
      <c r="X49" s="76">
        <f>'Monthly Ethanol Data'!$C423*42/1000</f>
        <v>10.584</v>
      </c>
      <c r="Y49" s="76">
        <f>'Monthly Ethanol Data'!$C435*42/1000</f>
        <v>0</v>
      </c>
      <c r="Z49" s="97">
        <f>'Monthly Ethanol Data'!$D447*42/1000</f>
        <v>17.207487696180863</v>
      </c>
      <c r="AA49" s="97">
        <f>'Monthly Ethanol Data'!$D459*42/1000</f>
        <v>40.071462272250564</v>
      </c>
      <c r="AB49" s="97">
        <f>'Monthly Ethanol Data'!$D471*42/1000</f>
        <v>32.141665235734045</v>
      </c>
      <c r="AC49" s="97">
        <f>'Monthly Ethanol Data'!$D483*42/1000</f>
        <v>39.077454225566058</v>
      </c>
      <c r="AD49" s="97">
        <f>'Monthly Ethanol Data'!$D495*42/1000</f>
        <v>13.755393207076644</v>
      </c>
      <c r="AE49" s="97">
        <f>'Monthly Ethanol Data'!$D507*42/1000</f>
        <v>14.842325534182859</v>
      </c>
      <c r="AF49" s="97">
        <f>'Monthly Ethanol Data'!$D519*42/1000</f>
        <v>5.4517785646582198</v>
      </c>
      <c r="AG49" s="97">
        <f>'Monthly Ethanol Data'!$D531*42/1000</f>
        <v>3.7674313918801969</v>
      </c>
      <c r="AH49" s="77">
        <f t="shared" ref="AH49:AH58" si="53">(SUM(AB49:AF49)/SUM(AB$60:AF$60))*AH$60</f>
        <v>28.431652627222007</v>
      </c>
      <c r="AI49" s="77">
        <f t="shared" ref="AI49:AI58" si="54">(SUM(AC49:AG49)/SUM(AC$60:AG$60))*AI$60</f>
        <v>27.402089747474758</v>
      </c>
      <c r="AJ49" s="77">
        <f t="shared" si="52"/>
        <v>22.536292739697998</v>
      </c>
      <c r="AK49" s="77">
        <f t="shared" si="52"/>
        <v>22.588148702787652</v>
      </c>
      <c r="AL49" s="77">
        <f t="shared" si="52"/>
        <v>21.535319000721355</v>
      </c>
      <c r="AM49" s="77">
        <f t="shared" si="52"/>
        <v>23.272358935347249</v>
      </c>
      <c r="AN49" s="77">
        <f t="shared" si="52"/>
        <v>24.498700563580755</v>
      </c>
      <c r="AO49" s="77">
        <f t="shared" si="52"/>
        <v>23.466841825205801</v>
      </c>
      <c r="AP49" s="77">
        <f t="shared" si="52"/>
        <v>22.886163988427004</v>
      </c>
      <c r="AQ49" s="77">
        <f t="shared" si="52"/>
        <v>23.07227380552856</v>
      </c>
      <c r="AR49" s="77">
        <f t="shared" si="52"/>
        <v>23.13187686265643</v>
      </c>
      <c r="AS49" s="77">
        <f t="shared" si="52"/>
        <v>23.439267823617872</v>
      </c>
      <c r="AT49" s="77">
        <f t="shared" si="52"/>
        <v>23.41117140907971</v>
      </c>
      <c r="AU49" s="77">
        <f t="shared" si="52"/>
        <v>23.199284861087129</v>
      </c>
      <c r="AV49" s="77">
        <f t="shared" si="52"/>
        <v>23.188150777861914</v>
      </c>
      <c r="AW49" s="77">
        <f t="shared" si="52"/>
        <v>23.250774952393943</v>
      </c>
      <c r="AX49" s="77">
        <f t="shared" si="52"/>
        <v>23.273950346860616</v>
      </c>
      <c r="AY49" s="77">
        <f t="shared" si="52"/>
        <v>23.297729964808113</v>
      </c>
      <c r="AZ49" s="77">
        <f t="shared" si="52"/>
        <v>23.357725135334487</v>
      </c>
      <c r="BA49" s="77">
        <f t="shared" si="52"/>
        <v>23.42791400604716</v>
      </c>
      <c r="BB49" s="77">
        <f t="shared" si="52"/>
        <v>23.534122931931694</v>
      </c>
      <c r="BC49" s="77">
        <f t="shared" si="52"/>
        <v>23.638033502779614</v>
      </c>
      <c r="BD49" s="77">
        <f t="shared" si="52"/>
        <v>23.731940930072</v>
      </c>
      <c r="BE49" s="77">
        <f t="shared" si="52"/>
        <v>23.823344871802121</v>
      </c>
      <c r="BF49" s="77">
        <f t="shared" si="52"/>
        <v>23.910088760541022</v>
      </c>
      <c r="BW49" s="76">
        <f>SUM(AG36:AG43,AH32:AH35)</f>
        <v>15826.837355088148</v>
      </c>
      <c r="BX49" s="76">
        <f>SUM(AF36:AF43,AG32:AG35)</f>
        <v>16225.271999999997</v>
      </c>
      <c r="BY49" s="76">
        <f>SUM(AE36:AE43,AF32:AF35)</f>
        <v>15580.236000000003</v>
      </c>
      <c r="BZ49" s="76">
        <f>SUM(AD36:AD43,AE32:AE35)</f>
        <v>15360.743999999999</v>
      </c>
      <c r="CA49" s="76">
        <f>SUM(AC36:AC43,AD32:AD35)</f>
        <v>15015.672</v>
      </c>
      <c r="CB49" s="76">
        <f>SUM(AB36:AB43,AC32:AC35)</f>
        <v>13941.018000000002</v>
      </c>
      <c r="CC49" s="76">
        <f>SUM(AA36:AA43,AB32:AB35)</f>
        <v>15776.418000000001</v>
      </c>
      <c r="CD49" s="76">
        <f>SUM(Z36:Z43,AA32:AA35)</f>
        <v>16060.8</v>
      </c>
      <c r="CE49" s="76">
        <f>SUM(Y36:Y43,Z32:Z35)</f>
        <v>15844.919999999998</v>
      </c>
      <c r="CF49" s="76">
        <f>SUM(X36:X43,Y32:Y35)</f>
        <v>15413.201999999999</v>
      </c>
      <c r="CG49" s="76">
        <f>SUM(W36:W43,X32:X35)</f>
        <v>14807.225999999999</v>
      </c>
      <c r="CH49" s="76"/>
      <c r="CI49" s="76"/>
      <c r="CJ49" s="76"/>
      <c r="CK49" s="76"/>
      <c r="CL49" s="76"/>
    </row>
    <row r="50" spans="1:103">
      <c r="A50" s="69" t="s">
        <v>39</v>
      </c>
      <c r="B50" s="76">
        <f>'Monthly Ethanol Data'!$C160*42/1000</f>
        <v>2.8140000000000001</v>
      </c>
      <c r="C50" s="76">
        <f>'Monthly Ethanol Data'!$C172*42/1000</f>
        <v>0.126</v>
      </c>
      <c r="D50" s="76">
        <f>'Monthly Ethanol Data'!$C184*42/1000</f>
        <v>0</v>
      </c>
      <c r="E50" s="76">
        <f>'Monthly Ethanol Data'!$C196*42/1000</f>
        <v>0.71399999999999997</v>
      </c>
      <c r="F50" s="76">
        <f>'Monthly Ethanol Data'!$C208*42/1000</f>
        <v>8.4000000000000005E-2</v>
      </c>
      <c r="G50" s="76">
        <f>'Monthly Ethanol Data'!$C220*42/1000</f>
        <v>0.29399999999999998</v>
      </c>
      <c r="H50" s="76">
        <f>'Monthly Ethanol Data'!$C232*42/1000</f>
        <v>0.42</v>
      </c>
      <c r="I50" s="76">
        <f>'Monthly Ethanol Data'!$C244*42/1000</f>
        <v>0.378</v>
      </c>
      <c r="J50" s="76">
        <f>'Monthly Ethanol Data'!$C256*42/1000</f>
        <v>0.504</v>
      </c>
      <c r="K50" s="76">
        <f>'Monthly Ethanol Data'!$C268*42/1000</f>
        <v>0.378</v>
      </c>
      <c r="L50" s="76">
        <f>'Monthly Ethanol Data'!$C280*42/1000</f>
        <v>15.96</v>
      </c>
      <c r="M50" s="76">
        <f>'Monthly Ethanol Data'!$C292*42/1000</f>
        <v>29.484000000000002</v>
      </c>
      <c r="N50" s="76">
        <f>'Monthly Ethanol Data'!$C304*42/1000</f>
        <v>57.792000000000002</v>
      </c>
      <c r="O50" s="76">
        <f>'Monthly Ethanol Data'!$C316*42/1000</f>
        <v>16.506</v>
      </c>
      <c r="P50" s="76">
        <f>'Monthly Ethanol Data'!$C328*42/1000</f>
        <v>11.676</v>
      </c>
      <c r="Q50" s="76">
        <f>'Monthly Ethanol Data'!$C340*42/1000</f>
        <v>11.97</v>
      </c>
      <c r="R50" s="76">
        <f>'Monthly Ethanol Data'!$C352*42/1000</f>
        <v>0.29399999999999998</v>
      </c>
      <c r="S50" s="76">
        <f>'Monthly Ethanol Data'!$C364*42/1000</f>
        <v>16.841999999999999</v>
      </c>
      <c r="T50" s="76">
        <f>'Monthly Ethanol Data'!$C376*42/1000</f>
        <v>48.006</v>
      </c>
      <c r="U50" s="76">
        <f>'Monthly Ethanol Data'!$C388*42/1000</f>
        <v>3.1080000000000001</v>
      </c>
      <c r="V50" s="76">
        <f>'Monthly Ethanol Data'!$C400*42/1000</f>
        <v>0.29399999999999998</v>
      </c>
      <c r="W50" s="76">
        <f>'Monthly Ethanol Data'!$C412*42/1000</f>
        <v>8.4000000000000005E-2</v>
      </c>
      <c r="X50" s="76">
        <f>'Monthly Ethanol Data'!$C424*42/1000</f>
        <v>11.298</v>
      </c>
      <c r="Y50" s="76">
        <f>'Monthly Ethanol Data'!$C436*42/1000</f>
        <v>0</v>
      </c>
      <c r="Z50" s="97">
        <f>'Monthly Ethanol Data'!$D448*42/1000</f>
        <v>42.044646418749878</v>
      </c>
      <c r="AA50" s="97">
        <f>'Monthly Ethanol Data'!$D460*42/1000</f>
        <v>24.680024092502528</v>
      </c>
      <c r="AB50" s="97">
        <f>'Monthly Ethanol Data'!$D472*42/1000</f>
        <v>35.887694595829771</v>
      </c>
      <c r="AC50" s="97">
        <f>'Monthly Ethanol Data'!$D484*42/1000</f>
        <v>36.885079819623236</v>
      </c>
      <c r="AD50" s="97">
        <f>'Monthly Ethanol Data'!$D496*42/1000</f>
        <v>4.8136050250423805</v>
      </c>
      <c r="AE50" s="97">
        <f>'Monthly Ethanol Data'!$D508*42/1000</f>
        <v>19.544767330950119</v>
      </c>
      <c r="AF50" s="97">
        <f>'Monthly Ethanol Data'!$D520*42/1000</f>
        <v>6.2216535478832959</v>
      </c>
      <c r="AG50" s="97">
        <f>'Monthly Ethanol Data'!$D532*42/1000</f>
        <v>18.091909414351729</v>
      </c>
      <c r="AH50" s="77">
        <f t="shared" si="53"/>
        <v>27.914216097545275</v>
      </c>
      <c r="AI50" s="77">
        <f t="shared" si="54"/>
        <v>30.489106202594886</v>
      </c>
      <c r="AJ50" s="77">
        <f t="shared" si="52"/>
        <v>26.052903980614754</v>
      </c>
      <c r="AK50" s="77">
        <f t="shared" si="52"/>
        <v>28.911613765982821</v>
      </c>
      <c r="AL50" s="77">
        <f t="shared" si="52"/>
        <v>26.742919260144987</v>
      </c>
      <c r="AM50" s="77">
        <f t="shared" si="52"/>
        <v>29.213277658019884</v>
      </c>
      <c r="AN50" s="77">
        <f t="shared" si="52"/>
        <v>28.022151861376546</v>
      </c>
      <c r="AO50" s="77">
        <f t="shared" si="52"/>
        <v>28.281964173471465</v>
      </c>
      <c r="AP50" s="77">
        <f t="shared" si="52"/>
        <v>27.7885733052278</v>
      </c>
      <c r="AQ50" s="77">
        <f t="shared" si="52"/>
        <v>28.234385343799136</v>
      </c>
      <c r="AR50" s="77">
        <f t="shared" si="52"/>
        <v>28.009777251648135</v>
      </c>
      <c r="AS50" s="77">
        <f t="shared" si="52"/>
        <v>28.308070468378968</v>
      </c>
      <c r="AT50" s="77">
        <f t="shared" si="52"/>
        <v>28.067370387104614</v>
      </c>
      <c r="AU50" s="77">
        <f t="shared" si="52"/>
        <v>28.124554108505102</v>
      </c>
      <c r="AV50" s="77">
        <f t="shared" si="52"/>
        <v>28.081635351231728</v>
      </c>
      <c r="AW50" s="77">
        <f t="shared" si="52"/>
        <v>28.148831511887192</v>
      </c>
      <c r="AX50" s="77">
        <f t="shared" si="52"/>
        <v>28.118281513373709</v>
      </c>
      <c r="AY50" s="77">
        <f t="shared" si="52"/>
        <v>28.14609236542152</v>
      </c>
      <c r="AZ50" s="77">
        <f t="shared" si="52"/>
        <v>28.220567112718147</v>
      </c>
      <c r="BA50" s="77">
        <f t="shared" si="52"/>
        <v>28.348870001844517</v>
      </c>
      <c r="BB50" s="77">
        <f t="shared" si="52"/>
        <v>28.458032124078315</v>
      </c>
      <c r="BC50" s="77">
        <f t="shared" si="52"/>
        <v>28.57908315748783</v>
      </c>
      <c r="BD50" s="77">
        <f t="shared" si="52"/>
        <v>28.685843945020885</v>
      </c>
      <c r="BE50" s="77">
        <f t="shared" si="52"/>
        <v>28.80053734837848</v>
      </c>
      <c r="BF50" s="77">
        <f t="shared" si="52"/>
        <v>28.9084156993482</v>
      </c>
    </row>
    <row r="51" spans="1:103">
      <c r="A51" s="69" t="s">
        <v>40</v>
      </c>
      <c r="B51" s="76">
        <f>'Monthly Ethanol Data'!$C161*42/1000</f>
        <v>1.974</v>
      </c>
      <c r="C51" s="76">
        <f>'Monthly Ethanol Data'!$C173*42/1000</f>
        <v>2.1</v>
      </c>
      <c r="D51" s="76">
        <f>'Monthly Ethanol Data'!$C185*42/1000</f>
        <v>0</v>
      </c>
      <c r="E51" s="76">
        <f>'Monthly Ethanol Data'!$C197*42/1000</f>
        <v>0</v>
      </c>
      <c r="F51" s="76">
        <f>'Monthly Ethanol Data'!$C209*42/1000</f>
        <v>0.21</v>
      </c>
      <c r="G51" s="76">
        <f>'Monthly Ethanol Data'!$C221*42/1000</f>
        <v>0.33600000000000002</v>
      </c>
      <c r="H51" s="76">
        <f>'Monthly Ethanol Data'!$C233*42/1000</f>
        <v>0.46200000000000002</v>
      </c>
      <c r="I51" s="76">
        <f>'Monthly Ethanol Data'!$C245*42/1000</f>
        <v>0.54600000000000004</v>
      </c>
      <c r="J51" s="76">
        <f>'Monthly Ethanol Data'!$C257*42/1000</f>
        <v>4.41</v>
      </c>
      <c r="K51" s="76">
        <f>'Monthly Ethanol Data'!$C269*42/1000</f>
        <v>4.242</v>
      </c>
      <c r="L51" s="76">
        <f>'Monthly Ethanol Data'!$C281*42/1000</f>
        <v>0.504</v>
      </c>
      <c r="M51" s="76">
        <f>'Monthly Ethanol Data'!$C293*42/1000</f>
        <v>24.821999999999999</v>
      </c>
      <c r="N51" s="76">
        <f>'Monthly Ethanol Data'!$C305*42/1000</f>
        <v>50.735999999999997</v>
      </c>
      <c r="O51" s="76">
        <f>'Monthly Ethanol Data'!$C317*42/1000</f>
        <v>8.9039999999999999</v>
      </c>
      <c r="P51" s="76">
        <f>'Monthly Ethanol Data'!$C329*42/1000</f>
        <v>19.446000000000002</v>
      </c>
      <c r="Q51" s="76">
        <f>'Monthly Ethanol Data'!$C341*42/1000</f>
        <v>0.504</v>
      </c>
      <c r="R51" s="76">
        <f>'Monthly Ethanol Data'!$C353*42/1000</f>
        <v>0.252</v>
      </c>
      <c r="S51" s="76">
        <f>'Monthly Ethanol Data'!$C365*42/1000</f>
        <v>9.4920000000000009</v>
      </c>
      <c r="T51" s="76">
        <f>'Monthly Ethanol Data'!$C377*42/1000</f>
        <v>17.472000000000001</v>
      </c>
      <c r="U51" s="76">
        <f>'Monthly Ethanol Data'!$C389*42/1000</f>
        <v>19.193999999999999</v>
      </c>
      <c r="V51" s="76">
        <f>'Monthly Ethanol Data'!$C401*42/1000</f>
        <v>10.794</v>
      </c>
      <c r="W51" s="76">
        <f>'Monthly Ethanol Data'!$C413*42/1000</f>
        <v>0.126</v>
      </c>
      <c r="X51" s="76">
        <f>'Monthly Ethanol Data'!$C425*42/1000</f>
        <v>10.752000000000001</v>
      </c>
      <c r="Y51" s="76">
        <f>'Monthly Ethanol Data'!$C437*42/1000</f>
        <v>0</v>
      </c>
      <c r="Z51" s="97">
        <f>'Monthly Ethanol Data'!$D449*42/1000</f>
        <v>8.5057330645821718</v>
      </c>
      <c r="AA51" s="97">
        <f>'Monthly Ethanol Data'!$D461*42/1000</f>
        <v>27.560601625715574</v>
      </c>
      <c r="AB51" s="97">
        <f>'Monthly Ethanol Data'!$D473*42/1000</f>
        <v>22.063484800853804</v>
      </c>
      <c r="AC51" s="97">
        <f>'Monthly Ethanol Data'!$D485*42/1000</f>
        <v>30.600645900972413</v>
      </c>
      <c r="AD51" s="97">
        <f>'Monthly Ethanol Data'!$D497*42/1000</f>
        <v>4.5315243347656802</v>
      </c>
      <c r="AE51" s="97">
        <f>'Monthly Ethanol Data'!$D509*42/1000</f>
        <v>3.6668802881566798</v>
      </c>
      <c r="AF51" s="97">
        <f>'Monthly Ethanol Data'!$D521*42/1000</f>
        <v>16.206797305022548</v>
      </c>
      <c r="AG51" s="97">
        <f>'Monthly Ethanol Data'!$D533*42/1000</f>
        <v>4.0152807673246667</v>
      </c>
      <c r="AH51" s="77">
        <f t="shared" si="53"/>
        <v>20.815401216745666</v>
      </c>
      <c r="AI51" s="77">
        <f t="shared" si="54"/>
        <v>21.032775104045513</v>
      </c>
      <c r="AJ51" s="77">
        <f t="shared" si="52"/>
        <v>16.748951765400371</v>
      </c>
      <c r="AK51" s="77">
        <f t="shared" si="52"/>
        <v>18.585330862451258</v>
      </c>
      <c r="AL51" s="77">
        <f t="shared" si="52"/>
        <v>19.379054433374044</v>
      </c>
      <c r="AM51" s="77">
        <f t="shared" si="52"/>
        <v>18.043942159103882</v>
      </c>
      <c r="AN51" s="77">
        <f t="shared" si="52"/>
        <v>19.312302676403373</v>
      </c>
      <c r="AO51" s="77">
        <f t="shared" si="52"/>
        <v>18.758010864875015</v>
      </c>
      <c r="AP51" s="77">
        <f t="shared" si="52"/>
        <v>18.413916379346585</v>
      </c>
      <c r="AQ51" s="77">
        <f t="shared" si="52"/>
        <v>18.815728199241516</v>
      </c>
      <c r="AR51" s="77">
        <f t="shared" si="52"/>
        <v>18.781445302620583</v>
      </c>
      <c r="AS51" s="77">
        <f t="shared" si="52"/>
        <v>18.668780055794077</v>
      </c>
      <c r="AT51" s="77">
        <f t="shared" si="52"/>
        <v>18.816280684497414</v>
      </c>
      <c r="AU51" s="77">
        <f t="shared" si="52"/>
        <v>18.687576160375553</v>
      </c>
      <c r="AV51" s="77">
        <f t="shared" si="52"/>
        <v>18.699230124300037</v>
      </c>
      <c r="AW51" s="77">
        <f t="shared" si="52"/>
        <v>18.753962080505829</v>
      </c>
      <c r="AX51" s="77">
        <f t="shared" si="52"/>
        <v>18.730662465517533</v>
      </c>
      <c r="AY51" s="77">
        <f t="shared" si="52"/>
        <v>18.725165821094585</v>
      </c>
      <c r="AZ51" s="77">
        <f t="shared" si="52"/>
        <v>18.812492472251428</v>
      </c>
      <c r="BA51" s="77">
        <f t="shared" si="52"/>
        <v>18.869073885001576</v>
      </c>
      <c r="BB51" s="77">
        <f t="shared" si="52"/>
        <v>18.954070967073029</v>
      </c>
      <c r="BC51" s="77">
        <f t="shared" si="52"/>
        <v>19.033044379880462</v>
      </c>
      <c r="BD51" s="77">
        <f t="shared" si="52"/>
        <v>19.10296475381308</v>
      </c>
      <c r="BE51" s="77">
        <f t="shared" si="52"/>
        <v>19.178432513077045</v>
      </c>
      <c r="BF51" s="77">
        <f t="shared" si="52"/>
        <v>19.254002481985005</v>
      </c>
      <c r="BV51" s="69" t="s">
        <v>147</v>
      </c>
    </row>
    <row r="52" spans="1:103">
      <c r="A52" s="69" t="s">
        <v>30</v>
      </c>
      <c r="B52" s="76">
        <f>'Monthly Ethanol Data'!$C162*42/1000</f>
        <v>2.3519999999999999</v>
      </c>
      <c r="C52" s="76">
        <f>'Monthly Ethanol Data'!$C174*42/1000</f>
        <v>1.806</v>
      </c>
      <c r="D52" s="76">
        <f>'Monthly Ethanol Data'!$C186*42/1000</f>
        <v>1.974</v>
      </c>
      <c r="E52" s="76">
        <f>'Monthly Ethanol Data'!$C198*42/1000</f>
        <v>0</v>
      </c>
      <c r="F52" s="76">
        <f>'Monthly Ethanol Data'!$C210*42/1000</f>
        <v>0.252</v>
      </c>
      <c r="G52" s="76">
        <f>'Monthly Ethanol Data'!$C222*42/1000</f>
        <v>0.29399999999999998</v>
      </c>
      <c r="H52" s="76">
        <f>'Monthly Ethanol Data'!$C234*42/1000</f>
        <v>0.42</v>
      </c>
      <c r="I52" s="76">
        <f>'Monthly Ethanol Data'!$C246*42/1000</f>
        <v>0.67200000000000004</v>
      </c>
      <c r="J52" s="76">
        <f>'Monthly Ethanol Data'!$C258*42/1000</f>
        <v>0.46200000000000002</v>
      </c>
      <c r="K52" s="76">
        <f>'Monthly Ethanol Data'!$C270*42/1000</f>
        <v>0.21</v>
      </c>
      <c r="L52" s="76">
        <f>'Monthly Ethanol Data'!$C282*42/1000</f>
        <v>3.4020000000000001</v>
      </c>
      <c r="M52" s="76">
        <f>'Monthly Ethanol Data'!$C294*42/1000</f>
        <v>5.5439999999999996</v>
      </c>
      <c r="N52" s="76">
        <f>'Monthly Ethanol Data'!$C306*42/1000</f>
        <v>45.234000000000002</v>
      </c>
      <c r="O52" s="76">
        <f>'Monthly Ethanol Data'!$C318*42/1000</f>
        <v>21.42</v>
      </c>
      <c r="P52" s="76">
        <f>'Monthly Ethanol Data'!$C330*42/1000</f>
        <v>16.295999999999999</v>
      </c>
      <c r="Q52" s="76">
        <f>'Monthly Ethanol Data'!$C342*42/1000</f>
        <v>3.78</v>
      </c>
      <c r="R52" s="76">
        <f>'Monthly Ethanol Data'!$C354*42/1000</f>
        <v>0.21</v>
      </c>
      <c r="S52" s="76">
        <f>'Monthly Ethanol Data'!$C366*42/1000</f>
        <v>16.128</v>
      </c>
      <c r="T52" s="76">
        <f>'Monthly Ethanol Data'!$C378*42/1000</f>
        <v>23.184000000000001</v>
      </c>
      <c r="U52" s="76">
        <f>'Monthly Ethanol Data'!$C390*42/1000</f>
        <v>23.562000000000001</v>
      </c>
      <c r="V52" s="76">
        <f>'Monthly Ethanol Data'!$C402*42/1000</f>
        <v>0.33600000000000002</v>
      </c>
      <c r="W52" s="76">
        <f>'Monthly Ethanol Data'!$C414*42/1000</f>
        <v>4.2000000000000003E-2</v>
      </c>
      <c r="X52" s="76">
        <f>'Monthly Ethanol Data'!$C426*42/1000</f>
        <v>10.667999999999999</v>
      </c>
      <c r="Y52" s="76">
        <f>'Monthly Ethanol Data'!$C438*42/1000</f>
        <v>16.547999999999998</v>
      </c>
      <c r="Z52" s="97">
        <f>'Monthly Ethanol Data'!$D450*42/1000</f>
        <v>25.166185961362171</v>
      </c>
      <c r="AA52" s="97">
        <f>'Monthly Ethanol Data'!$D462*42/1000</f>
        <v>16.017924874716343</v>
      </c>
      <c r="AB52" s="97">
        <f>'Monthly Ethanol Data'!$D474*42/1000</f>
        <v>5.7525670931286177</v>
      </c>
      <c r="AC52" s="97">
        <f>'Monthly Ethanol Data'!$D486*42/1000</f>
        <v>12.527520929040712</v>
      </c>
      <c r="AD52" s="97">
        <f>'Monthly Ethanol Data'!$D498*42/1000</f>
        <v>8.238006908539381</v>
      </c>
      <c r="AE52" s="97">
        <f>'Monthly Ethanol Data'!$D510*42/1000</f>
        <v>2.8384741211788831</v>
      </c>
      <c r="AF52" s="97">
        <f>'Monthly Ethanol Data'!$D522*42/1000</f>
        <v>14.997303331843403</v>
      </c>
      <c r="AG52" s="97">
        <f>'Monthly Ethanol Data'!$D534*42/1000</f>
        <v>14.214092680004185</v>
      </c>
      <c r="AH52" s="77">
        <f t="shared" si="53"/>
        <v>11.979390734039603</v>
      </c>
      <c r="AI52" s="77">
        <f t="shared" si="54"/>
        <v>18.82130033713317</v>
      </c>
      <c r="AJ52" s="77">
        <f t="shared" si="52"/>
        <v>17.780161080224822</v>
      </c>
      <c r="AK52" s="77">
        <f t="shared" si="52"/>
        <v>17.769233182035208</v>
      </c>
      <c r="AL52" s="77">
        <f t="shared" si="52"/>
        <v>19.126559186827752</v>
      </c>
      <c r="AM52" s="77">
        <f t="shared" si="52"/>
        <v>17.903150669652664</v>
      </c>
      <c r="AN52" s="77">
        <f t="shared" si="52"/>
        <v>17.09532890405211</v>
      </c>
      <c r="AO52" s="77">
        <f t="shared" si="52"/>
        <v>18.28008089117472</v>
      </c>
      <c r="AP52" s="77">
        <f t="shared" si="52"/>
        <v>17.93488660455851</v>
      </c>
      <c r="AQ52" s="77">
        <f t="shared" si="52"/>
        <v>18.034870566748491</v>
      </c>
      <c r="AR52" s="77">
        <f t="shared" si="52"/>
        <v>18.068001251253154</v>
      </c>
      <c r="AS52" s="77">
        <f t="shared" si="52"/>
        <v>17.849663527237301</v>
      </c>
      <c r="AT52" s="77">
        <f t="shared" si="52"/>
        <v>17.882633643557398</v>
      </c>
      <c r="AU52" s="77">
        <f t="shared" si="52"/>
        <v>18.033500568194437</v>
      </c>
      <c r="AV52" s="77">
        <f t="shared" si="52"/>
        <v>17.954011118670973</v>
      </c>
      <c r="AW52" s="77">
        <f t="shared" si="52"/>
        <v>17.973733911398156</v>
      </c>
      <c r="AX52" s="77">
        <f t="shared" si="52"/>
        <v>17.957562021782653</v>
      </c>
      <c r="AY52" s="77">
        <f t="shared" si="52"/>
        <v>17.938708553811654</v>
      </c>
      <c r="AZ52" s="77">
        <f t="shared" si="52"/>
        <v>18.032129405731606</v>
      </c>
      <c r="BA52" s="77">
        <f t="shared" si="52"/>
        <v>18.115275260649746</v>
      </c>
      <c r="BB52" s="77">
        <f t="shared" si="52"/>
        <v>18.172345873607469</v>
      </c>
      <c r="BC52" s="77">
        <f t="shared" si="52"/>
        <v>18.247742956869075</v>
      </c>
      <c r="BD52" s="77">
        <f t="shared" si="52"/>
        <v>18.316150783816635</v>
      </c>
      <c r="BE52" s="77">
        <f t="shared" si="52"/>
        <v>18.388561686485239</v>
      </c>
      <c r="BF52" s="77">
        <f t="shared" si="52"/>
        <v>18.464107968484864</v>
      </c>
      <c r="BW52" s="79" t="str">
        <f t="shared" ref="BW52:CY52" si="55">W47</f>
        <v xml:space="preserve">14/15 </v>
      </c>
      <c r="BX52" s="79" t="str">
        <f t="shared" si="55"/>
        <v xml:space="preserve">15/16 </v>
      </c>
      <c r="BY52" s="79" t="str">
        <f t="shared" si="55"/>
        <v xml:space="preserve">16/17 </v>
      </c>
      <c r="BZ52" s="79" t="str">
        <f t="shared" si="55"/>
        <v xml:space="preserve">17/18 </v>
      </c>
      <c r="CA52" s="79" t="str">
        <f t="shared" si="55"/>
        <v xml:space="preserve">18/19 </v>
      </c>
      <c r="CB52" s="79" t="str">
        <f t="shared" si="55"/>
        <v>19/20</v>
      </c>
      <c r="CC52" s="79" t="str">
        <f t="shared" si="55"/>
        <v>20/21</v>
      </c>
      <c r="CD52" s="79" t="str">
        <f t="shared" si="55"/>
        <v>21/22</v>
      </c>
      <c r="CE52" s="79" t="str">
        <f t="shared" si="55"/>
        <v>22/23</v>
      </c>
      <c r="CF52" s="79" t="str">
        <f t="shared" si="55"/>
        <v>23/24</v>
      </c>
      <c r="CG52" s="79" t="str">
        <f t="shared" si="55"/>
        <v>24/25</v>
      </c>
      <c r="CH52" s="79" t="str">
        <f t="shared" si="55"/>
        <v>25/26</v>
      </c>
      <c r="CI52" s="79" t="str">
        <f t="shared" si="55"/>
        <v>26/27</v>
      </c>
      <c r="CJ52" s="79" t="str">
        <f t="shared" si="55"/>
        <v>27/28</v>
      </c>
      <c r="CK52" s="79" t="str">
        <f t="shared" si="55"/>
        <v>28/29</v>
      </c>
      <c r="CL52" s="79" t="str">
        <f t="shared" si="55"/>
        <v>29/30</v>
      </c>
      <c r="CM52" s="79" t="str">
        <f t="shared" si="55"/>
        <v>30/31</v>
      </c>
      <c r="CN52" s="79" t="str">
        <f t="shared" si="55"/>
        <v>31/32</v>
      </c>
      <c r="CO52" s="79" t="str">
        <f t="shared" si="55"/>
        <v>32/33</v>
      </c>
      <c r="CP52" s="79" t="str">
        <f t="shared" si="55"/>
        <v>33/34</v>
      </c>
      <c r="CQ52" s="79" t="str">
        <f t="shared" si="55"/>
        <v>34/35</v>
      </c>
      <c r="CR52" s="79" t="str">
        <f t="shared" si="55"/>
        <v>35/36</v>
      </c>
      <c r="CS52" s="79" t="str">
        <f t="shared" si="55"/>
        <v>36/37</v>
      </c>
      <c r="CT52" s="79" t="str">
        <f t="shared" si="55"/>
        <v>37/38</v>
      </c>
      <c r="CU52" s="79" t="str">
        <f t="shared" si="55"/>
        <v>38/39</v>
      </c>
      <c r="CV52" s="79" t="str">
        <f t="shared" si="55"/>
        <v>39/40</v>
      </c>
      <c r="CW52" s="79" t="str">
        <f t="shared" si="55"/>
        <v>40/41</v>
      </c>
      <c r="CX52" s="79" t="str">
        <f t="shared" si="55"/>
        <v>41/42</v>
      </c>
      <c r="CY52" s="79" t="str">
        <f t="shared" si="55"/>
        <v>42/43</v>
      </c>
    </row>
    <row r="53" spans="1:103">
      <c r="A53" s="69" t="s">
        <v>31</v>
      </c>
      <c r="B53" s="76">
        <f>'Monthly Ethanol Data'!$C163*42/1000</f>
        <v>1.68</v>
      </c>
      <c r="C53" s="76">
        <f>'Monthly Ethanol Data'!$C175*42/1000</f>
        <v>1.302</v>
      </c>
      <c r="D53" s="76">
        <f>'Monthly Ethanol Data'!$C187*42/1000</f>
        <v>0</v>
      </c>
      <c r="E53" s="76">
        <f>'Monthly Ethanol Data'!$C199*42/1000</f>
        <v>0</v>
      </c>
      <c r="F53" s="76">
        <f>'Monthly Ethanol Data'!$C211*42/1000</f>
        <v>0.21</v>
      </c>
      <c r="G53" s="76">
        <f>'Monthly Ethanol Data'!$C223*42/1000</f>
        <v>0.29399999999999998</v>
      </c>
      <c r="H53" s="76">
        <f>'Monthly Ethanol Data'!$C235*42/1000</f>
        <v>0.71399999999999997</v>
      </c>
      <c r="I53" s="76">
        <f>'Monthly Ethanol Data'!$C247*42/1000</f>
        <v>2.8980000000000001</v>
      </c>
      <c r="J53" s="76">
        <f>'Monthly Ethanol Data'!$C259*42/1000</f>
        <v>2.2679999999999998</v>
      </c>
      <c r="K53" s="76">
        <f>'Monthly Ethanol Data'!$C271*42/1000</f>
        <v>4.5780000000000003</v>
      </c>
      <c r="L53" s="76">
        <f>'Monthly Ethanol Data'!$C283*42/1000</f>
        <v>16.463999999999999</v>
      </c>
      <c r="M53" s="76">
        <f>'Monthly Ethanol Data'!$C295*42/1000</f>
        <v>25.62</v>
      </c>
      <c r="N53" s="76">
        <f>'Monthly Ethanol Data'!$C307*42/1000</f>
        <v>42.42</v>
      </c>
      <c r="O53" s="76">
        <f>'Monthly Ethanol Data'!$C319*42/1000</f>
        <v>21.21</v>
      </c>
      <c r="P53" s="76">
        <f>'Monthly Ethanol Data'!$C331*42/1000</f>
        <v>2.3519999999999999</v>
      </c>
      <c r="Q53" s="76">
        <f>'Monthly Ethanol Data'!$C343*42/1000</f>
        <v>1.554</v>
      </c>
      <c r="R53" s="76">
        <f>'Monthly Ethanol Data'!$C355*42/1000</f>
        <v>2.9820000000000002</v>
      </c>
      <c r="S53" s="76">
        <f>'Monthly Ethanol Data'!$C367*42/1000</f>
        <v>34.146000000000001</v>
      </c>
      <c r="T53" s="76">
        <f>'Monthly Ethanol Data'!$C379*42/1000</f>
        <v>38.892000000000003</v>
      </c>
      <c r="U53" s="76">
        <f>'Monthly Ethanol Data'!$C391*42/1000</f>
        <v>4.2</v>
      </c>
      <c r="V53" s="76">
        <f>'Monthly Ethanol Data'!$C403*42/1000</f>
        <v>0.378</v>
      </c>
      <c r="W53" s="76">
        <f>'Monthly Ethanol Data'!$C415*42/1000</f>
        <v>10.5</v>
      </c>
      <c r="X53" s="76">
        <f>'Monthly Ethanol Data'!$C427*42/1000</f>
        <v>2.8980000000000001</v>
      </c>
      <c r="Y53" s="76">
        <f>'Monthly Ethanol Data'!$C439*42/1000</f>
        <v>15.834</v>
      </c>
      <c r="Z53" s="97">
        <f>'Monthly Ethanol Data'!$D451*42/1000</f>
        <v>14.347650056400758</v>
      </c>
      <c r="AA53" s="97">
        <f>'Monthly Ethanol Data'!$D463*42/1000</f>
        <v>17.630160801604053</v>
      </c>
      <c r="AB53" s="97">
        <f>'Monthly Ethanol Data'!$D475*42/1000</f>
        <v>38.338296247962575</v>
      </c>
      <c r="AC53" s="97">
        <f>'Monthly Ethanol Data'!$D487*42/1000</f>
        <v>2.8578383847456417</v>
      </c>
      <c r="AD53" s="97">
        <f>'Monthly Ethanol Data'!$D499*42/1000</f>
        <v>4.7256087785167802</v>
      </c>
      <c r="AE53" s="97">
        <f>'Monthly Ethanol Data'!$D511*42/1000</f>
        <v>1.9672751605373471</v>
      </c>
      <c r="AF53" s="97">
        <f>'Monthly Ethanol Data'!$D523*42/1000</f>
        <v>9.1650554814112706</v>
      </c>
      <c r="AG53" s="77">
        <f t="shared" ref="AG53:AG59" si="56">(SUM(AB53:AF53)/SUM(AB$60:AF$60))*AG$60</f>
        <v>7.7047731045744632</v>
      </c>
      <c r="AH53" s="77">
        <f t="shared" si="53"/>
        <v>15.409546209148926</v>
      </c>
      <c r="AI53" s="77">
        <f t="shared" si="54"/>
        <v>9.4152300816200594</v>
      </c>
      <c r="AJ53" s="77">
        <f t="shared" si="52"/>
        <v>13.25749493792147</v>
      </c>
      <c r="AK53" s="77">
        <f t="shared" si="52"/>
        <v>12.344171836875415</v>
      </c>
      <c r="AL53" s="77">
        <f t="shared" si="52"/>
        <v>13.510916760501361</v>
      </c>
      <c r="AM53" s="77">
        <f t="shared" si="52"/>
        <v>12.918048037808964</v>
      </c>
      <c r="AN53" s="77">
        <f t="shared" si="52"/>
        <v>12.787471965213447</v>
      </c>
      <c r="AO53" s="77">
        <f t="shared" si="52"/>
        <v>12.289172330945455</v>
      </c>
      <c r="AP53" s="77">
        <f t="shared" si="52"/>
        <v>12.963620707664131</v>
      </c>
      <c r="AQ53" s="77">
        <f t="shared" si="52"/>
        <v>12.76995618626893</v>
      </c>
      <c r="AR53" s="77">
        <f t="shared" si="52"/>
        <v>12.893845960426672</v>
      </c>
      <c r="AS53" s="77">
        <f t="shared" si="52"/>
        <v>12.745653845580184</v>
      </c>
      <c r="AT53" s="77">
        <f t="shared" si="52"/>
        <v>12.740813430103728</v>
      </c>
      <c r="AU53" s="77">
        <f t="shared" si="52"/>
        <v>12.732449806177074</v>
      </c>
      <c r="AV53" s="77">
        <f t="shared" si="52"/>
        <v>12.822778026008729</v>
      </c>
      <c r="AW53" s="77">
        <f t="shared" si="52"/>
        <v>12.776543845711318</v>
      </c>
      <c r="AX53" s="77">
        <f t="shared" si="52"/>
        <v>12.787108213659277</v>
      </c>
      <c r="AY53" s="77">
        <f t="shared" si="52"/>
        <v>12.763647790716206</v>
      </c>
      <c r="AZ53" s="77">
        <f t="shared" si="52"/>
        <v>12.823026418989352</v>
      </c>
      <c r="BA53" s="77">
        <f t="shared" si="52"/>
        <v>12.878717580746159</v>
      </c>
      <c r="BB53" s="77">
        <f t="shared" si="52"/>
        <v>12.937806064473602</v>
      </c>
      <c r="BC53" s="77">
        <f t="shared" si="52"/>
        <v>12.979550788391753</v>
      </c>
      <c r="BD53" s="77">
        <f t="shared" si="52"/>
        <v>13.032267553733339</v>
      </c>
      <c r="BE53" s="77">
        <f t="shared" si="52"/>
        <v>13.080939406896167</v>
      </c>
      <c r="BF53" s="77">
        <f t="shared" si="52"/>
        <v>13.134704885713749</v>
      </c>
      <c r="BV53" s="69" t="s">
        <v>18</v>
      </c>
      <c r="BW53" s="98">
        <f>'[2]D6 Gallon Forecast'!F121/1000000</f>
        <v>1158.207576</v>
      </c>
      <c r="BX53" s="98">
        <f>'[2]D6 Gallon Forecast'!G121/1000000</f>
        <v>1179.68049</v>
      </c>
      <c r="BY53" s="98">
        <f>'[2]D6 Gallon Forecast'!H121/1000000</f>
        <v>1210.4813260000001</v>
      </c>
      <c r="BZ53" s="98">
        <f>'[2]D6 Gallon Forecast'!I121/1000000</f>
        <v>1209.0787250000001</v>
      </c>
      <c r="CA53" s="98">
        <f>'[2]D6 Gallon Forecast'!J121/1000000</f>
        <v>1205.9467179999999</v>
      </c>
      <c r="CB53" s="98">
        <f>'[2]D6 Gallon Forecast'!K121/1000000</f>
        <v>1186.086691</v>
      </c>
      <c r="CC53" s="98">
        <f>'[2]D6 Gallon Forecast'!L121/1000000</f>
        <v>1116.0410790000001</v>
      </c>
      <c r="CD53" s="98">
        <f>'[2]D6 Gallon Forecast'!M121/1000000</f>
        <v>1149.3529719999999</v>
      </c>
      <c r="CE53" s="98">
        <f>'[2]D6 Gallon Forecast'!$N105/1000000</f>
        <v>1117.3305600000001</v>
      </c>
      <c r="CF53" s="98">
        <f>'[2]D6 Gallon Forecast'!$N105/1000000</f>
        <v>1117.3305600000001</v>
      </c>
      <c r="CG53" s="98">
        <f>'[2]D6 Gallon Forecast'!$N105/1000000</f>
        <v>1117.3305600000001</v>
      </c>
      <c r="CH53" s="99">
        <f>'[2]D6 Gallon Forecast'!$N105/1000000</f>
        <v>1117.3305600000001</v>
      </c>
      <c r="CI53" s="99">
        <f>'[2]D6 Gallon Forecast'!$N105/1000000</f>
        <v>1117.3305600000001</v>
      </c>
      <c r="CJ53" s="99">
        <f>'[2]D6 Gallon Forecast'!$N105/1000000</f>
        <v>1117.3305600000001</v>
      </c>
      <c r="CK53" s="99">
        <f>'[2]D6 Gallon Forecast'!$N105/1000000</f>
        <v>1117.3305600000001</v>
      </c>
      <c r="CL53" s="99">
        <f>'[2]D6 Gallon Forecast'!$N105/1000000</f>
        <v>1117.3305600000001</v>
      </c>
      <c r="CM53" s="99">
        <f>'[2]D6 Gallon Forecast'!$N105/1000000</f>
        <v>1117.3305600000001</v>
      </c>
      <c r="CN53" s="99">
        <f>'[2]D6 Gallon Forecast'!$N105/1000000</f>
        <v>1117.3305600000001</v>
      </c>
      <c r="CO53" s="99">
        <f>'[2]D6 Gallon Forecast'!$N105/1000000</f>
        <v>1117.3305600000001</v>
      </c>
      <c r="CP53" s="99">
        <f>'[2]D6 Gallon Forecast'!$N105/1000000</f>
        <v>1117.3305600000001</v>
      </c>
      <c r="CQ53" s="99">
        <f>'[2]D6 Gallon Forecast'!$N105/1000000</f>
        <v>1117.3305600000001</v>
      </c>
      <c r="CR53" s="99">
        <f>'[2]D6 Gallon Forecast'!$N105/1000000</f>
        <v>1117.3305600000001</v>
      </c>
      <c r="CS53" s="99">
        <f>'[2]D6 Gallon Forecast'!$N105/1000000</f>
        <v>1117.3305600000001</v>
      </c>
      <c r="CT53" s="99">
        <f>'[2]D6 Gallon Forecast'!$N105/1000000</f>
        <v>1117.3305600000001</v>
      </c>
      <c r="CU53" s="99">
        <f>'[2]D6 Gallon Forecast'!$N105/1000000</f>
        <v>1117.3305600000001</v>
      </c>
      <c r="CV53" s="99">
        <f>'[2]D6 Gallon Forecast'!$N105/1000000</f>
        <v>1117.3305600000001</v>
      </c>
      <c r="CW53" s="99">
        <f>'[2]D6 Gallon Forecast'!$N105/1000000</f>
        <v>1117.3305600000001</v>
      </c>
      <c r="CX53" s="99">
        <f>'[2]D6 Gallon Forecast'!$N105/1000000</f>
        <v>1117.3305600000001</v>
      </c>
      <c r="CY53" s="99">
        <f>'[2]D6 Gallon Forecast'!$N105/1000000</f>
        <v>1117.3305600000001</v>
      </c>
    </row>
    <row r="54" spans="1:103">
      <c r="A54" s="69" t="s">
        <v>32</v>
      </c>
      <c r="B54" s="76">
        <f>'Monthly Ethanol Data'!$C164*42/1000</f>
        <v>0</v>
      </c>
      <c r="C54" s="76">
        <f>'Monthly Ethanol Data'!$C176*42/1000</f>
        <v>1.008</v>
      </c>
      <c r="D54" s="76">
        <f>'Monthly Ethanol Data'!$C188*42/1000</f>
        <v>0</v>
      </c>
      <c r="E54" s="76">
        <f>'Monthly Ethanol Data'!$C200*42/1000</f>
        <v>0</v>
      </c>
      <c r="F54" s="76">
        <f>'Monthly Ethanol Data'!$C212*42/1000</f>
        <v>0.252</v>
      </c>
      <c r="G54" s="76">
        <f>'Monthly Ethanol Data'!$C224*42/1000</f>
        <v>0.29399999999999998</v>
      </c>
      <c r="H54" s="76">
        <f>'Monthly Ethanol Data'!$C236*42/1000</f>
        <v>3.57</v>
      </c>
      <c r="I54" s="76">
        <f>'Monthly Ethanol Data'!$C248*42/1000</f>
        <v>0.71399999999999997</v>
      </c>
      <c r="J54" s="76">
        <f>'Monthly Ethanol Data'!$C260*42/1000</f>
        <v>0.33600000000000002</v>
      </c>
      <c r="K54" s="76">
        <f>'Monthly Ethanol Data'!$C272*42/1000</f>
        <v>6.5940000000000003</v>
      </c>
      <c r="L54" s="76">
        <f>'Monthly Ethanol Data'!$C284*42/1000</f>
        <v>0.54600000000000004</v>
      </c>
      <c r="M54" s="76">
        <f>'Monthly Ethanol Data'!$C296*42/1000</f>
        <v>37.548000000000002</v>
      </c>
      <c r="N54" s="76">
        <f>'Monthly Ethanol Data'!$C308*42/1000</f>
        <v>30.24</v>
      </c>
      <c r="O54" s="76">
        <f>'Monthly Ethanol Data'!$C320*42/1000</f>
        <v>15.456</v>
      </c>
      <c r="P54" s="76">
        <f>'Monthly Ethanol Data'!$C332*42/1000</f>
        <v>3.3180000000000001</v>
      </c>
      <c r="Q54" s="76">
        <f>'Monthly Ethanol Data'!$C344*42/1000</f>
        <v>2.0579999999999998</v>
      </c>
      <c r="R54" s="76">
        <f>'Monthly Ethanol Data'!$C356*42/1000</f>
        <v>12.81</v>
      </c>
      <c r="S54" s="76">
        <f>'Monthly Ethanol Data'!$C368*42/1000</f>
        <v>43.26</v>
      </c>
      <c r="T54" s="76">
        <f>'Monthly Ethanol Data'!$C380*42/1000</f>
        <v>61.067999999999998</v>
      </c>
      <c r="U54" s="76">
        <f>'Monthly Ethanol Data'!$C392*42/1000</f>
        <v>4.3680000000000003</v>
      </c>
      <c r="V54" s="76">
        <f>'Monthly Ethanol Data'!$C404*42/1000</f>
        <v>1.722</v>
      </c>
      <c r="W54" s="76">
        <f>'Monthly Ethanol Data'!$C416*42/1000</f>
        <v>13.188000000000001</v>
      </c>
      <c r="X54" s="76">
        <f>'Monthly Ethanol Data'!$C428*42/1000</f>
        <v>8.4000000000000005E-2</v>
      </c>
      <c r="Y54" s="76">
        <f>'Monthly Ethanol Data'!$C440*42/1000</f>
        <v>0</v>
      </c>
      <c r="Z54" s="97">
        <f>'Monthly Ethanol Data'!$D452*42/1000</f>
        <v>19.881052514787037</v>
      </c>
      <c r="AA54" s="97">
        <f>'Monthly Ethanol Data'!$D464*42/1000</f>
        <v>25.801899662123784</v>
      </c>
      <c r="AB54" s="97">
        <f>'Monthly Ethanol Data'!$D476*42/1000</f>
        <v>23.303306378965551</v>
      </c>
      <c r="AC54" s="97">
        <f>'Monthly Ethanol Data'!$D488*42/1000</f>
        <v>8.8122140005970291</v>
      </c>
      <c r="AD54" s="97">
        <f>'Monthly Ethanol Data'!$D500*42/1000</f>
        <v>1.8159056025717599</v>
      </c>
      <c r="AE54" s="97">
        <f>'Monthly Ethanol Data'!$D512*42/1000</f>
        <v>2.908475748478633</v>
      </c>
      <c r="AF54" s="97">
        <f>'Monthly Ethanol Data'!$D524*42/1000</f>
        <v>12.256713668155541</v>
      </c>
      <c r="AG54" s="77">
        <f>(SUM(AB54:AF54)/SUM(AB$60:AF$60))*AG$60+5</f>
        <v>11.630171256438551</v>
      </c>
      <c r="AH54" s="77">
        <f t="shared" si="53"/>
        <v>13.2603425128771</v>
      </c>
      <c r="AI54" s="77">
        <f t="shared" si="54"/>
        <v>13.336235056524966</v>
      </c>
      <c r="AJ54" s="77">
        <f t="shared" si="52"/>
        <v>14.243789289776915</v>
      </c>
      <c r="AK54" s="77">
        <f t="shared" si="52"/>
        <v>15.095072860033106</v>
      </c>
      <c r="AL54" s="77">
        <f t="shared" si="52"/>
        <v>15.914305621366081</v>
      </c>
      <c r="AM54" s="77">
        <f t="shared" si="52"/>
        <v>15.01458021681125</v>
      </c>
      <c r="AN54" s="77">
        <f t="shared" si="52"/>
        <v>14.369949068115632</v>
      </c>
      <c r="AO54" s="77">
        <f t="shared" si="52"/>
        <v>14.720796608902464</v>
      </c>
      <c r="AP54" s="77">
        <f t="shared" si="52"/>
        <v>14.927539411220597</v>
      </c>
      <c r="AQ54" s="77">
        <f t="shared" si="52"/>
        <v>15.022940875045705</v>
      </c>
      <c r="AR54" s="77">
        <f t="shared" si="52"/>
        <v>14.989434185283205</v>
      </c>
      <c r="AS54" s="77">
        <f t="shared" si="52"/>
        <v>14.81116123601913</v>
      </c>
      <c r="AT54" s="77">
        <f t="shared" si="52"/>
        <v>14.80613202971352</v>
      </c>
      <c r="AU54" s="77">
        <f t="shared" si="52"/>
        <v>14.894374463294222</v>
      </c>
      <c r="AV54" s="77">
        <f t="shared" si="52"/>
        <v>14.911441547456432</v>
      </c>
      <c r="AW54" s="77">
        <f t="shared" si="52"/>
        <v>14.904808557871158</v>
      </c>
      <c r="AX54" s="77">
        <f t="shared" si="52"/>
        <v>14.882508692353301</v>
      </c>
      <c r="AY54" s="77">
        <f t="shared" si="52"/>
        <v>14.865583566870894</v>
      </c>
      <c r="AZ54" s="77">
        <f t="shared" si="52"/>
        <v>14.939372470370277</v>
      </c>
      <c r="BA54" s="77">
        <f t="shared" si="52"/>
        <v>15.010877312493754</v>
      </c>
      <c r="BB54" s="77">
        <f t="shared" si="52"/>
        <v>15.067497884280801</v>
      </c>
      <c r="BC54" s="77">
        <f t="shared" si="52"/>
        <v>15.123064846280672</v>
      </c>
      <c r="BD54" s="77">
        <f t="shared" si="52"/>
        <v>15.179370367216642</v>
      </c>
      <c r="BE54" s="77">
        <f t="shared" si="52"/>
        <v>15.239394759171331</v>
      </c>
      <c r="BF54" s="77">
        <f t="shared" si="52"/>
        <v>15.302203162312276</v>
      </c>
      <c r="BV54" s="69" t="s">
        <v>19</v>
      </c>
      <c r="BW54" s="98">
        <f>'[2]D6 Gallon Forecast'!F122/1000000</f>
        <v>1161.2140440000001</v>
      </c>
      <c r="BX54" s="98">
        <f>'[2]D6 Gallon Forecast'!G122/1000000</f>
        <v>1218.627935</v>
      </c>
      <c r="BY54" s="98">
        <f>'[2]D6 Gallon Forecast'!H122/1000000</f>
        <v>1234.413922</v>
      </c>
      <c r="BZ54" s="98">
        <f>'[2]D6 Gallon Forecast'!I122/1000000</f>
        <v>1274.7757859999999</v>
      </c>
      <c r="CA54" s="98">
        <f>'[2]D6 Gallon Forecast'!J122/1000000</f>
        <v>1268.75603</v>
      </c>
      <c r="CB54" s="98">
        <f>'[2]D6 Gallon Forecast'!K122/1000000</f>
        <v>1237.882981</v>
      </c>
      <c r="CC54" s="98">
        <f>'[2]D6 Gallon Forecast'!L122/1000000</f>
        <v>1138.0326769999999</v>
      </c>
      <c r="CD54" s="98">
        <f>'[2]D6 Gallon Forecast'!M122/1000000</f>
        <v>1183.784629</v>
      </c>
      <c r="CE54" s="98">
        <f>'[2]D6 Gallon Forecast'!$N106/1000000</f>
        <v>1215.6274020000001</v>
      </c>
      <c r="CF54" s="98">
        <f>'[2]D6 Gallon Forecast'!$N106/1000000</f>
        <v>1215.6274020000001</v>
      </c>
      <c r="CG54" s="98">
        <f>'[2]D6 Gallon Forecast'!$N106/1000000</f>
        <v>1215.6274020000001</v>
      </c>
      <c r="CH54" s="99">
        <f>'[2]D6 Gallon Forecast'!$N106/1000000</f>
        <v>1215.6274020000001</v>
      </c>
      <c r="CI54" s="99">
        <f>'[2]D6 Gallon Forecast'!$N106/1000000</f>
        <v>1215.6274020000001</v>
      </c>
      <c r="CJ54" s="99">
        <f>'[2]D6 Gallon Forecast'!$N106/1000000</f>
        <v>1215.6274020000001</v>
      </c>
      <c r="CK54" s="99">
        <f>'[2]D6 Gallon Forecast'!$N106/1000000</f>
        <v>1215.6274020000001</v>
      </c>
      <c r="CL54" s="99">
        <f>'[2]D6 Gallon Forecast'!$N106/1000000</f>
        <v>1215.6274020000001</v>
      </c>
      <c r="CM54" s="99">
        <f>'[2]D6 Gallon Forecast'!$N106/1000000</f>
        <v>1215.6274020000001</v>
      </c>
      <c r="CN54" s="99">
        <f>'[2]D6 Gallon Forecast'!$N106/1000000</f>
        <v>1215.6274020000001</v>
      </c>
      <c r="CO54" s="99">
        <f>'[2]D6 Gallon Forecast'!$N106/1000000</f>
        <v>1215.6274020000001</v>
      </c>
      <c r="CP54" s="99">
        <f>'[2]D6 Gallon Forecast'!$N106/1000000</f>
        <v>1215.6274020000001</v>
      </c>
      <c r="CQ54" s="99">
        <f>'[2]D6 Gallon Forecast'!$N106/1000000</f>
        <v>1215.6274020000001</v>
      </c>
      <c r="CR54" s="99">
        <f>'[2]D6 Gallon Forecast'!$N106/1000000</f>
        <v>1215.6274020000001</v>
      </c>
      <c r="CS54" s="99">
        <f>'[2]D6 Gallon Forecast'!$N106/1000000</f>
        <v>1215.6274020000001</v>
      </c>
      <c r="CT54" s="99">
        <f>'[2]D6 Gallon Forecast'!$N106/1000000</f>
        <v>1215.6274020000001</v>
      </c>
      <c r="CU54" s="99">
        <f>'[2]D6 Gallon Forecast'!$N106/1000000</f>
        <v>1215.6274020000001</v>
      </c>
      <c r="CV54" s="99">
        <f>'[2]D6 Gallon Forecast'!$N106/1000000</f>
        <v>1215.6274020000001</v>
      </c>
      <c r="CW54" s="99">
        <f>'[2]D6 Gallon Forecast'!$N106/1000000</f>
        <v>1215.6274020000001</v>
      </c>
      <c r="CX54" s="99">
        <f>'[2]D6 Gallon Forecast'!$N106/1000000</f>
        <v>1215.6274020000001</v>
      </c>
      <c r="CY54" s="99">
        <f>'[2]D6 Gallon Forecast'!$N106/1000000</f>
        <v>1215.6274020000001</v>
      </c>
    </row>
    <row r="55" spans="1:103">
      <c r="A55" s="69" t="s">
        <v>33</v>
      </c>
      <c r="B55" s="76">
        <f>'Monthly Ethanol Data'!$C165*42/1000</f>
        <v>2.1</v>
      </c>
      <c r="C55" s="76">
        <f>'Monthly Ethanol Data'!$C177*42/1000</f>
        <v>1.974</v>
      </c>
      <c r="D55" s="76">
        <f>'Monthly Ethanol Data'!$C189*42/1000</f>
        <v>1.974</v>
      </c>
      <c r="E55" s="76">
        <f>'Monthly Ethanol Data'!$C201*42/1000</f>
        <v>1.6379999999999999</v>
      </c>
      <c r="F55" s="76">
        <f>'Monthly Ethanol Data'!$C213*42/1000</f>
        <v>0.33600000000000002</v>
      </c>
      <c r="G55" s="76">
        <f>'Monthly Ethanol Data'!$C225*42/1000</f>
        <v>0.42</v>
      </c>
      <c r="H55" s="76">
        <f>'Monthly Ethanol Data'!$C237*42/1000</f>
        <v>0.84</v>
      </c>
      <c r="I55" s="76">
        <f>'Monthly Ethanol Data'!$C249*42/1000</f>
        <v>0.79800000000000004</v>
      </c>
      <c r="J55" s="76">
        <f>'Monthly Ethanol Data'!$C261*42/1000</f>
        <v>0.378</v>
      </c>
      <c r="K55" s="76">
        <f>'Monthly Ethanol Data'!$C273*42/1000</f>
        <v>6.0060000000000002</v>
      </c>
      <c r="L55" s="76">
        <f>'Monthly Ethanol Data'!$C285*42/1000</f>
        <v>8.6519999999999992</v>
      </c>
      <c r="M55" s="76">
        <f>'Monthly Ethanol Data'!$C297*42/1000</f>
        <v>38.01</v>
      </c>
      <c r="N55" s="76">
        <f>'Monthly Ethanol Data'!$C309*42/1000</f>
        <v>30.786000000000001</v>
      </c>
      <c r="O55" s="76">
        <f>'Monthly Ethanol Data'!$C321*42/1000</f>
        <v>62.622</v>
      </c>
      <c r="P55" s="76">
        <f>'Monthly Ethanol Data'!$C333*42/1000</f>
        <v>6.9720000000000004</v>
      </c>
      <c r="Q55" s="76">
        <f>'Monthly Ethanol Data'!$C345*42/1000</f>
        <v>1.9319999999999999</v>
      </c>
      <c r="R55" s="76">
        <f>'Monthly Ethanol Data'!$C357*42/1000</f>
        <v>24.402000000000001</v>
      </c>
      <c r="S55" s="76">
        <f>'Monthly Ethanol Data'!$C369*42/1000</f>
        <v>78.12</v>
      </c>
      <c r="T55" s="76">
        <f>'Monthly Ethanol Data'!$C381*42/1000</f>
        <v>66.989999999999995</v>
      </c>
      <c r="U55" s="76">
        <f>'Monthly Ethanol Data'!$C393*42/1000</f>
        <v>0.378</v>
      </c>
      <c r="V55" s="76">
        <f>'Monthly Ethanol Data'!$C405*42/1000</f>
        <v>15.414</v>
      </c>
      <c r="W55" s="76">
        <f>'Monthly Ethanol Data'!$C417*42/1000</f>
        <v>10.71</v>
      </c>
      <c r="X55" s="76">
        <f>'Monthly Ethanol Data'!$C429*42/1000</f>
        <v>0.126</v>
      </c>
      <c r="Y55" s="76">
        <f>'Monthly Ethanol Data'!$C441*42/1000</f>
        <v>8.2739999999999991</v>
      </c>
      <c r="Z55" s="97">
        <f>'Monthly Ethanol Data'!$D453*42/1000</f>
        <v>14.295399441540019</v>
      </c>
      <c r="AA55" s="97">
        <f>'Monthly Ethanol Data'!$D465*42/1000</f>
        <v>22.919280870500153</v>
      </c>
      <c r="AB55" s="97">
        <f>'Monthly Ethanol Data'!$D477*42/1000</f>
        <v>10.571497407150083</v>
      </c>
      <c r="AC55" s="97">
        <f>'Monthly Ethanol Data'!$D489*42/1000</f>
        <v>6.3231502003745961</v>
      </c>
      <c r="AD55" s="97">
        <f>'Monthly Ethanol Data'!$D501*42/1000</f>
        <v>2.0101151692649997</v>
      </c>
      <c r="AE55" s="97">
        <f>'Monthly Ethanol Data'!$D513*42/1000</f>
        <v>10.517974529588853</v>
      </c>
      <c r="AF55" s="97">
        <f>'Monthly Ethanol Data'!$D525*42/1000</f>
        <v>10.825288766453955</v>
      </c>
      <c r="AG55" s="77">
        <f>(SUM(AB55:AF55)/SUM(AB$60:AF$60))*AG$60+5</f>
        <v>10.435228140047647</v>
      </c>
      <c r="AH55" s="77">
        <f t="shared" si="53"/>
        <v>10.870456280095294</v>
      </c>
      <c r="AI55" s="77">
        <f t="shared" si="54"/>
        <v>14.294229540991951</v>
      </c>
      <c r="AJ55" s="77">
        <f t="shared" si="52"/>
        <v>15.192019127615595</v>
      </c>
      <c r="AK55" s="77">
        <f t="shared" si="52"/>
        <v>16.099086076913988</v>
      </c>
      <c r="AL55" s="77">
        <f t="shared" si="52"/>
        <v>15.149651392878589</v>
      </c>
      <c r="AM55" s="77">
        <f t="shared" si="52"/>
        <v>14.864670925703217</v>
      </c>
      <c r="AN55" s="77">
        <f t="shared" si="52"/>
        <v>14.321088483699084</v>
      </c>
      <c r="AO55" s="77">
        <f t="shared" si="52"/>
        <v>15.119931412820668</v>
      </c>
      <c r="AP55" s="77">
        <f t="shared" si="52"/>
        <v>15.125303201362092</v>
      </c>
      <c r="AQ55" s="77">
        <f t="shared" si="52"/>
        <v>15.110885658403109</v>
      </c>
      <c r="AR55" s="77">
        <f t="shared" si="52"/>
        <v>14.916129083292731</v>
      </c>
      <c r="AS55" s="77">
        <f t="shared" si="52"/>
        <v>14.908375936397636</v>
      </c>
      <c r="AT55" s="77">
        <f t="shared" si="52"/>
        <v>14.918667567915538</v>
      </c>
      <c r="AU55" s="77">
        <f t="shared" si="52"/>
        <v>15.036125058455246</v>
      </c>
      <c r="AV55" s="77">
        <f t="shared" si="52"/>
        <v>14.995872289474221</v>
      </c>
      <c r="AW55" s="77">
        <f t="shared" si="52"/>
        <v>14.978036660892851</v>
      </c>
      <c r="AX55" s="77">
        <f t="shared" si="52"/>
        <v>14.955033987107074</v>
      </c>
      <c r="AY55" s="77">
        <f t="shared" si="52"/>
        <v>14.9674155026271</v>
      </c>
      <c r="AZ55" s="77">
        <f t="shared" si="52"/>
        <v>15.03665410122006</v>
      </c>
      <c r="BA55" s="77">
        <f t="shared" si="52"/>
        <v>15.10638867330899</v>
      </c>
      <c r="BB55" s="77">
        <f t="shared" si="52"/>
        <v>15.154318283736444</v>
      </c>
      <c r="BC55" s="77">
        <f t="shared" si="52"/>
        <v>15.212335472457815</v>
      </c>
      <c r="BD55" s="77">
        <f t="shared" si="52"/>
        <v>15.27153796953815</v>
      </c>
      <c r="BE55" s="77">
        <f t="shared" si="52"/>
        <v>15.335032286141036</v>
      </c>
      <c r="BF55" s="77">
        <f t="shared" si="52"/>
        <v>15.395871356970115</v>
      </c>
      <c r="BV55" s="69" t="s">
        <v>20</v>
      </c>
      <c r="BW55" s="98">
        <f>'[2]D6 Gallon Forecast'!F123/1000000</f>
        <v>1126.8060029999999</v>
      </c>
      <c r="BX55" s="98">
        <f>'[2]D6 Gallon Forecast'!G123/1000000</f>
        <v>1197.558646</v>
      </c>
      <c r="BY55" s="98">
        <f>'[2]D6 Gallon Forecast'!H123/1000000</f>
        <v>1205.7380780000001</v>
      </c>
      <c r="BZ55" s="98">
        <f>'[2]D6 Gallon Forecast'!I123/1000000</f>
        <v>1272.8924139999999</v>
      </c>
      <c r="CA55" s="98">
        <f>'[2]D6 Gallon Forecast'!J123/1000000</f>
        <v>1231.729294</v>
      </c>
      <c r="CB55" s="98">
        <f>'[2]D6 Gallon Forecast'!K123/1000000</f>
        <v>1194.230202</v>
      </c>
      <c r="CC55" s="98">
        <f>'[2]D6 Gallon Forecast'!L123/1000000</f>
        <v>1136.429603</v>
      </c>
      <c r="CD55" s="98">
        <f>'[2]D6 Gallon Forecast'!M123/1000000</f>
        <v>1240.2932029999999</v>
      </c>
      <c r="CE55" s="98">
        <f>'[2]D6 Gallon Forecast'!$N107/1000000</f>
        <v>1251.949282</v>
      </c>
      <c r="CF55" s="98">
        <f>'[2]D6 Gallon Forecast'!$N107/1000000</f>
        <v>1251.949282</v>
      </c>
      <c r="CG55" s="98">
        <f>'[2]D6 Gallon Forecast'!$N107/1000000</f>
        <v>1251.949282</v>
      </c>
      <c r="CH55" s="99">
        <f>'[2]D6 Gallon Forecast'!$N107/1000000</f>
        <v>1251.949282</v>
      </c>
      <c r="CI55" s="99">
        <f>'[2]D6 Gallon Forecast'!$N107/1000000</f>
        <v>1251.949282</v>
      </c>
      <c r="CJ55" s="99">
        <f>'[2]D6 Gallon Forecast'!$N107/1000000</f>
        <v>1251.949282</v>
      </c>
      <c r="CK55" s="99">
        <f>'[2]D6 Gallon Forecast'!$N107/1000000</f>
        <v>1251.949282</v>
      </c>
      <c r="CL55" s="99">
        <f>'[2]D6 Gallon Forecast'!$N107/1000000</f>
        <v>1251.949282</v>
      </c>
      <c r="CM55" s="99">
        <f>'[2]D6 Gallon Forecast'!$N107/1000000</f>
        <v>1251.949282</v>
      </c>
      <c r="CN55" s="99">
        <f>'[2]D6 Gallon Forecast'!$N107/1000000</f>
        <v>1251.949282</v>
      </c>
      <c r="CO55" s="99">
        <f>'[2]D6 Gallon Forecast'!$N107/1000000</f>
        <v>1251.949282</v>
      </c>
      <c r="CP55" s="99">
        <f>'[2]D6 Gallon Forecast'!$N107/1000000</f>
        <v>1251.949282</v>
      </c>
      <c r="CQ55" s="99">
        <f>'[2]D6 Gallon Forecast'!$N107/1000000</f>
        <v>1251.949282</v>
      </c>
      <c r="CR55" s="99">
        <f>'[2]D6 Gallon Forecast'!$N107/1000000</f>
        <v>1251.949282</v>
      </c>
      <c r="CS55" s="99">
        <f>'[2]D6 Gallon Forecast'!$N107/1000000</f>
        <v>1251.949282</v>
      </c>
      <c r="CT55" s="99">
        <f>'[2]D6 Gallon Forecast'!$N107/1000000</f>
        <v>1251.949282</v>
      </c>
      <c r="CU55" s="99">
        <f>'[2]D6 Gallon Forecast'!$N107/1000000</f>
        <v>1251.949282</v>
      </c>
      <c r="CV55" s="99">
        <f>'[2]D6 Gallon Forecast'!$N107/1000000</f>
        <v>1251.949282</v>
      </c>
      <c r="CW55" s="99">
        <f>'[2]D6 Gallon Forecast'!$N107/1000000</f>
        <v>1251.949282</v>
      </c>
      <c r="CX55" s="99">
        <f>'[2]D6 Gallon Forecast'!$N107/1000000</f>
        <v>1251.949282</v>
      </c>
      <c r="CY55" s="99">
        <f>'[2]D6 Gallon Forecast'!$N107/1000000</f>
        <v>1251.949282</v>
      </c>
    </row>
    <row r="56" spans="1:103">
      <c r="A56" s="69" t="s">
        <v>14</v>
      </c>
      <c r="B56" s="76">
        <f>'Monthly Ethanol Data'!$C166*42/1000</f>
        <v>1.1339999999999999</v>
      </c>
      <c r="C56" s="76">
        <f>'Monthly Ethanol Data'!$C178*42/1000</f>
        <v>1.1759999999999999</v>
      </c>
      <c r="D56" s="76">
        <f>'Monthly Ethanol Data'!$C190*42/1000</f>
        <v>0</v>
      </c>
      <c r="E56" s="76">
        <f>'Monthly Ethanol Data'!$C202*42/1000</f>
        <v>0</v>
      </c>
      <c r="F56" s="76">
        <f>'Monthly Ethanol Data'!$C214*42/1000</f>
        <v>0.29399999999999998</v>
      </c>
      <c r="G56" s="76">
        <f>'Monthly Ethanol Data'!$C226*42/1000</f>
        <v>0.378</v>
      </c>
      <c r="H56" s="76">
        <f>'Monthly Ethanol Data'!$C238*42/1000</f>
        <v>0.378</v>
      </c>
      <c r="I56" s="76">
        <f>'Monthly Ethanol Data'!$C250*42/1000</f>
        <v>0.58799999999999997</v>
      </c>
      <c r="J56" s="76">
        <f>'Monthly Ethanol Data'!$C262*42/1000</f>
        <v>2.2679999999999998</v>
      </c>
      <c r="K56" s="76">
        <f>'Monthly Ethanol Data'!$C274*42/1000</f>
        <v>7.6020000000000003</v>
      </c>
      <c r="L56" s="76">
        <f>'Monthly Ethanol Data'!$C286*42/1000</f>
        <v>3.4020000000000001</v>
      </c>
      <c r="M56" s="76">
        <f>'Monthly Ethanol Data'!$C298*42/1000</f>
        <v>28.643999999999998</v>
      </c>
      <c r="N56" s="76">
        <f>'Monthly Ethanol Data'!$C310*42/1000</f>
        <v>27.846</v>
      </c>
      <c r="O56" s="76">
        <f>'Monthly Ethanol Data'!$C322*42/1000</f>
        <v>40.404000000000003</v>
      </c>
      <c r="P56" s="76">
        <f>'Monthly Ethanol Data'!$C334*42/1000</f>
        <v>21.294</v>
      </c>
      <c r="Q56" s="76">
        <f>'Monthly Ethanol Data'!$C346*42/1000</f>
        <v>1.9319999999999999</v>
      </c>
      <c r="R56" s="76">
        <f>'Monthly Ethanol Data'!$C358*42/1000</f>
        <v>32.76</v>
      </c>
      <c r="S56" s="76">
        <f>'Monthly Ethanol Data'!$C370*42/1000</f>
        <v>79.38</v>
      </c>
      <c r="T56" s="76">
        <f>'Monthly Ethanol Data'!$C382*42/1000</f>
        <v>46.704000000000001</v>
      </c>
      <c r="U56" s="76">
        <f>'Monthly Ethanol Data'!$C394*42/1000</f>
        <v>0.29399999999999998</v>
      </c>
      <c r="V56" s="76">
        <f>'Monthly Ethanol Data'!$C406*42/1000</f>
        <v>21.21</v>
      </c>
      <c r="W56" s="76">
        <f>'Monthly Ethanol Data'!$C418*42/1000</f>
        <v>1.302</v>
      </c>
      <c r="X56" s="76">
        <f>'Monthly Ethanol Data'!$C430*42/1000</f>
        <v>4.2000000000000003E-2</v>
      </c>
      <c r="Y56" s="76">
        <f>'Monthly Ethanol Data'!$C442*42/1000</f>
        <v>1.302</v>
      </c>
      <c r="Z56" s="97">
        <f>'Monthly Ethanol Data'!$D454*42/1000</f>
        <v>19.501836260801337</v>
      </c>
      <c r="AA56" s="97">
        <f>'Monthly Ethanol Data'!$D466*42/1000</f>
        <v>9.9846840897023057</v>
      </c>
      <c r="AB56" s="97">
        <f>'Monthly Ethanol Data'!$D478*42/1000</f>
        <v>11.426695919332383</v>
      </c>
      <c r="AC56" s="97">
        <f>'Monthly Ethanol Data'!$D490*42/1000</f>
        <v>3.7344594112658864</v>
      </c>
      <c r="AD56" s="97">
        <f>'Monthly Ethanol Data'!$D502*42/1000</f>
        <v>12.011604824325541</v>
      </c>
      <c r="AE56" s="97">
        <f>'Monthly Ethanol Data'!$D514*42/1000</f>
        <v>9.3869026673978944</v>
      </c>
      <c r="AF56" s="97">
        <f>'Monthly Ethanol Data'!$D526*42/1000</f>
        <v>11.616587573558704</v>
      </c>
      <c r="AG56" s="77">
        <f>(SUM(AB56:AF56)/SUM(AB$60:AF$60))*AG$60+5</f>
        <v>11.505882086237751</v>
      </c>
      <c r="AH56" s="77">
        <f t="shared" si="53"/>
        <v>13.0117641724755</v>
      </c>
      <c r="AI56" s="77">
        <f t="shared" si="54"/>
        <v>17.196312048110038</v>
      </c>
      <c r="AJ56" s="77">
        <f t="shared" si="52"/>
        <v>19.571357977219147</v>
      </c>
      <c r="AK56" s="77">
        <f t="shared" si="52"/>
        <v>17.731599312327809</v>
      </c>
      <c r="AL56" s="77">
        <f t="shared" si="52"/>
        <v>17.924184117147483</v>
      </c>
      <c r="AM56" s="77">
        <f t="shared" si="52"/>
        <v>17.559314576971165</v>
      </c>
      <c r="AN56" s="77">
        <f t="shared" si="52"/>
        <v>17.087043525455996</v>
      </c>
      <c r="AO56" s="77">
        <f t="shared" si="52"/>
        <v>17.996553606355128</v>
      </c>
      <c r="AP56" s="77">
        <f t="shared" si="52"/>
        <v>17.974699901824319</v>
      </c>
      <c r="AQ56" s="77">
        <f t="shared" si="52"/>
        <v>17.659739027651518</v>
      </c>
      <c r="AR56" s="77">
        <f t="shared" si="52"/>
        <v>17.708359145550823</v>
      </c>
      <c r="AS56" s="77">
        <f t="shared" si="52"/>
        <v>17.655470127651625</v>
      </c>
      <c r="AT56" s="77">
        <f t="shared" si="52"/>
        <v>17.685279041367558</v>
      </c>
      <c r="AU56" s="77">
        <f t="shared" si="52"/>
        <v>17.798964361806682</v>
      </c>
      <c r="AV56" s="77">
        <f t="shared" si="52"/>
        <v>17.736709448809165</v>
      </c>
      <c r="AW56" s="77">
        <f t="shared" si="52"/>
        <v>17.701562340805641</v>
      </c>
      <c r="AX56" s="77">
        <f t="shared" si="52"/>
        <v>17.716956425037171</v>
      </c>
      <c r="AY56" s="77">
        <f t="shared" si="52"/>
        <v>17.715597064088133</v>
      </c>
      <c r="AZ56" s="77">
        <f t="shared" si="52"/>
        <v>17.798805900859506</v>
      </c>
      <c r="BA56" s="77">
        <f t="shared" si="52"/>
        <v>17.875829591534231</v>
      </c>
      <c r="BB56" s="77">
        <f t="shared" si="52"/>
        <v>17.932387440798323</v>
      </c>
      <c r="BC56" s="77">
        <f t="shared" si="52"/>
        <v>18.002731712586169</v>
      </c>
      <c r="BD56" s="77">
        <f t="shared" si="52"/>
        <v>18.077302537970485</v>
      </c>
      <c r="BE56" s="77">
        <f t="shared" si="52"/>
        <v>18.148642887083959</v>
      </c>
      <c r="BF56" s="77">
        <f t="shared" si="52"/>
        <v>18.221006874484914</v>
      </c>
      <c r="BV56" s="69" t="s">
        <v>21</v>
      </c>
      <c r="BW56" s="98">
        <f>'[2]D6 Gallon Forecast'!F124/1000000</f>
        <v>1272.005545</v>
      </c>
      <c r="BX56" s="98">
        <f>'[2]D6 Gallon Forecast'!G124/1000000</f>
        <v>1291.110379</v>
      </c>
      <c r="BY56" s="98">
        <f>'[2]D6 Gallon Forecast'!H124/1000000</f>
        <v>1271.4552249999999</v>
      </c>
      <c r="BZ56" s="98">
        <f>'[2]D6 Gallon Forecast'!I124/1000000</f>
        <v>1258.40933</v>
      </c>
      <c r="CA56" s="98">
        <f>'[2]D6 Gallon Forecast'!J124/1000000</f>
        <v>1232.3040249999999</v>
      </c>
      <c r="CB56" s="98">
        <f>'[2]D6 Gallon Forecast'!K124/1000000</f>
        <v>1288.9307779999999</v>
      </c>
      <c r="CC56" s="98">
        <f>'[2]D6 Gallon Forecast'!L124/1000000</f>
        <v>1139.9526189999999</v>
      </c>
      <c r="CD56" s="98">
        <f>'[2]D6 Gallon Forecast'!$M$108/1000000</f>
        <v>1292.0961070000001</v>
      </c>
      <c r="CE56" s="98">
        <f>'[2]D6 Gallon Forecast'!$N108/1000000</f>
        <v>1194.250955</v>
      </c>
      <c r="CF56" s="98">
        <f>'[2]D6 Gallon Forecast'!$N108/1000000</f>
        <v>1194.250955</v>
      </c>
      <c r="CG56" s="98">
        <f>'[2]D6 Gallon Forecast'!$N108/1000000</f>
        <v>1194.250955</v>
      </c>
      <c r="CH56" s="99">
        <f>'[2]D6 Gallon Forecast'!$N108/1000000</f>
        <v>1194.250955</v>
      </c>
      <c r="CI56" s="99">
        <f>'[2]D6 Gallon Forecast'!$N108/1000000</f>
        <v>1194.250955</v>
      </c>
      <c r="CJ56" s="99">
        <f>'[2]D6 Gallon Forecast'!$N108/1000000</f>
        <v>1194.250955</v>
      </c>
      <c r="CK56" s="99">
        <f>'[2]D6 Gallon Forecast'!$N108/1000000</f>
        <v>1194.250955</v>
      </c>
      <c r="CL56" s="99">
        <f>'[2]D6 Gallon Forecast'!$N108/1000000</f>
        <v>1194.250955</v>
      </c>
      <c r="CM56" s="99">
        <f>'[2]D6 Gallon Forecast'!$N108/1000000</f>
        <v>1194.250955</v>
      </c>
      <c r="CN56" s="99">
        <f>'[2]D6 Gallon Forecast'!$N108/1000000</f>
        <v>1194.250955</v>
      </c>
      <c r="CO56" s="99">
        <f>'[2]D6 Gallon Forecast'!$N108/1000000</f>
        <v>1194.250955</v>
      </c>
      <c r="CP56" s="99">
        <f>'[2]D6 Gallon Forecast'!$N108/1000000</f>
        <v>1194.250955</v>
      </c>
      <c r="CQ56" s="99">
        <f>'[2]D6 Gallon Forecast'!$N108/1000000</f>
        <v>1194.250955</v>
      </c>
      <c r="CR56" s="99">
        <f>'[2]D6 Gallon Forecast'!$N108/1000000</f>
        <v>1194.250955</v>
      </c>
      <c r="CS56" s="99">
        <f>'[2]D6 Gallon Forecast'!$N108/1000000</f>
        <v>1194.250955</v>
      </c>
      <c r="CT56" s="99">
        <f>'[2]D6 Gallon Forecast'!$N108/1000000</f>
        <v>1194.250955</v>
      </c>
      <c r="CU56" s="99">
        <f>'[2]D6 Gallon Forecast'!$N108/1000000</f>
        <v>1194.250955</v>
      </c>
      <c r="CV56" s="99">
        <f>'[2]D6 Gallon Forecast'!$N108/1000000</f>
        <v>1194.250955</v>
      </c>
      <c r="CW56" s="99">
        <f>'[2]D6 Gallon Forecast'!$N108/1000000</f>
        <v>1194.250955</v>
      </c>
      <c r="CX56" s="99">
        <f>'[2]D6 Gallon Forecast'!$N108/1000000</f>
        <v>1194.250955</v>
      </c>
      <c r="CY56" s="99">
        <f>'[2]D6 Gallon Forecast'!$N108/1000000</f>
        <v>1194.250955</v>
      </c>
    </row>
    <row r="57" spans="1:103">
      <c r="A57" s="69" t="s">
        <v>34</v>
      </c>
      <c r="B57" s="76">
        <f>'Monthly Ethanol Data'!$C167*42/1000</f>
        <v>1.1759999999999999</v>
      </c>
      <c r="C57" s="76">
        <f>'Monthly Ethanol Data'!$C179*42/1000</f>
        <v>1.3440000000000001</v>
      </c>
      <c r="D57" s="76">
        <f>'Monthly Ethanol Data'!$C191*42/1000</f>
        <v>0</v>
      </c>
      <c r="E57" s="76">
        <f>'Monthly Ethanol Data'!$C203*42/1000</f>
        <v>0</v>
      </c>
      <c r="F57" s="76">
        <f>'Monthly Ethanol Data'!$C215*42/1000</f>
        <v>0.29399999999999998</v>
      </c>
      <c r="G57" s="76">
        <f>'Monthly Ethanol Data'!$C227*42/1000</f>
        <v>0.378</v>
      </c>
      <c r="H57" s="76">
        <f>'Monthly Ethanol Data'!$C239*42/1000</f>
        <v>2.1</v>
      </c>
      <c r="I57" s="76">
        <f>'Monthly Ethanol Data'!$C251*42/1000</f>
        <v>0.42</v>
      </c>
      <c r="J57" s="76">
        <f>'Monthly Ethanol Data'!$C263*42/1000</f>
        <v>0.46200000000000002</v>
      </c>
      <c r="K57" s="76">
        <f>'Monthly Ethanol Data'!$C275*42/1000</f>
        <v>22.89</v>
      </c>
      <c r="L57" s="76">
        <f>'Monthly Ethanol Data'!$C287*42/1000</f>
        <v>8.8620000000000001</v>
      </c>
      <c r="M57" s="76">
        <f>'Monthly Ethanol Data'!$C299*42/1000</f>
        <v>65.099999999999994</v>
      </c>
      <c r="N57" s="76">
        <f>'Monthly Ethanol Data'!$C311*42/1000</f>
        <v>38.723999999999997</v>
      </c>
      <c r="O57" s="76">
        <f>'Monthly Ethanol Data'!$C323*42/1000</f>
        <v>65.981999999999999</v>
      </c>
      <c r="P57" s="76">
        <f>'Monthly Ethanol Data'!$C335*42/1000</f>
        <v>29.61</v>
      </c>
      <c r="Q57" s="76">
        <f>'Monthly Ethanol Data'!$C347*42/1000</f>
        <v>1.9319999999999999</v>
      </c>
      <c r="R57" s="76">
        <f>'Monthly Ethanol Data'!$C359*42/1000</f>
        <v>21.294</v>
      </c>
      <c r="S57" s="76">
        <f>'Monthly Ethanol Data'!$C371*42/1000</f>
        <v>79.715999999999994</v>
      </c>
      <c r="T57" s="76">
        <f>'Monthly Ethanol Data'!$C383*42/1000</f>
        <v>18.437999999999999</v>
      </c>
      <c r="U57" s="76">
        <f>'Monthly Ethanol Data'!$C395*42/1000</f>
        <v>1.26</v>
      </c>
      <c r="V57" s="76">
        <f>'Monthly Ethanol Data'!$C407*42/1000</f>
        <v>8.9459999999999997</v>
      </c>
      <c r="W57" s="76">
        <f>'Monthly Ethanol Data'!$C419*42/1000</f>
        <v>0</v>
      </c>
      <c r="X57" s="76">
        <f>'Monthly Ethanol Data'!$C431*42/1000</f>
        <v>10.5</v>
      </c>
      <c r="Y57" s="76">
        <f>'Monthly Ethanol Data'!$C443*42/1000</f>
        <v>10.584</v>
      </c>
      <c r="Z57" s="97">
        <f>'Monthly Ethanol Data'!$D455*42/1000</f>
        <v>14.618424424302782</v>
      </c>
      <c r="AA57" s="97">
        <f>'Monthly Ethanol Data'!$D467*42/1000</f>
        <v>34.027762118238186</v>
      </c>
      <c r="AB57" s="97">
        <f>'Monthly Ethanol Data'!$D479*42/1000</f>
        <v>29.542917147680168</v>
      </c>
      <c r="AC57" s="97">
        <f>'Monthly Ethanol Data'!$D491*42/1000</f>
        <v>20.351918286262254</v>
      </c>
      <c r="AD57" s="97">
        <f>'Monthly Ethanol Data'!$D503*42/1000</f>
        <v>5.0209156156252801</v>
      </c>
      <c r="AE57" s="97">
        <f>'Monthly Ethanol Data'!$D515*42/1000</f>
        <v>11.15217656624959</v>
      </c>
      <c r="AF57" s="97">
        <f>'Monthly Ethanol Data'!$D527*42/1000</f>
        <v>11.033948748511392</v>
      </c>
      <c r="AG57" s="77">
        <f t="shared" si="56"/>
        <v>10.412095423202494</v>
      </c>
      <c r="AH57" s="77">
        <f t="shared" si="53"/>
        <v>20.824190846404989</v>
      </c>
      <c r="AI57" s="77">
        <f t="shared" si="54"/>
        <v>20.658570647223364</v>
      </c>
      <c r="AJ57" s="77">
        <f t="shared" si="52"/>
        <v>19.881119023504123</v>
      </c>
      <c r="AK57" s="77">
        <f t="shared" si="52"/>
        <v>20.944319707035675</v>
      </c>
      <c r="AL57" s="77">
        <f t="shared" si="52"/>
        <v>20.36024106790509</v>
      </c>
      <c r="AM57" s="77">
        <f t="shared" si="52"/>
        <v>20.604510143860146</v>
      </c>
      <c r="AN57" s="77">
        <f t="shared" si="52"/>
        <v>20.533688258414649</v>
      </c>
      <c r="AO57" s="77">
        <f t="shared" si="52"/>
        <v>20.489752117905681</v>
      </c>
      <c r="AP57" s="77">
        <f t="shared" si="52"/>
        <v>20.464775640143937</v>
      </c>
      <c r="AQ57" s="77">
        <f t="shared" si="52"/>
        <v>20.58650225902425</v>
      </c>
      <c r="AR57" s="77">
        <f t="shared" si="52"/>
        <v>20.490593445645899</v>
      </c>
      <c r="AS57" s="77">
        <f t="shared" si="52"/>
        <v>20.535845683869734</v>
      </c>
      <c r="AT57" s="77">
        <f t="shared" si="52"/>
        <v>20.513062344226885</v>
      </c>
      <c r="AU57" s="77">
        <f t="shared" si="52"/>
        <v>20.513493829317902</v>
      </c>
      <c r="AV57" s="77">
        <f t="shared" si="52"/>
        <v>20.518155874582138</v>
      </c>
      <c r="AW57" s="77">
        <f t="shared" si="52"/>
        <v>20.527899512416933</v>
      </c>
      <c r="AX57" s="77">
        <f t="shared" si="52"/>
        <v>20.514230235528512</v>
      </c>
      <c r="AY57" s="77">
        <f t="shared" si="52"/>
        <v>20.52169144888272</v>
      </c>
      <c r="AZ57" s="77">
        <f t="shared" si="52"/>
        <v>20.599437832651333</v>
      </c>
      <c r="BA57" s="77">
        <f t="shared" si="52"/>
        <v>20.683246933586808</v>
      </c>
      <c r="BB57" s="77">
        <f t="shared" si="52"/>
        <v>20.766105492188323</v>
      </c>
      <c r="BC57" s="77">
        <f t="shared" si="52"/>
        <v>20.848373914300751</v>
      </c>
      <c r="BD57" s="77">
        <f t="shared" si="52"/>
        <v>20.928822886483772</v>
      </c>
      <c r="BE57" s="77">
        <f t="shared" si="52"/>
        <v>21.012084951692177</v>
      </c>
      <c r="BF57" s="77">
        <f t="shared" si="52"/>
        <v>21.09350092823496</v>
      </c>
      <c r="BV57" s="69" t="s">
        <v>10</v>
      </c>
      <c r="BW57" s="98">
        <f>'[2]D6 Gallon Forecast'!G113/1000000</f>
        <v>1192.7082029999999</v>
      </c>
      <c r="BX57" s="98">
        <f>'[2]D6 Gallon Forecast'!H113/1000000</f>
        <v>1215.577025</v>
      </c>
      <c r="BY57" s="98">
        <f>'[2]D6 Gallon Forecast'!I113/1000000</f>
        <v>1238.3957700000001</v>
      </c>
      <c r="BZ57" s="98">
        <f>'[2]D6 Gallon Forecast'!J113/1000000</f>
        <v>1255.494453</v>
      </c>
      <c r="CA57" s="98">
        <f>'[2]D6 Gallon Forecast'!K113/1000000</f>
        <v>1189.7794570000001</v>
      </c>
      <c r="CB57" s="98">
        <f>'[2]D6 Gallon Forecast'!L113/1000000</f>
        <v>1238.3037959999999</v>
      </c>
      <c r="CC57" s="98">
        <f>'[2]D6 Gallon Forecast'!M113/1000000</f>
        <v>1072.5818859999999</v>
      </c>
      <c r="CD57" s="98">
        <f>'[2]D6 Gallon Forecast'!$N97/1000000</f>
        <v>1207.2264950000001</v>
      </c>
      <c r="CE57" s="98">
        <f>'[2]D6 Gallon Forecast'!$O97/1000000</f>
        <v>1201.063005</v>
      </c>
      <c r="CF57" s="98">
        <f>'[2]D6 Gallon Forecast'!$O97/1000000</f>
        <v>1201.063005</v>
      </c>
      <c r="CG57" s="99">
        <f>'[2]D6 Gallon Forecast'!$O97/1000000</f>
        <v>1201.063005</v>
      </c>
      <c r="CH57" s="99">
        <f>'[2]D6 Gallon Forecast'!$O97/1000000</f>
        <v>1201.063005</v>
      </c>
      <c r="CI57" s="99">
        <f>'[2]D6 Gallon Forecast'!$O97/1000000</f>
        <v>1201.063005</v>
      </c>
      <c r="CJ57" s="99">
        <f>'[2]D6 Gallon Forecast'!$O97/1000000</f>
        <v>1201.063005</v>
      </c>
      <c r="CK57" s="99">
        <f>'[2]D6 Gallon Forecast'!$O97/1000000</f>
        <v>1201.063005</v>
      </c>
      <c r="CL57" s="99">
        <f>'[2]D6 Gallon Forecast'!$O97/1000000</f>
        <v>1201.063005</v>
      </c>
      <c r="CM57" s="99">
        <f>'[2]D6 Gallon Forecast'!$O97/1000000</f>
        <v>1201.063005</v>
      </c>
      <c r="CN57" s="99">
        <f>'[2]D6 Gallon Forecast'!$O97/1000000</f>
        <v>1201.063005</v>
      </c>
      <c r="CO57" s="99">
        <f>'[2]D6 Gallon Forecast'!$O97/1000000</f>
        <v>1201.063005</v>
      </c>
      <c r="CP57" s="99">
        <f>'[2]D6 Gallon Forecast'!$O97/1000000</f>
        <v>1201.063005</v>
      </c>
      <c r="CQ57" s="99">
        <f>'[2]D6 Gallon Forecast'!$O97/1000000</f>
        <v>1201.063005</v>
      </c>
      <c r="CR57" s="99">
        <f>'[2]D6 Gallon Forecast'!$O97/1000000</f>
        <v>1201.063005</v>
      </c>
      <c r="CS57" s="99">
        <f>'[2]D6 Gallon Forecast'!$O97/1000000</f>
        <v>1201.063005</v>
      </c>
      <c r="CT57" s="99">
        <f>'[2]D6 Gallon Forecast'!$O97/1000000</f>
        <v>1201.063005</v>
      </c>
      <c r="CU57" s="99">
        <f>'[2]D6 Gallon Forecast'!$O97/1000000</f>
        <v>1201.063005</v>
      </c>
      <c r="CV57" s="99">
        <f>'[2]D6 Gallon Forecast'!$O97/1000000</f>
        <v>1201.063005</v>
      </c>
      <c r="CW57" s="99">
        <f>'[2]D6 Gallon Forecast'!$O97/1000000</f>
        <v>1201.063005</v>
      </c>
      <c r="CX57" s="99">
        <f>'[2]D6 Gallon Forecast'!$O97/1000000</f>
        <v>1201.063005</v>
      </c>
      <c r="CY57" s="99">
        <f>'[2]D6 Gallon Forecast'!$O97/1000000</f>
        <v>1201.063005</v>
      </c>
    </row>
    <row r="58" spans="1:103">
      <c r="A58" s="69" t="s">
        <v>35</v>
      </c>
      <c r="B58" s="76">
        <f>'Monthly Ethanol Data'!$C168*42/1000</f>
        <v>2.6880000000000002</v>
      </c>
      <c r="C58" s="76">
        <f>'Monthly Ethanol Data'!$C180*42/1000</f>
        <v>0</v>
      </c>
      <c r="D58" s="76">
        <f>'Monthly Ethanol Data'!$C192*42/1000</f>
        <v>0.88200000000000001</v>
      </c>
      <c r="E58" s="76">
        <f>'Monthly Ethanol Data'!$C204*42/1000</f>
        <v>8.4000000000000005E-2</v>
      </c>
      <c r="F58" s="76">
        <f>'Monthly Ethanol Data'!$C216*42/1000</f>
        <v>0.378</v>
      </c>
      <c r="G58" s="76">
        <f>'Monthly Ethanol Data'!$C228*42/1000</f>
        <v>0.378</v>
      </c>
      <c r="H58" s="76">
        <f>'Monthly Ethanol Data'!$C240*42/1000</f>
        <v>0.504</v>
      </c>
      <c r="I58" s="76">
        <f>'Monthly Ethanol Data'!$C252*42/1000</f>
        <v>0.46200000000000002</v>
      </c>
      <c r="J58" s="76">
        <f>'Monthly Ethanol Data'!$C264*42/1000</f>
        <v>0.33600000000000002</v>
      </c>
      <c r="K58" s="76">
        <f>'Monthly Ethanol Data'!$C276*42/1000</f>
        <v>14.154</v>
      </c>
      <c r="L58" s="76">
        <f>'Monthly Ethanol Data'!$C288*42/1000</f>
        <v>3.6120000000000001</v>
      </c>
      <c r="M58" s="76">
        <f>'Monthly Ethanol Data'!$C300*42/1000</f>
        <v>110.754</v>
      </c>
      <c r="N58" s="76">
        <f>'Monthly Ethanol Data'!$C312*42/1000</f>
        <v>64.385999999999996</v>
      </c>
      <c r="O58" s="76">
        <f>'Monthly Ethanol Data'!$C324*42/1000</f>
        <v>61.277999999999999</v>
      </c>
      <c r="P58" s="76">
        <f>'Monthly Ethanol Data'!$C336*42/1000</f>
        <v>40.32</v>
      </c>
      <c r="Q58" s="76">
        <f>'Monthly Ethanol Data'!$C348*42/1000</f>
        <v>1.05</v>
      </c>
      <c r="R58" s="76">
        <f>'Monthly Ethanol Data'!$C360*42/1000</f>
        <v>30.366</v>
      </c>
      <c r="S58" s="76">
        <f>'Monthly Ethanol Data'!$C372*42/1000</f>
        <v>82.992000000000004</v>
      </c>
      <c r="T58" s="76">
        <f>'Monthly Ethanol Data'!$C384*42/1000</f>
        <v>9.7439999999999998</v>
      </c>
      <c r="U58" s="76">
        <f>'Monthly Ethanol Data'!$C396*42/1000</f>
        <v>1.3859999999999999</v>
      </c>
      <c r="V58" s="76">
        <f>'Monthly Ethanol Data'!$C408*42/1000</f>
        <v>20.916</v>
      </c>
      <c r="W58" s="76">
        <f>'Monthly Ethanol Data'!$C420*42/1000</f>
        <v>0</v>
      </c>
      <c r="X58" s="76">
        <f>'Monthly Ethanol Data'!$C432*42/1000</f>
        <v>13.188000000000001</v>
      </c>
      <c r="Y58" s="76">
        <f>'Monthly Ethanol Data'!$C444*42/1000</f>
        <v>11.298</v>
      </c>
      <c r="Z58" s="97">
        <f>'Monthly Ethanol Data'!$D456*42/1000</f>
        <v>14.180519679506315</v>
      </c>
      <c r="AA58" s="97">
        <f>'Monthly Ethanol Data'!$D468*42/1000</f>
        <v>32.532959969990038</v>
      </c>
      <c r="AB58" s="97">
        <f>'Monthly Ethanol Data'!$D480*42/1000</f>
        <v>18.476394102620326</v>
      </c>
      <c r="AC58" s="97">
        <f>'Monthly Ethanol Data'!$D492*42/1000</f>
        <v>17.967227063911174</v>
      </c>
      <c r="AD58" s="97">
        <f>'Monthly Ethanol Data'!$D504*42/1000</f>
        <v>5.3478706077341993</v>
      </c>
      <c r="AE58" s="97">
        <f>'Monthly Ethanol Data'!$D516*42/1000</f>
        <v>12.959012651727209</v>
      </c>
      <c r="AF58" s="97">
        <f>'Monthly Ethanol Data'!$D528*42/1000</f>
        <v>10.887492299385114</v>
      </c>
      <c r="AG58" s="77">
        <f t="shared" si="56"/>
        <v>8.8639747502783006</v>
      </c>
      <c r="AH58" s="77">
        <f t="shared" si="53"/>
        <v>17.727949500556601</v>
      </c>
      <c r="AI58" s="77">
        <f t="shared" si="54"/>
        <v>19.965280179959091</v>
      </c>
      <c r="AJ58" s="77">
        <f t="shared" si="52"/>
        <v>18.977257448088622</v>
      </c>
      <c r="AK58" s="77">
        <f t="shared" si="52"/>
        <v>19.904673958643169</v>
      </c>
      <c r="AL58" s="77">
        <f t="shared" si="52"/>
        <v>18.789648895303252</v>
      </c>
      <c r="AM58" s="77">
        <f t="shared" si="52"/>
        <v>18.986474630561283</v>
      </c>
      <c r="AN58" s="77">
        <f t="shared" si="52"/>
        <v>19.072961996510145</v>
      </c>
      <c r="AO58" s="77">
        <f t="shared" si="52"/>
        <v>19.324667022511083</v>
      </c>
      <c r="AP58" s="77">
        <f t="shared" si="52"/>
        <v>19.146203385821295</v>
      </c>
      <c r="AQ58" s="77">
        <f t="shared" si="52"/>
        <v>19.215685300705786</v>
      </c>
      <c r="AR58" s="77">
        <f t="shared" si="52"/>
        <v>19.063991186141411</v>
      </c>
      <c r="AS58" s="77">
        <f t="shared" si="52"/>
        <v>19.149198467221922</v>
      </c>
      <c r="AT58" s="77">
        <f t="shared" si="52"/>
        <v>19.164701778337943</v>
      </c>
      <c r="AU58" s="77">
        <f t="shared" si="52"/>
        <v>19.179949072480298</v>
      </c>
      <c r="AV58" s="77">
        <f t="shared" si="52"/>
        <v>19.147956023645669</v>
      </c>
      <c r="AW58" s="77">
        <f t="shared" si="52"/>
        <v>19.154705160977471</v>
      </c>
      <c r="AX58" s="77">
        <f t="shared" si="52"/>
        <v>19.141159305565445</v>
      </c>
      <c r="AY58" s="77">
        <f t="shared" si="52"/>
        <v>19.15930210053266</v>
      </c>
      <c r="AZ58" s="77">
        <f t="shared" si="52"/>
        <v>19.234325045274172</v>
      </c>
      <c r="BA58" s="77">
        <f t="shared" si="52"/>
        <v>19.30986724730143</v>
      </c>
      <c r="BB58" s="77">
        <f t="shared" si="52"/>
        <v>19.381993806480288</v>
      </c>
      <c r="BC58" s="77">
        <f t="shared" si="52"/>
        <v>19.460364844653952</v>
      </c>
      <c r="BD58" s="77">
        <f t="shared" si="52"/>
        <v>19.536461077877604</v>
      </c>
      <c r="BE58" s="77">
        <f t="shared" si="52"/>
        <v>19.615665380417525</v>
      </c>
      <c r="BF58" s="77">
        <f t="shared" si="52"/>
        <v>19.691078331658474</v>
      </c>
      <c r="BV58" s="69" t="s">
        <v>11</v>
      </c>
      <c r="BW58" s="98">
        <f>'[2]D6 Gallon Forecast'!G114/1000000</f>
        <v>1077.497118</v>
      </c>
      <c r="BX58" s="98">
        <f>'[2]D6 Gallon Forecast'!H114/1000000</f>
        <v>1162.516905</v>
      </c>
      <c r="BY58" s="98">
        <f>'[2]D6 Gallon Forecast'!I114/1000000</f>
        <v>1130.3434560000001</v>
      </c>
      <c r="BZ58" s="98">
        <f>'[2]D6 Gallon Forecast'!J114/1000000</f>
        <v>1098.7310540000001</v>
      </c>
      <c r="CA58" s="98">
        <f>'[2]D6 Gallon Forecast'!K114/1000000</f>
        <v>1132.5539570000001</v>
      </c>
      <c r="CB58" s="98">
        <f>'[2]D6 Gallon Forecast'!L114/1000000</f>
        <v>1141.726932</v>
      </c>
      <c r="CC58" s="98">
        <f>'[2]D6 Gallon Forecast'!M114/1000000</f>
        <v>889.09639000000004</v>
      </c>
      <c r="CD58" s="98">
        <f>'[2]D6 Gallon Forecast'!$N98/1000000</f>
        <v>1066.4373350000001</v>
      </c>
      <c r="CE58" s="98">
        <f>'[2]D6 Gallon Forecast'!$O98/1000000</f>
        <v>1119.1683009999999</v>
      </c>
      <c r="CF58" s="98">
        <f>'[2]D6 Gallon Forecast'!$O98/1000000</f>
        <v>1119.1683009999999</v>
      </c>
      <c r="CG58" s="99">
        <f>'[2]D6 Gallon Forecast'!$O98/1000000</f>
        <v>1119.1683009999999</v>
      </c>
      <c r="CH58" s="99">
        <f>'[2]D6 Gallon Forecast'!$O98/1000000</f>
        <v>1119.1683009999999</v>
      </c>
      <c r="CI58" s="99">
        <f>'[2]D6 Gallon Forecast'!$O98/1000000</f>
        <v>1119.1683009999999</v>
      </c>
      <c r="CJ58" s="99">
        <f>'[2]D6 Gallon Forecast'!$O98/1000000</f>
        <v>1119.1683009999999</v>
      </c>
      <c r="CK58" s="99">
        <f>'[2]D6 Gallon Forecast'!$O98/1000000</f>
        <v>1119.1683009999999</v>
      </c>
      <c r="CL58" s="99">
        <f>'[2]D6 Gallon Forecast'!$O98/1000000</f>
        <v>1119.1683009999999</v>
      </c>
      <c r="CM58" s="99">
        <f>'[2]D6 Gallon Forecast'!$O98/1000000</f>
        <v>1119.1683009999999</v>
      </c>
      <c r="CN58" s="99">
        <f>'[2]D6 Gallon Forecast'!$O98/1000000</f>
        <v>1119.1683009999999</v>
      </c>
      <c r="CO58" s="99">
        <f>'[2]D6 Gallon Forecast'!$O98/1000000</f>
        <v>1119.1683009999999</v>
      </c>
      <c r="CP58" s="99">
        <f>'[2]D6 Gallon Forecast'!$O98/1000000</f>
        <v>1119.1683009999999</v>
      </c>
      <c r="CQ58" s="99">
        <f>'[2]D6 Gallon Forecast'!$O98/1000000</f>
        <v>1119.1683009999999</v>
      </c>
      <c r="CR58" s="99">
        <f>'[2]D6 Gallon Forecast'!$O98/1000000</f>
        <v>1119.1683009999999</v>
      </c>
      <c r="CS58" s="99">
        <f>'[2]D6 Gallon Forecast'!$O98/1000000</f>
        <v>1119.1683009999999</v>
      </c>
      <c r="CT58" s="99">
        <f>'[2]D6 Gallon Forecast'!$O98/1000000</f>
        <v>1119.1683009999999</v>
      </c>
      <c r="CU58" s="99">
        <f>'[2]D6 Gallon Forecast'!$O98/1000000</f>
        <v>1119.1683009999999</v>
      </c>
      <c r="CV58" s="99">
        <f>'[2]D6 Gallon Forecast'!$O98/1000000</f>
        <v>1119.1683009999999</v>
      </c>
      <c r="CW58" s="99">
        <f>'[2]D6 Gallon Forecast'!$O98/1000000</f>
        <v>1119.1683009999999</v>
      </c>
      <c r="CX58" s="99">
        <f>'[2]D6 Gallon Forecast'!$O98/1000000</f>
        <v>1119.1683009999999</v>
      </c>
      <c r="CY58" s="99">
        <f>'[2]D6 Gallon Forecast'!$O98/1000000</f>
        <v>1119.1683009999999</v>
      </c>
    </row>
    <row r="59" spans="1:103">
      <c r="A59" s="69" t="s">
        <v>36</v>
      </c>
      <c r="B59" s="76">
        <f>'Monthly Ethanol Data'!$C169*42/1000</f>
        <v>2.31</v>
      </c>
      <c r="C59" s="76">
        <f>'Monthly Ethanol Data'!$C181*42/1000</f>
        <v>0</v>
      </c>
      <c r="D59" s="76">
        <f>'Monthly Ethanol Data'!$C193*42/1000</f>
        <v>0</v>
      </c>
      <c r="E59" s="76">
        <f>'Monthly Ethanol Data'!$C205*42/1000</f>
        <v>0.21</v>
      </c>
      <c r="F59" s="76">
        <f>'Monthly Ethanol Data'!$C217*42/1000</f>
        <v>0.33600000000000002</v>
      </c>
      <c r="G59" s="76">
        <f>'Monthly Ethanol Data'!$C229*42/1000</f>
        <v>0.42</v>
      </c>
      <c r="H59" s="76">
        <f>'Monthly Ethanol Data'!$C241*42/1000</f>
        <v>0.79800000000000004</v>
      </c>
      <c r="I59" s="76">
        <f>'Monthly Ethanol Data'!$C253*42/1000</f>
        <v>0.54600000000000004</v>
      </c>
      <c r="J59" s="76">
        <f>'Monthly Ethanol Data'!$C265*42/1000</f>
        <v>0.42</v>
      </c>
      <c r="K59" s="76">
        <f>'Monthly Ethanol Data'!$C277*42/1000</f>
        <v>28.602</v>
      </c>
      <c r="L59" s="76">
        <f>'Monthly Ethanol Data'!$C289*42/1000</f>
        <v>8.4420000000000002</v>
      </c>
      <c r="M59" s="76">
        <f>'Monthly Ethanol Data'!$C301*42/1000</f>
        <v>130.28399999999999</v>
      </c>
      <c r="N59" s="76">
        <f>'Monthly Ethanol Data'!$C313*42/1000</f>
        <v>66.611999999999995</v>
      </c>
      <c r="O59" s="76">
        <f>'Monthly Ethanol Data'!$C325*42/1000</f>
        <v>81.102000000000004</v>
      </c>
      <c r="P59" s="76">
        <f>'Monthly Ethanol Data'!$C337*42/1000</f>
        <v>41.286000000000001</v>
      </c>
      <c r="Q59" s="76">
        <f>'Monthly Ethanol Data'!$C349*42/1000</f>
        <v>0.504</v>
      </c>
      <c r="R59" s="76">
        <f>'Monthly Ethanol Data'!$C361*42/1000</f>
        <v>47.04</v>
      </c>
      <c r="S59" s="76">
        <f>'Monthly Ethanol Data'!$C373*42/1000</f>
        <v>51.828000000000003</v>
      </c>
      <c r="T59" s="76">
        <f>'Monthly Ethanol Data'!$C385*42/1000</f>
        <v>2.7719999999999998</v>
      </c>
      <c r="U59" s="76">
        <f>'Monthly Ethanol Data'!$C397*42/1000</f>
        <v>12.263999999999999</v>
      </c>
      <c r="V59" s="76">
        <f>'Monthly Ethanol Data'!$C409*42/1000</f>
        <v>9.5760000000000005</v>
      </c>
      <c r="W59" s="76">
        <f>'Monthly Ethanol Data'!$C421*42/1000</f>
        <v>8.2739999999999991</v>
      </c>
      <c r="X59" s="76">
        <f>'Monthly Ethanol Data'!$C433*42/1000</f>
        <v>10.71</v>
      </c>
      <c r="Y59" s="76">
        <f>'Monthly Ethanol Data'!$C445*42/1000</f>
        <v>10.752000000000001</v>
      </c>
      <c r="Z59" s="97">
        <f>'Monthly Ethanol Data'!$D457*42/1000</f>
        <v>41.486528275668945</v>
      </c>
      <c r="AA59" s="97">
        <f>'Monthly Ethanol Data'!$D469*42/1000</f>
        <v>23.177620125693124</v>
      </c>
      <c r="AB59" s="97">
        <f>'Monthly Ethanol Data'!$D481*42/1000</f>
        <v>54.034239355842558</v>
      </c>
      <c r="AC59" s="97">
        <f>'Monthly Ethanol Data'!$D493*42/1000</f>
        <v>12.720025307694545</v>
      </c>
      <c r="AD59" s="97">
        <f>'Monthly Ethanol Data'!$D505*42/1000</f>
        <v>18.139542411296461</v>
      </c>
      <c r="AE59" s="97">
        <f>'Monthly Ethanol Data'!$D517*42/1000</f>
        <v>25.69282260425021</v>
      </c>
      <c r="AF59" s="97">
        <f>'Monthly Ethanol Data'!$D529*42/1000</f>
        <v>16.216148730970367</v>
      </c>
      <c r="AG59" s="77">
        <f t="shared" si="56"/>
        <v>17.123871570828801</v>
      </c>
      <c r="AH59" s="77">
        <f t="shared" ref="AH59:AL59" si="57">AH60-SUM(AH48:AH58)</f>
        <v>34.247743141657651</v>
      </c>
      <c r="AI59" s="77">
        <f t="shared" si="57"/>
        <v>33.244065325480307</v>
      </c>
      <c r="AJ59" s="77">
        <f t="shared" si="57"/>
        <v>39.057698648050518</v>
      </c>
      <c r="AK59" s="77">
        <f t="shared" si="57"/>
        <v>36.731259780244955</v>
      </c>
      <c r="AL59" s="77">
        <f t="shared" si="57"/>
        <v>35.229066631277306</v>
      </c>
      <c r="AM59" s="77">
        <f t="shared" ref="AM59:AY59" si="58">AM60-SUM(AM48:AM58)</f>
        <v>36.400016089851448</v>
      </c>
      <c r="AN59" s="77">
        <f t="shared" si="58"/>
        <v>35.70196670534213</v>
      </c>
      <c r="AO59" s="77">
        <f t="shared" si="58"/>
        <v>36.132421294980901</v>
      </c>
      <c r="AP59" s="77">
        <f t="shared" si="58"/>
        <v>36.624001570953226</v>
      </c>
      <c r="AQ59" s="77">
        <f t="shared" si="58"/>
        <v>36.038946100339359</v>
      </c>
      <c r="AR59" s="77">
        <f t="shared" si="58"/>
        <v>36.017494458481025</v>
      </c>
      <c r="AS59" s="77">
        <f t="shared" si="58"/>
        <v>36.179470352293436</v>
      </c>
      <c r="AT59" s="77">
        <f t="shared" si="58"/>
        <v>36.102966026019317</v>
      </c>
      <c r="AU59" s="77">
        <f t="shared" si="58"/>
        <v>36.198466755409612</v>
      </c>
      <c r="AV59" s="77">
        <f t="shared" si="58"/>
        <v>36.192575701617301</v>
      </c>
      <c r="AW59" s="77">
        <f t="shared" si="58"/>
        <v>36.107468738508544</v>
      </c>
      <c r="AX59" s="77">
        <f t="shared" si="58"/>
        <v>36.138194658764093</v>
      </c>
      <c r="AY59" s="77">
        <f t="shared" si="58"/>
        <v>36.156189514769608</v>
      </c>
      <c r="AZ59" s="77">
        <f t="shared" ref="AZ59:BF59" si="59">AZ60-SUM(AZ48:AZ58)</f>
        <v>36.292526113568016</v>
      </c>
      <c r="BA59" s="77">
        <f t="shared" si="59"/>
        <v>36.447847706404303</v>
      </c>
      <c r="BB59" s="77">
        <f t="shared" si="59"/>
        <v>36.582253833723854</v>
      </c>
      <c r="BC59" s="77">
        <f t="shared" si="59"/>
        <v>36.719972537854517</v>
      </c>
      <c r="BD59" s="77">
        <f t="shared" si="59"/>
        <v>36.872880585942369</v>
      </c>
      <c r="BE59" s="77">
        <f t="shared" si="59"/>
        <v>37.018166797474635</v>
      </c>
      <c r="BF59" s="77">
        <f t="shared" si="59"/>
        <v>37.161485027522332</v>
      </c>
      <c r="BV59" s="69" t="s">
        <v>12</v>
      </c>
      <c r="BW59" s="98">
        <f>'[2]D6 Gallon Forecast'!G115/1000000</f>
        <v>1200.977243</v>
      </c>
      <c r="BX59" s="98">
        <f>'[2]D6 Gallon Forecast'!H115/1000000</f>
        <v>1221.7900609999999</v>
      </c>
      <c r="BY59" s="98">
        <f>'[2]D6 Gallon Forecast'!I115/1000000</f>
        <v>1262.8597970000001</v>
      </c>
      <c r="BZ59" s="98">
        <f>'[2]D6 Gallon Forecast'!J115/1000000</f>
        <v>1221.0284380000001</v>
      </c>
      <c r="CA59" s="98">
        <f>'[2]D6 Gallon Forecast'!K115/1000000</f>
        <v>1184.062717</v>
      </c>
      <c r="CB59" s="98">
        <f>'[2]D6 Gallon Forecast'!L115/1000000</f>
        <v>1112.164188</v>
      </c>
      <c r="CC59" s="98">
        <f>'[2]D6 Gallon Forecast'!M115/1000000</f>
        <v>1175.862799</v>
      </c>
      <c r="CD59" s="98">
        <f>'[2]D6 Gallon Forecast'!$N99/1000000</f>
        <v>1261.073527</v>
      </c>
      <c r="CE59" s="98">
        <f>'[2]D6 Gallon Forecast'!$O99/1000000</f>
        <v>1206.9455989999999</v>
      </c>
      <c r="CF59" s="98">
        <f>'[2]D6 Gallon Forecast'!$O99/1000000</f>
        <v>1206.9455989999999</v>
      </c>
      <c r="CG59" s="99">
        <f>'[2]D6 Gallon Forecast'!$O99/1000000</f>
        <v>1206.9455989999999</v>
      </c>
      <c r="CH59" s="99">
        <f>'[2]D6 Gallon Forecast'!$O99/1000000</f>
        <v>1206.9455989999999</v>
      </c>
      <c r="CI59" s="99">
        <f>'[2]D6 Gallon Forecast'!$O99/1000000</f>
        <v>1206.9455989999999</v>
      </c>
      <c r="CJ59" s="99">
        <f>'[2]D6 Gallon Forecast'!$O99/1000000</f>
        <v>1206.9455989999999</v>
      </c>
      <c r="CK59" s="99">
        <f>'[2]D6 Gallon Forecast'!$O99/1000000</f>
        <v>1206.9455989999999</v>
      </c>
      <c r="CL59" s="99">
        <f>'[2]D6 Gallon Forecast'!$O99/1000000</f>
        <v>1206.9455989999999</v>
      </c>
      <c r="CM59" s="99">
        <f>'[2]D6 Gallon Forecast'!$O99/1000000</f>
        <v>1206.9455989999999</v>
      </c>
      <c r="CN59" s="99">
        <f>'[2]D6 Gallon Forecast'!$O99/1000000</f>
        <v>1206.9455989999999</v>
      </c>
      <c r="CO59" s="99">
        <f>'[2]D6 Gallon Forecast'!$O99/1000000</f>
        <v>1206.9455989999999</v>
      </c>
      <c r="CP59" s="99">
        <f>'[2]D6 Gallon Forecast'!$O99/1000000</f>
        <v>1206.9455989999999</v>
      </c>
      <c r="CQ59" s="99">
        <f>'[2]D6 Gallon Forecast'!$O99/1000000</f>
        <v>1206.9455989999999</v>
      </c>
      <c r="CR59" s="99">
        <f>'[2]D6 Gallon Forecast'!$O99/1000000</f>
        <v>1206.9455989999999</v>
      </c>
      <c r="CS59" s="99">
        <f>'[2]D6 Gallon Forecast'!$O99/1000000</f>
        <v>1206.9455989999999</v>
      </c>
      <c r="CT59" s="99">
        <f>'[2]D6 Gallon Forecast'!$O99/1000000</f>
        <v>1206.9455989999999</v>
      </c>
      <c r="CU59" s="99">
        <f>'[2]D6 Gallon Forecast'!$O99/1000000</f>
        <v>1206.9455989999999</v>
      </c>
      <c r="CV59" s="99">
        <f>'[2]D6 Gallon Forecast'!$O99/1000000</f>
        <v>1206.9455989999999</v>
      </c>
      <c r="CW59" s="99">
        <f>'[2]D6 Gallon Forecast'!$O99/1000000</f>
        <v>1206.9455989999999</v>
      </c>
      <c r="CX59" s="99">
        <f>'[2]D6 Gallon Forecast'!$O99/1000000</f>
        <v>1206.9455989999999</v>
      </c>
      <c r="CY59" s="99">
        <f>'[2]D6 Gallon Forecast'!$O99/1000000</f>
        <v>1206.9455989999999</v>
      </c>
    </row>
    <row r="60" spans="1:103" ht="12" thickBot="1">
      <c r="A60" s="69" t="s">
        <v>138</v>
      </c>
      <c r="B60" s="76">
        <f t="shared" ref="B60:AF60" si="60">SUM(B48:B59)</f>
        <v>20.285999999999998</v>
      </c>
      <c r="C60" s="76">
        <f t="shared" si="60"/>
        <v>11.969999999999999</v>
      </c>
      <c r="D60" s="76">
        <f t="shared" si="60"/>
        <v>9.1980000000000004</v>
      </c>
      <c r="E60" s="76">
        <f t="shared" si="60"/>
        <v>2.6459999999999999</v>
      </c>
      <c r="F60" s="76">
        <f t="shared" si="60"/>
        <v>2.94</v>
      </c>
      <c r="G60" s="76">
        <f t="shared" si="60"/>
        <v>4.1160000000000005</v>
      </c>
      <c r="H60" s="76">
        <f t="shared" si="60"/>
        <v>11.213999999999999</v>
      </c>
      <c r="I60" s="76">
        <f t="shared" si="60"/>
        <v>10.751999999999999</v>
      </c>
      <c r="J60" s="76">
        <f t="shared" si="60"/>
        <v>12.893999999999998</v>
      </c>
      <c r="K60" s="76">
        <f t="shared" si="60"/>
        <v>96.222000000000008</v>
      </c>
      <c r="L60" s="76">
        <f t="shared" si="60"/>
        <v>108.31799999999998</v>
      </c>
      <c r="M60" s="76">
        <f t="shared" si="60"/>
        <v>527.35199999999998</v>
      </c>
      <c r="N60" s="76">
        <f t="shared" si="60"/>
        <v>635.88</v>
      </c>
      <c r="O60" s="76">
        <f t="shared" si="60"/>
        <v>462.41999999999996</v>
      </c>
      <c r="P60" s="76">
        <f t="shared" si="60"/>
        <v>321.59399999999999</v>
      </c>
      <c r="Q60" s="76">
        <f t="shared" si="60"/>
        <v>51.533999999999999</v>
      </c>
      <c r="R60" s="76">
        <f t="shared" si="60"/>
        <v>172.78799999999998</v>
      </c>
      <c r="S60" s="76">
        <f t="shared" si="60"/>
        <v>494.13</v>
      </c>
      <c r="T60" s="76">
        <f t="shared" si="60"/>
        <v>376.99200000000002</v>
      </c>
      <c r="U60" s="76">
        <f t="shared" si="60"/>
        <v>74.676000000000002</v>
      </c>
      <c r="V60" s="76">
        <f t="shared" si="60"/>
        <v>91.518000000000001</v>
      </c>
      <c r="W60" s="76">
        <f t="shared" si="60"/>
        <v>44.478000000000002</v>
      </c>
      <c r="X60" s="76">
        <f t="shared" si="60"/>
        <v>82.152000000000015</v>
      </c>
      <c r="Y60" s="76">
        <f t="shared" si="60"/>
        <v>75.893999999999991</v>
      </c>
      <c r="Z60" s="97">
        <f t="shared" si="60"/>
        <v>261.54207866519079</v>
      </c>
      <c r="AA60" s="97">
        <f t="shared" si="60"/>
        <v>290.73041123682771</v>
      </c>
      <c r="AB60" s="97">
        <f t="shared" si="60"/>
        <v>349.09113860849942</v>
      </c>
      <c r="AC60" s="97">
        <f t="shared" si="60"/>
        <v>216.62764958089082</v>
      </c>
      <c r="AD60" s="97">
        <f t="shared" si="60"/>
        <v>100.64890809522137</v>
      </c>
      <c r="AE60" s="97">
        <f t="shared" si="60"/>
        <v>117.45178606086164</v>
      </c>
      <c r="AF60" s="97">
        <f t="shared" si="60"/>
        <v>141.80923635260839</v>
      </c>
      <c r="AG60" s="77">
        <f t="shared" ref="AG60:BF60" si="61">AG5</f>
        <v>125</v>
      </c>
      <c r="AH60" s="77">
        <f t="shared" si="61"/>
        <v>250</v>
      </c>
      <c r="AI60" s="77">
        <f t="shared" si="61"/>
        <v>250</v>
      </c>
      <c r="AJ60" s="77">
        <f t="shared" si="61"/>
        <v>250</v>
      </c>
      <c r="AK60" s="77">
        <f t="shared" si="61"/>
        <v>250</v>
      </c>
      <c r="AL60" s="77">
        <f t="shared" si="61"/>
        <v>250</v>
      </c>
      <c r="AM60" s="77">
        <f t="shared" si="61"/>
        <v>250</v>
      </c>
      <c r="AN60" s="77">
        <f t="shared" si="61"/>
        <v>250</v>
      </c>
      <c r="AO60" s="77">
        <f t="shared" si="61"/>
        <v>250</v>
      </c>
      <c r="AP60" s="77">
        <f t="shared" si="61"/>
        <v>250</v>
      </c>
      <c r="AQ60" s="77">
        <f t="shared" si="61"/>
        <v>250</v>
      </c>
      <c r="AR60" s="77">
        <f t="shared" si="61"/>
        <v>250</v>
      </c>
      <c r="AS60" s="77">
        <f t="shared" si="61"/>
        <v>250</v>
      </c>
      <c r="AT60" s="77">
        <f t="shared" si="61"/>
        <v>250</v>
      </c>
      <c r="AU60" s="77">
        <f t="shared" si="61"/>
        <v>250</v>
      </c>
      <c r="AV60" s="77">
        <f t="shared" si="61"/>
        <v>250</v>
      </c>
      <c r="AW60" s="77">
        <f t="shared" si="61"/>
        <v>250</v>
      </c>
      <c r="AX60" s="77">
        <f t="shared" si="61"/>
        <v>250</v>
      </c>
      <c r="AY60" s="77">
        <f t="shared" si="61"/>
        <v>250</v>
      </c>
      <c r="AZ60" s="77">
        <f t="shared" si="61"/>
        <v>251</v>
      </c>
      <c r="BA60" s="77">
        <f t="shared" si="61"/>
        <v>252</v>
      </c>
      <c r="BB60" s="77">
        <f t="shared" si="61"/>
        <v>253</v>
      </c>
      <c r="BC60" s="77">
        <f t="shared" si="61"/>
        <v>254</v>
      </c>
      <c r="BD60" s="77">
        <f t="shared" si="61"/>
        <v>255</v>
      </c>
      <c r="BE60" s="77">
        <f t="shared" si="61"/>
        <v>256</v>
      </c>
      <c r="BF60" s="77">
        <f t="shared" si="61"/>
        <v>257</v>
      </c>
      <c r="BV60" s="69" t="s">
        <v>13</v>
      </c>
      <c r="BW60" s="98">
        <f>'[2]D6 Gallon Forecast'!G116/1000000</f>
        <v>1155.9917150000001</v>
      </c>
      <c r="BX60" s="98">
        <f>'[2]D6 Gallon Forecast'!H116/1000000</f>
        <v>1155.6655310000001</v>
      </c>
      <c r="BY60" s="98">
        <f>'[2]D6 Gallon Forecast'!I116/1000000</f>
        <v>1161.6258869999999</v>
      </c>
      <c r="BZ60" s="98">
        <f>'[2]D6 Gallon Forecast'!J116/1000000</f>
        <v>1221.2483440000001</v>
      </c>
      <c r="CA60" s="98">
        <f>'[2]D6 Gallon Forecast'!K116/1000000</f>
        <v>1237.2467349999999</v>
      </c>
      <c r="CB60" s="98">
        <f>'[2]D6 Gallon Forecast'!L116/1000000</f>
        <v>628.05049199999996</v>
      </c>
      <c r="CC60" s="98">
        <f>'[2]D6 Gallon Forecast'!M116/1000000</f>
        <v>1121.341351</v>
      </c>
      <c r="CD60" s="98">
        <f>'[2]D6 Gallon Forecast'!$N100/1000000</f>
        <v>1127.6889839999999</v>
      </c>
      <c r="CE60" s="98">
        <f>'[2]D6 Gallon Forecast'!$O100/1000000</f>
        <v>1139.6747769999999</v>
      </c>
      <c r="CF60" s="98">
        <f>'[2]D6 Gallon Forecast'!$O100/1000000</f>
        <v>1139.6747769999999</v>
      </c>
      <c r="CG60" s="99">
        <f>'[2]D6 Gallon Forecast'!$O100/1000000</f>
        <v>1139.6747769999999</v>
      </c>
      <c r="CH60" s="99">
        <f>'[2]D6 Gallon Forecast'!$O100/1000000</f>
        <v>1139.6747769999999</v>
      </c>
      <c r="CI60" s="99">
        <f>'[2]D6 Gallon Forecast'!$O100/1000000</f>
        <v>1139.6747769999999</v>
      </c>
      <c r="CJ60" s="99">
        <f>'[2]D6 Gallon Forecast'!$O100/1000000</f>
        <v>1139.6747769999999</v>
      </c>
      <c r="CK60" s="99">
        <f>'[2]D6 Gallon Forecast'!$O100/1000000</f>
        <v>1139.6747769999999</v>
      </c>
      <c r="CL60" s="99">
        <f>'[2]D6 Gallon Forecast'!$O100/1000000</f>
        <v>1139.6747769999999</v>
      </c>
      <c r="CM60" s="99">
        <f>'[2]D6 Gallon Forecast'!$O100/1000000</f>
        <v>1139.6747769999999</v>
      </c>
      <c r="CN60" s="99">
        <f>'[2]D6 Gallon Forecast'!$O100/1000000</f>
        <v>1139.6747769999999</v>
      </c>
      <c r="CO60" s="99">
        <f>'[2]D6 Gallon Forecast'!$O100/1000000</f>
        <v>1139.6747769999999</v>
      </c>
      <c r="CP60" s="99">
        <f>'[2]D6 Gallon Forecast'!$O100/1000000</f>
        <v>1139.6747769999999</v>
      </c>
      <c r="CQ60" s="99">
        <f>'[2]D6 Gallon Forecast'!$O100/1000000</f>
        <v>1139.6747769999999</v>
      </c>
      <c r="CR60" s="99">
        <f>'[2]D6 Gallon Forecast'!$O100/1000000</f>
        <v>1139.6747769999999</v>
      </c>
      <c r="CS60" s="99">
        <f>'[2]D6 Gallon Forecast'!$O100/1000000</f>
        <v>1139.6747769999999</v>
      </c>
      <c r="CT60" s="99">
        <f>'[2]D6 Gallon Forecast'!$O100/1000000</f>
        <v>1139.6747769999999</v>
      </c>
      <c r="CU60" s="99">
        <f>'[2]D6 Gallon Forecast'!$O100/1000000</f>
        <v>1139.6747769999999</v>
      </c>
      <c r="CV60" s="99">
        <f>'[2]D6 Gallon Forecast'!$O100/1000000</f>
        <v>1139.6747769999999</v>
      </c>
      <c r="CW60" s="99">
        <f>'[2]D6 Gallon Forecast'!$O100/1000000</f>
        <v>1139.6747769999999</v>
      </c>
      <c r="CX60" s="99">
        <f>'[2]D6 Gallon Forecast'!$O100/1000000</f>
        <v>1139.6747769999999</v>
      </c>
      <c r="CY60" s="99">
        <f>'[2]D6 Gallon Forecast'!$O100/1000000</f>
        <v>1139.6747769999999</v>
      </c>
    </row>
    <row r="61" spans="1:103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V61" s="69" t="s">
        <v>14</v>
      </c>
      <c r="BW61" s="98">
        <f>'[2]D6 Gallon Forecast'!G117/1000000</f>
        <v>1199.765889</v>
      </c>
      <c r="BX61" s="98">
        <f>'[2]D6 Gallon Forecast'!H117/1000000</f>
        <v>1234.93614</v>
      </c>
      <c r="BY61" s="98">
        <f>'[2]D6 Gallon Forecast'!I117/1000000</f>
        <v>1254.11202</v>
      </c>
      <c r="BZ61" s="98">
        <f>'[2]D6 Gallon Forecast'!J117/1000000</f>
        <v>1284.250164</v>
      </c>
      <c r="CA61" s="98">
        <f>'[2]D6 Gallon Forecast'!K117/1000000</f>
        <v>1276.7090470000001</v>
      </c>
      <c r="CB61" s="98">
        <f>'[2]D6 Gallon Forecast'!L117/1000000</f>
        <v>835.52162999999996</v>
      </c>
      <c r="CC61" s="98">
        <f>'[2]D6 Gallon Forecast'!M117/1000000</f>
        <v>1249.1460480000001</v>
      </c>
      <c r="CD61" s="98">
        <f>'[2]D6 Gallon Forecast'!$N101/1000000</f>
        <v>1222.880699</v>
      </c>
      <c r="CE61" s="98">
        <f>'[2]D6 Gallon Forecast'!$O101/1000000</f>
        <v>1255.590416</v>
      </c>
      <c r="CF61" s="98">
        <f>'[2]D6 Gallon Forecast'!$O101/1000000</f>
        <v>1255.590416</v>
      </c>
      <c r="CG61" s="99">
        <f>'[2]D6 Gallon Forecast'!$O101/1000000</f>
        <v>1255.590416</v>
      </c>
      <c r="CH61" s="99">
        <f>'[2]D6 Gallon Forecast'!$O101/1000000</f>
        <v>1255.590416</v>
      </c>
      <c r="CI61" s="99">
        <f>'[2]D6 Gallon Forecast'!$O101/1000000</f>
        <v>1255.590416</v>
      </c>
      <c r="CJ61" s="99">
        <f>'[2]D6 Gallon Forecast'!$O101/1000000</f>
        <v>1255.590416</v>
      </c>
      <c r="CK61" s="99">
        <f>'[2]D6 Gallon Forecast'!$O101/1000000</f>
        <v>1255.590416</v>
      </c>
      <c r="CL61" s="99">
        <f>'[2]D6 Gallon Forecast'!$O101/1000000</f>
        <v>1255.590416</v>
      </c>
      <c r="CM61" s="99">
        <f>'[2]D6 Gallon Forecast'!$O101/1000000</f>
        <v>1255.590416</v>
      </c>
      <c r="CN61" s="99">
        <f>'[2]D6 Gallon Forecast'!$O101/1000000</f>
        <v>1255.590416</v>
      </c>
      <c r="CO61" s="99">
        <f>'[2]D6 Gallon Forecast'!$O101/1000000</f>
        <v>1255.590416</v>
      </c>
      <c r="CP61" s="99">
        <f>'[2]D6 Gallon Forecast'!$O101/1000000</f>
        <v>1255.590416</v>
      </c>
      <c r="CQ61" s="99">
        <f>'[2]D6 Gallon Forecast'!$O101/1000000</f>
        <v>1255.590416</v>
      </c>
      <c r="CR61" s="99">
        <f>'[2]D6 Gallon Forecast'!$O101/1000000</f>
        <v>1255.590416</v>
      </c>
      <c r="CS61" s="99">
        <f>'[2]D6 Gallon Forecast'!$O101/1000000</f>
        <v>1255.590416</v>
      </c>
      <c r="CT61" s="99">
        <f>'[2]D6 Gallon Forecast'!$O101/1000000</f>
        <v>1255.590416</v>
      </c>
      <c r="CU61" s="99">
        <f>'[2]D6 Gallon Forecast'!$O101/1000000</f>
        <v>1255.590416</v>
      </c>
      <c r="CV61" s="99">
        <f>'[2]D6 Gallon Forecast'!$O101/1000000</f>
        <v>1255.590416</v>
      </c>
      <c r="CW61" s="99">
        <f>'[2]D6 Gallon Forecast'!$O101/1000000</f>
        <v>1255.590416</v>
      </c>
      <c r="CX61" s="99">
        <f>'[2]D6 Gallon Forecast'!$O101/1000000</f>
        <v>1255.590416</v>
      </c>
      <c r="CY61" s="99">
        <f>'[2]D6 Gallon Forecast'!$O101/1000000</f>
        <v>1255.590416</v>
      </c>
    </row>
    <row r="62" spans="1:103" ht="12" thickBot="1">
      <c r="A62" s="83" t="s">
        <v>148</v>
      </c>
      <c r="BV62" s="69" t="s">
        <v>15</v>
      </c>
      <c r="BW62" s="98">
        <f>'[2]D6 Gallon Forecast'!G118/1000000</f>
        <v>1238.305509</v>
      </c>
      <c r="BX62" s="98">
        <f>'[2]D6 Gallon Forecast'!H118/1000000</f>
        <v>1269.14759</v>
      </c>
      <c r="BY62" s="98">
        <f>'[2]D6 Gallon Forecast'!I118/1000000</f>
        <v>1240.9091679999999</v>
      </c>
      <c r="BZ62" s="98">
        <f>'[2]D6 Gallon Forecast'!J118/1000000</f>
        <v>1247.223444</v>
      </c>
      <c r="CA62" s="98">
        <f>'[2]D6 Gallon Forecast'!K118/1000000</f>
        <v>1233.4050279999999</v>
      </c>
      <c r="CB62" s="98">
        <f>'[2]D6 Gallon Forecast'!L118/1000000</f>
        <v>1065.2603120000001</v>
      </c>
      <c r="CC62" s="98">
        <f>'[2]D6 Gallon Forecast'!M118/1000000</f>
        <v>1253.638702</v>
      </c>
      <c r="CD62" s="98">
        <f>'[2]D6 Gallon Forecast'!$N102/1000000</f>
        <v>1286.404994</v>
      </c>
      <c r="CE62" s="98">
        <f>'[2]D6 Gallon Forecast'!$O102/1000000</f>
        <v>1274.1131419999999</v>
      </c>
      <c r="CF62" s="98">
        <f>'[2]D6 Gallon Forecast'!$O102/1000000</f>
        <v>1274.1131419999999</v>
      </c>
      <c r="CG62" s="99">
        <f>'[2]D6 Gallon Forecast'!$O102/1000000</f>
        <v>1274.1131419999999</v>
      </c>
      <c r="CH62" s="99">
        <f>'[2]D6 Gallon Forecast'!$O102/1000000</f>
        <v>1274.1131419999999</v>
      </c>
      <c r="CI62" s="99">
        <f>'[2]D6 Gallon Forecast'!$O102/1000000</f>
        <v>1274.1131419999999</v>
      </c>
      <c r="CJ62" s="99">
        <f>'[2]D6 Gallon Forecast'!$O102/1000000</f>
        <v>1274.1131419999999</v>
      </c>
      <c r="CK62" s="99">
        <f>'[2]D6 Gallon Forecast'!$O102/1000000</f>
        <v>1274.1131419999999</v>
      </c>
      <c r="CL62" s="99">
        <f>'[2]D6 Gallon Forecast'!$O102/1000000</f>
        <v>1274.1131419999999</v>
      </c>
      <c r="CM62" s="99">
        <f>'[2]D6 Gallon Forecast'!$O102/1000000</f>
        <v>1274.1131419999999</v>
      </c>
      <c r="CN62" s="99">
        <f>'[2]D6 Gallon Forecast'!$O102/1000000</f>
        <v>1274.1131419999999</v>
      </c>
      <c r="CO62" s="99">
        <f>'[2]D6 Gallon Forecast'!$O102/1000000</f>
        <v>1274.1131419999999</v>
      </c>
      <c r="CP62" s="99">
        <f>'[2]D6 Gallon Forecast'!$O102/1000000</f>
        <v>1274.1131419999999</v>
      </c>
      <c r="CQ62" s="99">
        <f>'[2]D6 Gallon Forecast'!$O102/1000000</f>
        <v>1274.1131419999999</v>
      </c>
      <c r="CR62" s="99">
        <f>'[2]D6 Gallon Forecast'!$O102/1000000</f>
        <v>1274.1131419999999</v>
      </c>
      <c r="CS62" s="99">
        <f>'[2]D6 Gallon Forecast'!$O102/1000000</f>
        <v>1274.1131419999999</v>
      </c>
      <c r="CT62" s="99">
        <f>'[2]D6 Gallon Forecast'!$O102/1000000</f>
        <v>1274.1131419999999</v>
      </c>
      <c r="CU62" s="99">
        <f>'[2]D6 Gallon Forecast'!$O102/1000000</f>
        <v>1274.1131419999999</v>
      </c>
      <c r="CV62" s="99">
        <f>'[2]D6 Gallon Forecast'!$O102/1000000</f>
        <v>1274.1131419999999</v>
      </c>
      <c r="CW62" s="99">
        <f>'[2]D6 Gallon Forecast'!$O102/1000000</f>
        <v>1274.1131419999999</v>
      </c>
      <c r="CX62" s="99">
        <f>'[2]D6 Gallon Forecast'!$O102/1000000</f>
        <v>1274.1131419999999</v>
      </c>
      <c r="CY62" s="99">
        <f>'[2]D6 Gallon Forecast'!$O102/1000000</f>
        <v>1274.1131419999999</v>
      </c>
    </row>
    <row r="63" spans="1:103" ht="12" thickBot="1">
      <c r="A63" s="84"/>
      <c r="B63" s="85" t="s">
        <v>66</v>
      </c>
      <c r="C63" s="86" t="s">
        <v>67</v>
      </c>
      <c r="D63" s="86" t="s">
        <v>68</v>
      </c>
      <c r="E63" s="86" t="s">
        <v>69</v>
      </c>
      <c r="F63" s="86" t="s">
        <v>70</v>
      </c>
      <c r="G63" s="86" t="s">
        <v>71</v>
      </c>
      <c r="H63" s="86" t="s">
        <v>72</v>
      </c>
      <c r="I63" s="86" t="s">
        <v>73</v>
      </c>
      <c r="J63" s="86" t="s">
        <v>74</v>
      </c>
      <c r="K63" s="86" t="s">
        <v>75</v>
      </c>
      <c r="L63" s="86" t="s">
        <v>76</v>
      </c>
      <c r="M63" s="86" t="s">
        <v>77</v>
      </c>
      <c r="N63" s="86" t="s">
        <v>78</v>
      </c>
      <c r="O63" s="86" t="s">
        <v>79</v>
      </c>
      <c r="P63" s="86" t="s">
        <v>80</v>
      </c>
      <c r="Q63" s="86" t="s">
        <v>81</v>
      </c>
      <c r="R63" s="86" t="s">
        <v>82</v>
      </c>
      <c r="S63" s="86" t="s">
        <v>83</v>
      </c>
      <c r="T63" s="86" t="s">
        <v>84</v>
      </c>
      <c r="U63" s="86" t="s">
        <v>85</v>
      </c>
      <c r="V63" s="86" t="s">
        <v>86</v>
      </c>
      <c r="W63" s="86" t="s">
        <v>87</v>
      </c>
      <c r="X63" s="86" t="s">
        <v>88</v>
      </c>
      <c r="Y63" s="86" t="s">
        <v>89</v>
      </c>
      <c r="Z63" s="86" t="s">
        <v>90</v>
      </c>
      <c r="AA63" s="86" t="s">
        <v>91</v>
      </c>
      <c r="AB63" s="86" t="s">
        <v>92</v>
      </c>
      <c r="AC63" s="86" t="s">
        <v>93</v>
      </c>
      <c r="AD63" s="86" t="str">
        <f>AD2</f>
        <v>21/22</v>
      </c>
      <c r="AE63" s="86" t="str">
        <f t="shared" ref="AE63:BF63" si="62">AE2</f>
        <v>22/23</v>
      </c>
      <c r="AF63" s="86" t="str">
        <f t="shared" si="62"/>
        <v>23/24</v>
      </c>
      <c r="AG63" s="86" t="str">
        <f t="shared" si="62"/>
        <v>24/25</v>
      </c>
      <c r="AH63" s="86" t="str">
        <f t="shared" si="62"/>
        <v>25/26</v>
      </c>
      <c r="AI63" s="86" t="str">
        <f t="shared" si="62"/>
        <v>26/27</v>
      </c>
      <c r="AJ63" s="86" t="str">
        <f t="shared" si="62"/>
        <v>27/28</v>
      </c>
      <c r="AK63" s="86" t="str">
        <f t="shared" si="62"/>
        <v>28/29</v>
      </c>
      <c r="AL63" s="86" t="str">
        <f t="shared" si="62"/>
        <v>29/30</v>
      </c>
      <c r="AM63" s="86" t="str">
        <f t="shared" si="62"/>
        <v>30/31</v>
      </c>
      <c r="AN63" s="86" t="str">
        <f t="shared" si="62"/>
        <v>31/32</v>
      </c>
      <c r="AO63" s="86" t="str">
        <f t="shared" si="62"/>
        <v>32/33</v>
      </c>
      <c r="AP63" s="86" t="str">
        <f t="shared" si="62"/>
        <v>33/34</v>
      </c>
      <c r="AQ63" s="86" t="str">
        <f t="shared" si="62"/>
        <v>34/35</v>
      </c>
      <c r="AR63" s="86" t="str">
        <f t="shared" si="62"/>
        <v>35/36</v>
      </c>
      <c r="AS63" s="86" t="str">
        <f t="shared" si="62"/>
        <v>36/37</v>
      </c>
      <c r="AT63" s="86" t="str">
        <f t="shared" si="62"/>
        <v>37/38</v>
      </c>
      <c r="AU63" s="86" t="str">
        <f t="shared" si="62"/>
        <v>38/39</v>
      </c>
      <c r="AV63" s="86" t="str">
        <f t="shared" si="62"/>
        <v>39/40</v>
      </c>
      <c r="AW63" s="86" t="str">
        <f t="shared" si="62"/>
        <v>40/41</v>
      </c>
      <c r="AX63" s="86" t="str">
        <f t="shared" si="62"/>
        <v>41/42</v>
      </c>
      <c r="AY63" s="86" t="str">
        <f t="shared" si="62"/>
        <v>42/43</v>
      </c>
      <c r="AZ63" s="86" t="str">
        <f t="shared" si="62"/>
        <v>43/44</v>
      </c>
      <c r="BA63" s="86" t="str">
        <f t="shared" si="62"/>
        <v>44/45</v>
      </c>
      <c r="BB63" s="86" t="str">
        <f t="shared" si="62"/>
        <v>45/46</v>
      </c>
      <c r="BC63" s="86" t="str">
        <f t="shared" si="62"/>
        <v>42/47</v>
      </c>
      <c r="BD63" s="86" t="str">
        <f t="shared" si="62"/>
        <v>42/48</v>
      </c>
      <c r="BE63" s="86" t="str">
        <f t="shared" si="62"/>
        <v>42/49</v>
      </c>
      <c r="BF63" s="86" t="str">
        <f t="shared" si="62"/>
        <v>42/50</v>
      </c>
      <c r="BV63" s="69" t="s">
        <v>16</v>
      </c>
      <c r="BW63" s="98">
        <f>'[2]D6 Gallon Forecast'!G119/1000000</f>
        <v>1226.8891189999999</v>
      </c>
      <c r="BX63" s="98">
        <f>'[2]D6 Gallon Forecast'!H119/1000000</f>
        <v>1228.9421589999999</v>
      </c>
      <c r="BY63" s="98">
        <f>'[2]D6 Gallon Forecast'!I119/1000000</f>
        <v>1251.9714610000001</v>
      </c>
      <c r="BZ63" s="98">
        <f>'[2]D6 Gallon Forecast'!J119/1000000</f>
        <v>1347.9183829999999</v>
      </c>
      <c r="CA63" s="98">
        <f>'[2]D6 Gallon Forecast'!K119/1000000</f>
        <v>1312.3516999999999</v>
      </c>
      <c r="CB63" s="98">
        <f>'[2]D6 Gallon Forecast'!L119/1000000</f>
        <v>1169.0020950000001</v>
      </c>
      <c r="CC63" s="98">
        <f>'[2]D6 Gallon Forecast'!M119/1000000</f>
        <v>1272.91246</v>
      </c>
      <c r="CD63" s="98">
        <f>'[2]D6 Gallon Forecast'!$N103/1000000</f>
        <v>1205.668764</v>
      </c>
      <c r="CE63" s="98">
        <f>'[2]D6 Gallon Forecast'!$O103/1000000</f>
        <v>1271.1232640000001</v>
      </c>
      <c r="CF63" s="98">
        <f>'[2]D6 Gallon Forecast'!$O103/1000000</f>
        <v>1271.1232640000001</v>
      </c>
      <c r="CG63" s="99">
        <f>'[2]D6 Gallon Forecast'!$O103/1000000</f>
        <v>1271.1232640000001</v>
      </c>
      <c r="CH63" s="99">
        <f>'[2]D6 Gallon Forecast'!$O103/1000000</f>
        <v>1271.1232640000001</v>
      </c>
      <c r="CI63" s="99">
        <f>'[2]D6 Gallon Forecast'!$O103/1000000</f>
        <v>1271.1232640000001</v>
      </c>
      <c r="CJ63" s="99">
        <f>'[2]D6 Gallon Forecast'!$O103/1000000</f>
        <v>1271.1232640000001</v>
      </c>
      <c r="CK63" s="99">
        <f>'[2]D6 Gallon Forecast'!$O103/1000000</f>
        <v>1271.1232640000001</v>
      </c>
      <c r="CL63" s="99">
        <f>'[2]D6 Gallon Forecast'!$O103/1000000</f>
        <v>1271.1232640000001</v>
      </c>
      <c r="CM63" s="99">
        <f>'[2]D6 Gallon Forecast'!$O103/1000000</f>
        <v>1271.1232640000001</v>
      </c>
      <c r="CN63" s="99">
        <f>'[2]D6 Gallon Forecast'!$O103/1000000</f>
        <v>1271.1232640000001</v>
      </c>
      <c r="CO63" s="99">
        <f>'[2]D6 Gallon Forecast'!$O103/1000000</f>
        <v>1271.1232640000001</v>
      </c>
      <c r="CP63" s="99">
        <f>'[2]D6 Gallon Forecast'!$O103/1000000</f>
        <v>1271.1232640000001</v>
      </c>
      <c r="CQ63" s="99">
        <f>'[2]D6 Gallon Forecast'!$O103/1000000</f>
        <v>1271.1232640000001</v>
      </c>
      <c r="CR63" s="99">
        <f>'[2]D6 Gallon Forecast'!$O103/1000000</f>
        <v>1271.1232640000001</v>
      </c>
      <c r="CS63" s="99">
        <f>'[2]D6 Gallon Forecast'!$O103/1000000</f>
        <v>1271.1232640000001</v>
      </c>
      <c r="CT63" s="99">
        <f>'[2]D6 Gallon Forecast'!$O103/1000000</f>
        <v>1271.1232640000001</v>
      </c>
      <c r="CU63" s="99">
        <f>'[2]D6 Gallon Forecast'!$O103/1000000</f>
        <v>1271.1232640000001</v>
      </c>
      <c r="CV63" s="99">
        <f>'[2]D6 Gallon Forecast'!$O103/1000000</f>
        <v>1271.1232640000001</v>
      </c>
      <c r="CW63" s="99">
        <f>'[2]D6 Gallon Forecast'!$O103/1000000</f>
        <v>1271.1232640000001</v>
      </c>
      <c r="CX63" s="99">
        <f>'[2]D6 Gallon Forecast'!$O103/1000000</f>
        <v>1271.1232640000001</v>
      </c>
      <c r="CY63" s="99">
        <f>'[2]D6 Gallon Forecast'!$O103/1000000</f>
        <v>1271.1232640000001</v>
      </c>
    </row>
    <row r="64" spans="1:103">
      <c r="A64" s="69" t="s">
        <v>37</v>
      </c>
      <c r="B64" s="97">
        <f>'Monthly Ethanol Data'!$H158*42/1000</f>
        <v>1.2033398510000002</v>
      </c>
      <c r="C64" s="97">
        <f>'Monthly Ethanol Data'!$H170*42/1000</f>
        <v>7.2448736417999999</v>
      </c>
      <c r="D64" s="97">
        <f>'Monthly Ethanol Data'!$H182*42/1000</f>
        <v>9.008242988400001</v>
      </c>
      <c r="E64" s="97">
        <f>'Monthly Ethanol Data'!$H194*42/1000</f>
        <v>4.5258075586000004</v>
      </c>
      <c r="F64" s="97">
        <f>'Monthly Ethanol Data'!$H206*42/1000</f>
        <v>3.6724534475999997</v>
      </c>
      <c r="G64" s="97">
        <f>'Monthly Ethanol Data'!$H218*42/1000</f>
        <v>1.2710054340000001</v>
      </c>
      <c r="H64" s="97">
        <f>'Monthly Ethanol Data'!$H230*42/1000</f>
        <v>3.6616785789999997</v>
      </c>
      <c r="I64" s="97">
        <f>'Monthly Ethanol Data'!$H242*42/1000</f>
        <v>6.691107799800001</v>
      </c>
      <c r="J64" s="97">
        <f>'Monthly Ethanol Data'!$H254*42/1000</f>
        <v>4.3693731533999998</v>
      </c>
      <c r="K64" s="97">
        <f>'Monthly Ethanol Data'!$H266*42/1000</f>
        <v>4.2686355427999993</v>
      </c>
      <c r="L64" s="97">
        <f>'Monthly Ethanol Data'!$H278*42/1000</f>
        <v>8.682908429400003</v>
      </c>
      <c r="M64" s="97">
        <f>'Monthly Ethanol Data'!$H290*42/1000</f>
        <v>3.5416308546000006</v>
      </c>
      <c r="N64" s="97">
        <f>'Monthly Ethanol Data'!$H302*42/1000</f>
        <v>4.3152137386000007</v>
      </c>
      <c r="O64" s="97">
        <f>'Monthly Ethanol Data'!$H314*42/1000</f>
        <v>2.2213056214000004</v>
      </c>
      <c r="P64" s="97">
        <f>'Monthly Ethanol Data'!$H326*42/1000</f>
        <v>10.203167276799999</v>
      </c>
      <c r="Q64" s="97">
        <f>'Monthly Ethanol Data'!$H338*42/1000</f>
        <v>12.355786710600002</v>
      </c>
      <c r="R64" s="97">
        <f>'Monthly Ethanol Data'!$H350*42/1000</f>
        <v>12.696777581052007</v>
      </c>
      <c r="S64" s="97">
        <f>'Monthly Ethanol Data'!$H362*42/1000</f>
        <v>39.7111573118896</v>
      </c>
      <c r="T64" s="97">
        <f>'Monthly Ethanol Data'!$H374*42/1000</f>
        <v>103.73090788052022</v>
      </c>
      <c r="U64" s="97">
        <f>'Monthly Ethanol Data'!$H386*42/1000</f>
        <v>49.75288594894608</v>
      </c>
      <c r="V64" s="97">
        <f>'Monthly Ethanol Data'!$H398*42/1000</f>
        <v>54.534618442916347</v>
      </c>
      <c r="W64" s="97">
        <f>'Monthly Ethanol Data'!$H410*42/1000</f>
        <v>56.677477208545433</v>
      </c>
      <c r="X64" s="97">
        <f>'Monthly Ethanol Data'!$H422*42/1000</f>
        <v>75.5034371441931</v>
      </c>
      <c r="Y64" s="97">
        <f>'Monthly Ethanol Data'!$H434*42/1000</f>
        <v>95.490584639444592</v>
      </c>
      <c r="Z64" s="97">
        <f>'Monthly Ethanol Data'!$H446*42/1000</f>
        <v>86.65523443959836</v>
      </c>
      <c r="AA64" s="97">
        <f>'Monthly Ethanol Data'!$H458*42/1000</f>
        <v>98.612692152237145</v>
      </c>
      <c r="AB64" s="97">
        <f>'Monthly Ethanol Data'!$H470*42/1000</f>
        <v>95.902927027719585</v>
      </c>
      <c r="AC64" s="97">
        <f>'Monthly Ethanol Data'!$H482*42/1000</f>
        <v>82.11772806644457</v>
      </c>
      <c r="AD64" s="97">
        <f>'Monthly Ethanol Data'!$H494*42/1000</f>
        <v>77.825455895134198</v>
      </c>
      <c r="AE64" s="97">
        <f>'Monthly Ethanol Data'!$H506*42/1000</f>
        <v>89.867322430067006</v>
      </c>
      <c r="AF64" s="97">
        <f>'Monthly Ethanol Data'!$H518*42/1000</f>
        <v>121.56761747466328</v>
      </c>
      <c r="AG64" s="97">
        <f>'Monthly Ethanol Data'!$H530*42/1000</f>
        <v>148.6195386393872</v>
      </c>
      <c r="AH64" s="77">
        <f t="shared" ref="AH64:AH74" si="63">(SUM(AB64:AF64)/SUM(AB$76:AF$76))*AH$76</f>
        <v>107.36066189159695</v>
      </c>
      <c r="AI64" s="77">
        <f t="shared" ref="AI64:AI74" si="64">(SUM(AC64:AG64)/SUM(AC$76:AG$76))*AI$76</f>
        <v>94.1955950832361</v>
      </c>
      <c r="AJ64" s="77">
        <f t="shared" ref="AJ64:AY74" si="65">(SUM(AD64:AH64)/SUM(AD$76:AH$76))*AJ$76</f>
        <v>100.98466719942057</v>
      </c>
      <c r="AK64" s="77">
        <f t="shared" si="65"/>
        <v>104.31418720094545</v>
      </c>
      <c r="AL64" s="77">
        <f t="shared" si="65"/>
        <v>99.454669394968562</v>
      </c>
      <c r="AM64" s="77">
        <f t="shared" si="65"/>
        <v>102.86567592862708</v>
      </c>
      <c r="AN64" s="77">
        <f t="shared" si="65"/>
        <v>108.73767103788836</v>
      </c>
      <c r="AO64" s="77">
        <f t="shared" si="65"/>
        <v>105.82488870083762</v>
      </c>
      <c r="AP64" s="77">
        <f t="shared" si="65"/>
        <v>109.42662161840531</v>
      </c>
      <c r="AQ64" s="77">
        <f t="shared" si="65"/>
        <v>109.72570363437202</v>
      </c>
      <c r="AR64" s="77">
        <f t="shared" si="65"/>
        <v>116.19820718925141</v>
      </c>
      <c r="AS64" s="77">
        <f t="shared" si="65"/>
        <v>116.20215968970977</v>
      </c>
      <c r="AT64" s="77">
        <f t="shared" si="65"/>
        <v>116.13071511891717</v>
      </c>
      <c r="AU64" s="77">
        <f t="shared" si="65"/>
        <v>116.26280827182572</v>
      </c>
      <c r="AV64" s="77">
        <f t="shared" si="65"/>
        <v>123.11206422303377</v>
      </c>
      <c r="AW64" s="77">
        <f t="shared" si="65"/>
        <v>129.95086052592197</v>
      </c>
      <c r="AX64" s="77">
        <f t="shared" si="65"/>
        <v>157.2306622480578</v>
      </c>
      <c r="AY64" s="77">
        <f t="shared" si="65"/>
        <v>177.76277049505248</v>
      </c>
      <c r="AZ64" s="77">
        <f t="shared" ref="AZ64:BF74" si="66">(SUM(AT64:AX64)/SUM(AT$76:AX$76))*AZ$76</f>
        <v>191.43871373252318</v>
      </c>
      <c r="BA64" s="77">
        <f t="shared" si="66"/>
        <v>211.97955474447221</v>
      </c>
      <c r="BB64" s="77">
        <f t="shared" si="66"/>
        <v>225.64331009132843</v>
      </c>
      <c r="BC64" s="77">
        <f t="shared" si="66"/>
        <v>178.04851266036661</v>
      </c>
      <c r="BD64" s="77">
        <f t="shared" si="66"/>
        <v>178.11087265718339</v>
      </c>
      <c r="BE64" s="77">
        <f t="shared" si="66"/>
        <v>178.18513452180463</v>
      </c>
      <c r="BF64" s="77">
        <f t="shared" si="66"/>
        <v>178.25463618922012</v>
      </c>
      <c r="BV64" s="69" t="s">
        <v>17</v>
      </c>
      <c r="BW64" s="98">
        <f>'[2]D6 Gallon Forecast'!G120/1000000</f>
        <v>1207.1988490000001</v>
      </c>
      <c r="BX64" s="98">
        <f>'[2]D6 Gallon Forecast'!H120/1000000</f>
        <v>1302.2103480000001</v>
      </c>
      <c r="BY64" s="98">
        <f>'[2]D6 Gallon Forecast'!I120/1000000</f>
        <v>1296.498464</v>
      </c>
      <c r="BZ64" s="98">
        <f>'[2]D6 Gallon Forecast'!J120/1000000</f>
        <v>1339.874231</v>
      </c>
      <c r="CA64" s="98">
        <f>'[2]D6 Gallon Forecast'!K120/1000000</f>
        <v>1243.6710889999999</v>
      </c>
      <c r="CB64" s="98">
        <f>'[2]D6 Gallon Forecast'!L120/1000000</f>
        <v>1124.709247</v>
      </c>
      <c r="CC64" s="98">
        <f>'[2]D6 Gallon Forecast'!M120/1000000</f>
        <v>1211.315327</v>
      </c>
      <c r="CD64" s="98">
        <f>'[2]D6 Gallon Forecast'!$N104/1000000</f>
        <v>1266.964833</v>
      </c>
      <c r="CE64" s="98">
        <f>'[2]D6 Gallon Forecast'!$O104/1000000</f>
        <v>1261.2132180000001</v>
      </c>
      <c r="CF64" s="98">
        <f>'[2]D6 Gallon Forecast'!$O104/1000000</f>
        <v>1261.2132180000001</v>
      </c>
      <c r="CG64" s="99">
        <f>'[2]D6 Gallon Forecast'!$O104/1000000</f>
        <v>1261.2132180000001</v>
      </c>
      <c r="CH64" s="99">
        <f>'[2]D6 Gallon Forecast'!$O104/1000000</f>
        <v>1261.2132180000001</v>
      </c>
      <c r="CI64" s="99">
        <f>'[2]D6 Gallon Forecast'!$O104/1000000</f>
        <v>1261.2132180000001</v>
      </c>
      <c r="CJ64" s="99">
        <f>'[2]D6 Gallon Forecast'!$O104/1000000</f>
        <v>1261.2132180000001</v>
      </c>
      <c r="CK64" s="99">
        <f>'[2]D6 Gallon Forecast'!$O104/1000000</f>
        <v>1261.2132180000001</v>
      </c>
      <c r="CL64" s="99">
        <f>'[2]D6 Gallon Forecast'!$O104/1000000</f>
        <v>1261.2132180000001</v>
      </c>
      <c r="CM64" s="99">
        <f>'[2]D6 Gallon Forecast'!$O104/1000000</f>
        <v>1261.2132180000001</v>
      </c>
      <c r="CN64" s="99">
        <f>'[2]D6 Gallon Forecast'!$O104/1000000</f>
        <v>1261.2132180000001</v>
      </c>
      <c r="CO64" s="99">
        <f>'[2]D6 Gallon Forecast'!$O104/1000000</f>
        <v>1261.2132180000001</v>
      </c>
      <c r="CP64" s="99">
        <f>'[2]D6 Gallon Forecast'!$O104/1000000</f>
        <v>1261.2132180000001</v>
      </c>
      <c r="CQ64" s="99">
        <f>'[2]D6 Gallon Forecast'!$O104/1000000</f>
        <v>1261.2132180000001</v>
      </c>
      <c r="CR64" s="99">
        <f>'[2]D6 Gallon Forecast'!$O104/1000000</f>
        <v>1261.2132180000001</v>
      </c>
      <c r="CS64" s="99">
        <f>'[2]D6 Gallon Forecast'!$O104/1000000</f>
        <v>1261.2132180000001</v>
      </c>
      <c r="CT64" s="99">
        <f>'[2]D6 Gallon Forecast'!$O104/1000000</f>
        <v>1261.2132180000001</v>
      </c>
      <c r="CU64" s="99">
        <f>'[2]D6 Gallon Forecast'!$O104/1000000</f>
        <v>1261.2132180000001</v>
      </c>
      <c r="CV64" s="99">
        <f>'[2]D6 Gallon Forecast'!$O104/1000000</f>
        <v>1261.2132180000001</v>
      </c>
      <c r="CW64" s="99">
        <f>'[2]D6 Gallon Forecast'!$O104/1000000</f>
        <v>1261.2132180000001</v>
      </c>
      <c r="CX64" s="99">
        <f>'[2]D6 Gallon Forecast'!$O104/1000000</f>
        <v>1261.2132180000001</v>
      </c>
      <c r="CY64" s="99">
        <f>'[2]D6 Gallon Forecast'!$O104/1000000</f>
        <v>1261.2132180000001</v>
      </c>
    </row>
    <row r="65" spans="1:105">
      <c r="A65" s="69" t="s">
        <v>38</v>
      </c>
      <c r="B65" s="97">
        <f>'Monthly Ethanol Data'!$H159*42/1000</f>
        <v>9.7619722992</v>
      </c>
      <c r="C65" s="97">
        <f>'Monthly Ethanol Data'!$H171*42/1000</f>
        <v>6.0099433968000016</v>
      </c>
      <c r="D65" s="97">
        <f>'Monthly Ethanol Data'!$H183*42/1000</f>
        <v>9.7789526973999994</v>
      </c>
      <c r="E65" s="97">
        <f>'Monthly Ethanol Data'!$H195*42/1000</f>
        <v>3.7065875592000004</v>
      </c>
      <c r="F65" s="97">
        <f>'Monthly Ethanol Data'!$H207*42/1000</f>
        <v>4.4493052782000007</v>
      </c>
      <c r="G65" s="97">
        <f>'Monthly Ethanol Data'!$H219*42/1000</f>
        <v>1.6999005806000003</v>
      </c>
      <c r="H65" s="97">
        <f>'Monthly Ethanol Data'!$H231*42/1000</f>
        <v>3.0294942140000001</v>
      </c>
      <c r="I65" s="97">
        <f>'Monthly Ethanol Data'!$H243*42/1000</f>
        <v>8.3139951372000009</v>
      </c>
      <c r="J65" s="97">
        <f>'Monthly Ethanol Data'!$H255*42/1000</f>
        <v>4.2045015212000019</v>
      </c>
      <c r="K65" s="97">
        <f>'Monthly Ethanol Data'!$H267*42/1000</f>
        <v>4.6656047614000018</v>
      </c>
      <c r="L65" s="97">
        <f>'Monthly Ethanol Data'!$H279*42/1000</f>
        <v>5.7786368252000004</v>
      </c>
      <c r="M65" s="97">
        <f>'Monthly Ethanol Data'!$H291*42/1000</f>
        <v>3.4937786863999998</v>
      </c>
      <c r="N65" s="97">
        <f>'Monthly Ethanol Data'!$H303*42/1000</f>
        <v>6.8538454886000011</v>
      </c>
      <c r="O65" s="97">
        <f>'Monthly Ethanol Data'!$H315*42/1000</f>
        <v>2.4461805081999994</v>
      </c>
      <c r="P65" s="97">
        <f>'Monthly Ethanol Data'!$H327*42/1000</f>
        <v>14.571722466999999</v>
      </c>
      <c r="Q65" s="97">
        <f>'Monthly Ethanol Data'!$H339*42/1000</f>
        <v>11.506629152399999</v>
      </c>
      <c r="R65" s="97">
        <f>'Monthly Ethanol Data'!$H351*42/1000</f>
        <v>5.3111014501199989</v>
      </c>
      <c r="S65" s="97">
        <f>'Monthly Ethanol Data'!$H363*42/1000</f>
        <v>40.40458470812937</v>
      </c>
      <c r="T65" s="97">
        <f>'Monthly Ethanol Data'!$H375*42/1000</f>
        <v>112.58868893990346</v>
      </c>
      <c r="U65" s="97">
        <f>'Monthly Ethanol Data'!$H387*42/1000</f>
        <v>50.648704895902952</v>
      </c>
      <c r="V65" s="97">
        <f>'Monthly Ethanol Data'!$H399*42/1000</f>
        <v>50.544320694455827</v>
      </c>
      <c r="W65" s="97">
        <f>'Monthly Ethanol Data'!$H411*42/1000</f>
        <v>81.826911748000867</v>
      </c>
      <c r="X65" s="97">
        <f>'Monthly Ethanol Data'!$H423*42/1000</f>
        <v>77.809121072750372</v>
      </c>
      <c r="Y65" s="97">
        <f>'Monthly Ethanol Data'!$H435*42/1000</f>
        <v>124.28233005143433</v>
      </c>
      <c r="Z65" s="97">
        <f>'Monthly Ethanol Data'!$H447*42/1000</f>
        <v>104.18893937512713</v>
      </c>
      <c r="AA65" s="97">
        <f>'Monthly Ethanol Data'!$H459*42/1000</f>
        <v>171.25393497666039</v>
      </c>
      <c r="AB65" s="97">
        <f>'Monthly Ethanol Data'!$H471*42/1000</f>
        <v>105.82932522500866</v>
      </c>
      <c r="AC65" s="97">
        <f>'Monthly Ethanol Data'!$H483*42/1000</f>
        <v>126.89528056406041</v>
      </c>
      <c r="AD65" s="97">
        <f>'Monthly Ethanol Data'!$H495*42/1000</f>
        <v>103.4143593428453</v>
      </c>
      <c r="AE65" s="97">
        <f>'Monthly Ethanol Data'!$H507*42/1000</f>
        <v>85.286474120372702</v>
      </c>
      <c r="AF65" s="97">
        <f>'Monthly Ethanol Data'!$H519*42/1000</f>
        <v>116.48341290195097</v>
      </c>
      <c r="AG65" s="97">
        <f>'Monthly Ethanol Data'!$H531*42/1000</f>
        <v>143.51515053051028</v>
      </c>
      <c r="AH65" s="77">
        <f t="shared" si="63"/>
        <v>123.58782855443656</v>
      </c>
      <c r="AI65" s="77">
        <f t="shared" si="64"/>
        <v>104.26678248668009</v>
      </c>
      <c r="AJ65" s="77">
        <f t="shared" si="65"/>
        <v>105.9940059369529</v>
      </c>
      <c r="AK65" s="77">
        <f t="shared" si="65"/>
        <v>106.45558002104123</v>
      </c>
      <c r="AL65" s="77">
        <f t="shared" si="65"/>
        <v>103.12201729157945</v>
      </c>
      <c r="AM65" s="77">
        <f t="shared" si="65"/>
        <v>108.11469398696686</v>
      </c>
      <c r="AN65" s="77">
        <f t="shared" si="65"/>
        <v>116.70898561947712</v>
      </c>
      <c r="AO65" s="77">
        <f t="shared" si="65"/>
        <v>111.33704402326418</v>
      </c>
      <c r="AP65" s="77">
        <f t="shared" si="65"/>
        <v>114.52085464498387</v>
      </c>
      <c r="AQ65" s="77">
        <f t="shared" si="65"/>
        <v>114.89227809312186</v>
      </c>
      <c r="AR65" s="77">
        <f t="shared" si="65"/>
        <v>122.26832629385216</v>
      </c>
      <c r="AS65" s="77">
        <f t="shared" si="65"/>
        <v>122.48096252551383</v>
      </c>
      <c r="AT65" s="77">
        <f t="shared" si="65"/>
        <v>122.42692307416009</v>
      </c>
      <c r="AU65" s="77">
        <f t="shared" si="65"/>
        <v>122.1287228818713</v>
      </c>
      <c r="AV65" s="77">
        <f t="shared" si="65"/>
        <v>129.38082172734181</v>
      </c>
      <c r="AW65" s="77">
        <f t="shared" si="65"/>
        <v>136.66365529168888</v>
      </c>
      <c r="AX65" s="77">
        <f t="shared" si="65"/>
        <v>165.46246976236048</v>
      </c>
      <c r="AY65" s="77">
        <f t="shared" si="65"/>
        <v>187.04668435244287</v>
      </c>
      <c r="AZ65" s="77">
        <f t="shared" si="66"/>
        <v>201.38034677284926</v>
      </c>
      <c r="BA65" s="77">
        <f t="shared" si="66"/>
        <v>222.92381528628022</v>
      </c>
      <c r="BB65" s="77">
        <f t="shared" si="66"/>
        <v>237.34930939403992</v>
      </c>
      <c r="BC65" s="77">
        <f t="shared" si="66"/>
        <v>187.29874281074638</v>
      </c>
      <c r="BD65" s="77">
        <f t="shared" si="66"/>
        <v>187.36834323436659</v>
      </c>
      <c r="BE65" s="77">
        <f t="shared" si="66"/>
        <v>187.43495763636702</v>
      </c>
      <c r="BF65" s="77">
        <f t="shared" si="66"/>
        <v>187.50001342202944</v>
      </c>
      <c r="BV65" s="69" t="s">
        <v>149</v>
      </c>
      <c r="BW65" s="83" t="str">
        <f>BW52</f>
        <v xml:space="preserve">14/15 </v>
      </c>
      <c r="BX65" s="83" t="str">
        <f t="shared" ref="BX65:CY65" si="67">BX52</f>
        <v xml:space="preserve">15/16 </v>
      </c>
      <c r="BY65" s="83" t="str">
        <f t="shared" si="67"/>
        <v xml:space="preserve">16/17 </v>
      </c>
      <c r="BZ65" s="83" t="str">
        <f t="shared" si="67"/>
        <v xml:space="preserve">17/18 </v>
      </c>
      <c r="CA65" s="83" t="str">
        <f t="shared" si="67"/>
        <v xml:space="preserve">18/19 </v>
      </c>
      <c r="CB65" s="83" t="str">
        <f t="shared" si="67"/>
        <v>19/20</v>
      </c>
      <c r="CC65" s="83" t="str">
        <f t="shared" si="67"/>
        <v>20/21</v>
      </c>
      <c r="CD65" s="83" t="str">
        <f t="shared" si="67"/>
        <v>21/22</v>
      </c>
      <c r="CE65" s="83" t="str">
        <f t="shared" si="67"/>
        <v>22/23</v>
      </c>
      <c r="CF65" s="83" t="str">
        <f t="shared" si="67"/>
        <v>23/24</v>
      </c>
      <c r="CG65" s="83" t="str">
        <f t="shared" si="67"/>
        <v>24/25</v>
      </c>
      <c r="CH65" s="83" t="str">
        <f t="shared" si="67"/>
        <v>25/26</v>
      </c>
      <c r="CI65" s="83" t="str">
        <f t="shared" si="67"/>
        <v>26/27</v>
      </c>
      <c r="CJ65" s="83" t="str">
        <f t="shared" si="67"/>
        <v>27/28</v>
      </c>
      <c r="CK65" s="83" t="str">
        <f t="shared" si="67"/>
        <v>28/29</v>
      </c>
      <c r="CL65" s="83" t="str">
        <f t="shared" si="67"/>
        <v>29/30</v>
      </c>
      <c r="CM65" s="83" t="str">
        <f t="shared" si="67"/>
        <v>30/31</v>
      </c>
      <c r="CN65" s="83" t="str">
        <f t="shared" si="67"/>
        <v>31/32</v>
      </c>
      <c r="CO65" s="83" t="str">
        <f t="shared" si="67"/>
        <v>32/33</v>
      </c>
      <c r="CP65" s="83" t="str">
        <f t="shared" si="67"/>
        <v>33/34</v>
      </c>
      <c r="CQ65" s="83" t="str">
        <f t="shared" si="67"/>
        <v>34/35</v>
      </c>
      <c r="CR65" s="83" t="str">
        <f t="shared" si="67"/>
        <v>35/36</v>
      </c>
      <c r="CS65" s="83" t="str">
        <f t="shared" si="67"/>
        <v>36/37</v>
      </c>
      <c r="CT65" s="83" t="str">
        <f t="shared" si="67"/>
        <v>37/38</v>
      </c>
      <c r="CU65" s="83" t="str">
        <f t="shared" si="67"/>
        <v>38/39</v>
      </c>
      <c r="CV65" s="83" t="str">
        <f t="shared" si="67"/>
        <v>39/40</v>
      </c>
      <c r="CW65" s="83" t="str">
        <f t="shared" si="67"/>
        <v>40/41</v>
      </c>
      <c r="CX65" s="83" t="str">
        <f t="shared" si="67"/>
        <v>41/42</v>
      </c>
      <c r="CY65" s="83" t="str">
        <f t="shared" si="67"/>
        <v>42/43</v>
      </c>
      <c r="DA65" s="69" t="s">
        <v>141</v>
      </c>
    </row>
    <row r="66" spans="1:105">
      <c r="A66" s="69" t="s">
        <v>39</v>
      </c>
      <c r="B66" s="97">
        <f>'Monthly Ethanol Data'!$H160*42/1000</f>
        <v>2.7629668762000001</v>
      </c>
      <c r="C66" s="97">
        <f>'Monthly Ethanol Data'!$H172*42/1000</f>
        <v>6.1822451256000006</v>
      </c>
      <c r="D66" s="97">
        <f>'Monthly Ethanol Data'!$H184*42/1000</f>
        <v>26.130397962600007</v>
      </c>
      <c r="E66" s="97">
        <f>'Monthly Ethanol Data'!$H196*42/1000</f>
        <v>5.6391326202000007</v>
      </c>
      <c r="F66" s="97">
        <f>'Monthly Ethanol Data'!$H208*42/1000</f>
        <v>3.7349364833999998</v>
      </c>
      <c r="G66" s="97">
        <f>'Monthly Ethanol Data'!$H220*42/1000</f>
        <v>1.9928775087999999</v>
      </c>
      <c r="H66" s="97">
        <f>'Monthly Ethanol Data'!$H232*42/1000</f>
        <v>3.1535308300000007</v>
      </c>
      <c r="I66" s="97">
        <f>'Monthly Ethanol Data'!$H244*42/1000</f>
        <v>6.2123279944000007</v>
      </c>
      <c r="J66" s="97">
        <f>'Monthly Ethanol Data'!$H256*42/1000</f>
        <v>6.1843626886000003</v>
      </c>
      <c r="K66" s="97">
        <f>'Monthly Ethanol Data'!$H268*42/1000</f>
        <v>3.5341981160000007</v>
      </c>
      <c r="L66" s="97">
        <f>'Monthly Ethanol Data'!$H280*42/1000</f>
        <v>5.3574417876000009</v>
      </c>
      <c r="M66" s="97">
        <f>'Monthly Ethanol Data'!$H292*42/1000</f>
        <v>4.0684583362</v>
      </c>
      <c r="N66" s="97">
        <f>'Monthly Ethanol Data'!$H304*42/1000</f>
        <v>4.3926224891999999</v>
      </c>
      <c r="O66" s="97">
        <f>'Monthly Ethanol Data'!$H316*42/1000</f>
        <v>1.2045416968000002</v>
      </c>
      <c r="P66" s="97">
        <f>'Monthly Ethanol Data'!$H328*42/1000</f>
        <v>16.691857982400002</v>
      </c>
      <c r="Q66" s="97">
        <f>'Monthly Ethanol Data'!$H340*42/1000</f>
        <v>12.365574792199999</v>
      </c>
      <c r="R66" s="97">
        <f>'Monthly Ethanol Data'!$H352*42/1000</f>
        <v>14.779116541115997</v>
      </c>
      <c r="S66" s="97">
        <f>'Monthly Ethanol Data'!$H364*42/1000</f>
        <v>33.402694292031775</v>
      </c>
      <c r="T66" s="97">
        <f>'Monthly Ethanol Data'!$H376*42/1000</f>
        <v>155.79225024501969</v>
      </c>
      <c r="U66" s="97">
        <f>'Monthly Ethanol Data'!$H388*42/1000</f>
        <v>40.44089887224898</v>
      </c>
      <c r="V66" s="97">
        <f>'Monthly Ethanol Data'!$H400*42/1000</f>
        <v>89.709519444393081</v>
      </c>
      <c r="W66" s="97">
        <f>'Monthly Ethanol Data'!$H412*42/1000</f>
        <v>88.685578576693132</v>
      </c>
      <c r="X66" s="97">
        <f>'Monthly Ethanol Data'!$H424*42/1000</f>
        <v>66.201669303985554</v>
      </c>
      <c r="Y66" s="97">
        <f>'Monthly Ethanol Data'!$H436*42/1000</f>
        <v>126.45421764088961</v>
      </c>
      <c r="Z66" s="97">
        <f>'Monthly Ethanol Data'!$H448*42/1000</f>
        <v>104.58825067826207</v>
      </c>
      <c r="AA66" s="97">
        <f>'Monthly Ethanol Data'!$H460*42/1000</f>
        <v>133.57117828716045</v>
      </c>
      <c r="AB66" s="97">
        <f>'Monthly Ethanol Data'!$H472*42/1000</f>
        <v>101.89244282653662</v>
      </c>
      <c r="AC66" s="97">
        <f>'Monthly Ethanol Data'!$H484*42/1000</f>
        <v>106.7662874034781</v>
      </c>
      <c r="AD66" s="97">
        <f>'Monthly Ethanol Data'!$H496*42/1000</f>
        <v>134.3869430259866</v>
      </c>
      <c r="AE66" s="97">
        <f>'Monthly Ethanol Data'!$H508*42/1000</f>
        <v>80.136821110526981</v>
      </c>
      <c r="AF66" s="97">
        <f>'Monthly Ethanol Data'!$H520*42/1000</f>
        <v>115.22182182547105</v>
      </c>
      <c r="AG66" s="97">
        <f>'Monthly Ethanol Data'!$H532*42/1000</f>
        <v>187.61457194091423</v>
      </c>
      <c r="AH66" s="77">
        <f t="shared" si="63"/>
        <v>123.70166442887607</v>
      </c>
      <c r="AI66" s="77">
        <f t="shared" si="64"/>
        <v>113.05812729912989</v>
      </c>
      <c r="AJ66" s="77">
        <f t="shared" si="65"/>
        <v>118.73183181530031</v>
      </c>
      <c r="AK66" s="77">
        <f t="shared" si="65"/>
        <v>115.10988087835229</v>
      </c>
      <c r="AL66" s="77">
        <f t="shared" si="65"/>
        <v>114.31916396001023</v>
      </c>
      <c r="AM66" s="77">
        <f t="shared" si="65"/>
        <v>121.89186599306903</v>
      </c>
      <c r="AN66" s="77">
        <f t="shared" si="65"/>
        <v>125.62054622962013</v>
      </c>
      <c r="AO66" s="77">
        <f t="shared" si="65"/>
        <v>122.96895896817492</v>
      </c>
      <c r="AP66" s="77">
        <f t="shared" si="65"/>
        <v>126.23539896717392</v>
      </c>
      <c r="AQ66" s="77">
        <f t="shared" si="65"/>
        <v>126.29692969036348</v>
      </c>
      <c r="AR66" s="77">
        <f t="shared" si="65"/>
        <v>134.90403740268599</v>
      </c>
      <c r="AS66" s="77">
        <f t="shared" si="65"/>
        <v>134.92016429837994</v>
      </c>
      <c r="AT66" s="77">
        <f t="shared" si="65"/>
        <v>134.31602250169334</v>
      </c>
      <c r="AU66" s="77">
        <f t="shared" si="65"/>
        <v>134.60777077981879</v>
      </c>
      <c r="AV66" s="77">
        <f t="shared" si="65"/>
        <v>142.41091507813664</v>
      </c>
      <c r="AW66" s="77">
        <f t="shared" si="65"/>
        <v>150.42682819983202</v>
      </c>
      <c r="AX66" s="77">
        <f t="shared" si="65"/>
        <v>182.17040617902839</v>
      </c>
      <c r="AY66" s="77">
        <f t="shared" si="65"/>
        <v>205.83777525345886</v>
      </c>
      <c r="AZ66" s="77">
        <f t="shared" si="66"/>
        <v>221.59674890083249</v>
      </c>
      <c r="BA66" s="77">
        <f t="shared" si="66"/>
        <v>245.42781126406328</v>
      </c>
      <c r="BB66" s="77">
        <f t="shared" si="66"/>
        <v>261.23340551905721</v>
      </c>
      <c r="BC66" s="77">
        <f t="shared" si="66"/>
        <v>206.15879683086203</v>
      </c>
      <c r="BD66" s="77">
        <f t="shared" si="66"/>
        <v>206.23214987505861</v>
      </c>
      <c r="BE66" s="77">
        <f t="shared" si="66"/>
        <v>206.29709285088322</v>
      </c>
      <c r="BF66" s="77">
        <f t="shared" si="66"/>
        <v>206.37599518359363</v>
      </c>
      <c r="BV66" s="69" t="s">
        <v>18</v>
      </c>
      <c r="BW66" s="76">
        <f t="shared" ref="BW66:CF77" si="68">W32-BW53</f>
        <v>9.6864239999999882</v>
      </c>
      <c r="BX66" s="76">
        <f t="shared" si="68"/>
        <v>20.301510000000007</v>
      </c>
      <c r="BY66" s="76">
        <f t="shared" si="68"/>
        <v>51.534673999999995</v>
      </c>
      <c r="BZ66" s="76">
        <f t="shared" si="68"/>
        <v>75.323274999999967</v>
      </c>
      <c r="CA66" s="76">
        <f t="shared" si="68"/>
        <v>82.067281999999977</v>
      </c>
      <c r="CB66" s="76">
        <f t="shared" si="68"/>
        <v>41.657308999999941</v>
      </c>
      <c r="CC66" s="76">
        <f t="shared" si="68"/>
        <v>50.676920999999993</v>
      </c>
      <c r="CD66" s="76">
        <f t="shared" si="68"/>
        <v>30.007027999999991</v>
      </c>
      <c r="CE66" s="76">
        <f t="shared" si="68"/>
        <v>19.693439999999782</v>
      </c>
      <c r="CF66" s="76">
        <f t="shared" si="68"/>
        <v>147.03743999999983</v>
      </c>
      <c r="CG66" s="76">
        <f>AG32-CG53</f>
        <v>193.9094399999999</v>
      </c>
      <c r="CH66" s="79">
        <f t="shared" ref="CG66:CU77" si="69">AVERAGE(CB66:CF66)</f>
        <v>57.81442759999991</v>
      </c>
      <c r="CI66" s="79">
        <f t="shared" si="69"/>
        <v>88.264853799999898</v>
      </c>
      <c r="CJ66" s="79">
        <f t="shared" si="69"/>
        <v>89.692355119999888</v>
      </c>
      <c r="CK66" s="79">
        <f t="shared" si="69"/>
        <v>101.34392027999988</v>
      </c>
      <c r="CL66" s="79">
        <f t="shared" si="69"/>
        <v>115.34370330399989</v>
      </c>
      <c r="CM66" s="79">
        <f>AVERAGE(CG66:CK66)</f>
        <v>106.2049993599999</v>
      </c>
      <c r="CN66" s="79">
        <f t="shared" si="69"/>
        <v>90.491852020799882</v>
      </c>
      <c r="CO66" s="79">
        <f t="shared" si="69"/>
        <v>100.16996637279988</v>
      </c>
      <c r="CP66" s="79">
        <f t="shared" si="69"/>
        <v>100.61536601695988</v>
      </c>
      <c r="CQ66" s="79">
        <f t="shared" si="69"/>
        <v>102.71088826751989</v>
      </c>
      <c r="CR66" s="79">
        <f t="shared" si="69"/>
        <v>102.56517741491189</v>
      </c>
      <c r="CS66" s="79">
        <f t="shared" si="69"/>
        <v>100.03861440761588</v>
      </c>
      <c r="CT66" s="79">
        <f t="shared" si="69"/>
        <v>99.310650018598295</v>
      </c>
      <c r="CU66" s="79">
        <f t="shared" si="69"/>
        <v>101.2200024959615</v>
      </c>
      <c r="CV66" s="79">
        <f>AVERAGE(BY66:CC66)</f>
        <v>60.251892199999972</v>
      </c>
      <c r="CW66" s="79">
        <f t="shared" ref="CW66:CY77" si="70">AVERAGE(BZ66:CD66)</f>
        <v>55.946362999999977</v>
      </c>
      <c r="CX66" s="79">
        <f t="shared" si="70"/>
        <v>44.820395999999938</v>
      </c>
      <c r="CY66" s="79">
        <f t="shared" si="70"/>
        <v>57.81442759999991</v>
      </c>
      <c r="CZ66" s="69" t="s">
        <v>18</v>
      </c>
      <c r="DA66" s="76">
        <f>AVERAGE(CB66:CF66)</f>
        <v>57.81442759999991</v>
      </c>
    </row>
    <row r="67" spans="1:105">
      <c r="A67" s="69" t="s">
        <v>40</v>
      </c>
      <c r="B67" s="97">
        <f>'Monthly Ethanol Data'!$H161*42/1000</f>
        <v>14.987060719000002</v>
      </c>
      <c r="C67" s="97">
        <f>'Monthly Ethanol Data'!$H173*42/1000</f>
        <v>1.0598242974000003</v>
      </c>
      <c r="D67" s="97">
        <f>'Monthly Ethanol Data'!$H185*42/1000</f>
        <v>6.1174778165999992</v>
      </c>
      <c r="E67" s="97">
        <f>'Monthly Ethanol Data'!$H197*42/1000</f>
        <v>3.2195208565999995</v>
      </c>
      <c r="F67" s="97">
        <f>'Monthly Ethanol Data'!$H209*42/1000</f>
        <v>5.5990138502000013</v>
      </c>
      <c r="G67" s="97">
        <f>'Monthly Ethanol Data'!$H221*42/1000</f>
        <v>3.3372932905999999</v>
      </c>
      <c r="H67" s="97">
        <f>'Monthly Ethanol Data'!$H233*42/1000</f>
        <v>4.0218164682000008</v>
      </c>
      <c r="I67" s="97">
        <f>'Monthly Ethanol Data'!$H245*42/1000</f>
        <v>5.9209637430000006</v>
      </c>
      <c r="J67" s="97">
        <f>'Monthly Ethanol Data'!$H257*42/1000</f>
        <v>3.7201967654000008</v>
      </c>
      <c r="K67" s="97">
        <f>'Monthly Ethanol Data'!$H269*42/1000</f>
        <v>4.8437828266000009</v>
      </c>
      <c r="L67" s="97">
        <f>'Monthly Ethanol Data'!$H281*42/1000</f>
        <v>4.6297483299999991</v>
      </c>
      <c r="M67" s="97">
        <f>'Monthly Ethanol Data'!$H293*42/1000</f>
        <v>3.3173808008000005</v>
      </c>
      <c r="N67" s="97">
        <f>'Monthly Ethanol Data'!$H305*42/1000</f>
        <v>4.6250429280000018</v>
      </c>
      <c r="O67" s="97">
        <f>'Monthly Ethanol Data'!$H317*42/1000</f>
        <v>1.6980226470000002</v>
      </c>
      <c r="P67" s="97">
        <f>'Monthly Ethanol Data'!$H329*42/1000</f>
        <v>17.161419849800001</v>
      </c>
      <c r="Q67" s="97">
        <f>'Monthly Ethanol Data'!$H341*42/1000</f>
        <v>4.5486122458000002</v>
      </c>
      <c r="R67" s="97">
        <f>'Monthly Ethanol Data'!$H353*42/1000</f>
        <v>17.712147194848001</v>
      </c>
      <c r="S67" s="97">
        <f>'Monthly Ethanol Data'!$H365*42/1000</f>
        <v>71.831623522947311</v>
      </c>
      <c r="T67" s="97">
        <f>'Monthly Ethanol Data'!$H377*42/1000</f>
        <v>178.06362454793535</v>
      </c>
      <c r="U67" s="97">
        <f>'Monthly Ethanol Data'!$H389*42/1000</f>
        <v>55.025944877833574</v>
      </c>
      <c r="V67" s="97">
        <f>'Monthly Ethanol Data'!$H401*42/1000</f>
        <v>63.173646183636649</v>
      </c>
      <c r="W67" s="97">
        <f>'Monthly Ethanol Data'!$H413*42/1000</f>
        <v>83.425445592419322</v>
      </c>
      <c r="X67" s="97">
        <f>'Monthly Ethanol Data'!$H425*42/1000</f>
        <v>89.502776449578775</v>
      </c>
      <c r="Y67" s="97">
        <f>'Monthly Ethanol Data'!$H437*42/1000</f>
        <v>104.83173130519548</v>
      </c>
      <c r="Z67" s="97">
        <f>'Monthly Ethanol Data'!$H449*42/1000</f>
        <v>180.02571795393368</v>
      </c>
      <c r="AA67" s="97">
        <f>'Monthly Ethanol Data'!$H461*42/1000</f>
        <v>128.30377475623513</v>
      </c>
      <c r="AB67" s="97">
        <f>'Monthly Ethanol Data'!$H473*42/1000</f>
        <v>145.45434893446151</v>
      </c>
      <c r="AC67" s="97">
        <f>'Monthly Ethanol Data'!$H485*42/1000</f>
        <v>114.57421785222736</v>
      </c>
      <c r="AD67" s="97">
        <f>'Monthly Ethanol Data'!$H497*42/1000</f>
        <v>121.28016833051107</v>
      </c>
      <c r="AE67" s="97">
        <f>'Monthly Ethanol Data'!$H509*42/1000</f>
        <v>72.326090700875199</v>
      </c>
      <c r="AF67" s="97">
        <f>'Monthly Ethanol Data'!$H521*42/1000</f>
        <v>155.59000394144681</v>
      </c>
      <c r="AG67" s="97">
        <f>'Monthly Ethanol Data'!$H533*42/1000</f>
        <v>194.45245537341771</v>
      </c>
      <c r="AH67" s="77">
        <f t="shared" si="63"/>
        <v>139.973107915756</v>
      </c>
      <c r="AI67" s="77">
        <f t="shared" si="64"/>
        <v>119.23457669768162</v>
      </c>
      <c r="AJ67" s="77">
        <f t="shared" si="65"/>
        <v>126.61442137635449</v>
      </c>
      <c r="AK67" s="77">
        <f t="shared" si="65"/>
        <v>126.59670913364238</v>
      </c>
      <c r="AL67" s="77">
        <f t="shared" si="65"/>
        <v>127.78344485048892</v>
      </c>
      <c r="AM67" s="77">
        <f t="shared" si="65"/>
        <v>130.90208712904672</v>
      </c>
      <c r="AN67" s="77">
        <f t="shared" si="65"/>
        <v>137.49310281319157</v>
      </c>
      <c r="AO67" s="77">
        <f t="shared" si="65"/>
        <v>133.09570350206553</v>
      </c>
      <c r="AP67" s="77">
        <f t="shared" si="65"/>
        <v>137.61902311051105</v>
      </c>
      <c r="AQ67" s="77">
        <f t="shared" si="65"/>
        <v>138.07811524809159</v>
      </c>
      <c r="AR67" s="77">
        <f t="shared" si="65"/>
        <v>147.23619667389823</v>
      </c>
      <c r="AS67" s="77">
        <f t="shared" si="65"/>
        <v>146.65218523120265</v>
      </c>
      <c r="AT67" s="77">
        <f t="shared" si="65"/>
        <v>146.45809196163833</v>
      </c>
      <c r="AU67" s="77">
        <f t="shared" si="65"/>
        <v>146.57154360758372</v>
      </c>
      <c r="AV67" s="77">
        <f t="shared" si="65"/>
        <v>155.28656650670064</v>
      </c>
      <c r="AW67" s="77">
        <f t="shared" si="65"/>
        <v>163.9872204967366</v>
      </c>
      <c r="AX67" s="77">
        <f t="shared" si="65"/>
        <v>198.49657478562258</v>
      </c>
      <c r="AY67" s="77">
        <f t="shared" si="65"/>
        <v>224.23688412386832</v>
      </c>
      <c r="AZ67" s="77">
        <f t="shared" si="66"/>
        <v>241.51489283012648</v>
      </c>
      <c r="BA67" s="77">
        <f t="shared" si="66"/>
        <v>267.436334710057</v>
      </c>
      <c r="BB67" s="77">
        <f t="shared" si="66"/>
        <v>284.70377700456851</v>
      </c>
      <c r="BC67" s="77">
        <f t="shared" si="66"/>
        <v>224.65587761326415</v>
      </c>
      <c r="BD67" s="77">
        <f t="shared" si="66"/>
        <v>224.72992534030519</v>
      </c>
      <c r="BE67" s="77">
        <f t="shared" si="66"/>
        <v>224.80418487438149</v>
      </c>
      <c r="BF67" s="77">
        <f t="shared" si="66"/>
        <v>224.90161601416642</v>
      </c>
      <c r="BV67" s="69" t="s">
        <v>19</v>
      </c>
      <c r="BW67" s="76">
        <f t="shared" si="68"/>
        <v>41.833955999999944</v>
      </c>
      <c r="BX67" s="76">
        <f t="shared" si="68"/>
        <v>36.58406500000001</v>
      </c>
      <c r="BY67" s="76">
        <f t="shared" si="68"/>
        <v>67.838077999999996</v>
      </c>
      <c r="BZ67" s="76">
        <f t="shared" si="68"/>
        <v>72.416214000000082</v>
      </c>
      <c r="CA67" s="76">
        <f t="shared" si="68"/>
        <v>91.203970000000027</v>
      </c>
      <c r="CB67" s="76">
        <f t="shared" si="68"/>
        <v>61.639018999999962</v>
      </c>
      <c r="CC67" s="76">
        <f t="shared" si="68"/>
        <v>105.75532300000009</v>
      </c>
      <c r="CD67" s="76">
        <f t="shared" si="68"/>
        <v>171.8073710000001</v>
      </c>
      <c r="CE67" s="76">
        <f t="shared" si="68"/>
        <v>104.85259799999994</v>
      </c>
      <c r="CF67" s="76">
        <f t="shared" si="68"/>
        <v>122.40859799999998</v>
      </c>
      <c r="CG67" s="79">
        <f t="shared" si="69"/>
        <v>107.05165620000002</v>
      </c>
      <c r="CH67" s="79">
        <f t="shared" si="69"/>
        <v>113.29258180000002</v>
      </c>
      <c r="CI67" s="79">
        <f t="shared" si="69"/>
        <v>122.37510924000003</v>
      </c>
      <c r="CJ67" s="79">
        <f t="shared" si="69"/>
        <v>123.88256100000001</v>
      </c>
      <c r="CK67" s="79">
        <f t="shared" si="69"/>
        <v>113.99610864799999</v>
      </c>
      <c r="CL67" s="79">
        <f t="shared" si="69"/>
        <v>117.80210124800001</v>
      </c>
      <c r="CM67" s="79">
        <f t="shared" si="69"/>
        <v>116.11960337760001</v>
      </c>
      <c r="CN67" s="79">
        <f t="shared" si="69"/>
        <v>118.26969238720001</v>
      </c>
      <c r="CO67" s="79">
        <f t="shared" si="69"/>
        <v>118.83509670272001</v>
      </c>
      <c r="CP67" s="79">
        <f t="shared" si="69"/>
        <v>118.01401333216002</v>
      </c>
      <c r="CQ67" s="79">
        <f t="shared" si="69"/>
        <v>117.004520472704</v>
      </c>
      <c r="CR67" s="79">
        <f t="shared" si="69"/>
        <v>117.80810140953602</v>
      </c>
      <c r="CS67" s="79">
        <f t="shared" si="69"/>
        <v>117.6485852544768</v>
      </c>
      <c r="CT67" s="79">
        <f t="shared" si="69"/>
        <v>117.986284860864</v>
      </c>
      <c r="CU67" s="79">
        <f t="shared" si="69"/>
        <v>117.86206343431937</v>
      </c>
      <c r="CV67" s="79">
        <f t="shared" ref="CV67:CV77" si="71">AVERAGE(BY67:CC67)</f>
        <v>79.770520800000028</v>
      </c>
      <c r="CW67" s="79">
        <f t="shared" si="70"/>
        <v>100.56437940000005</v>
      </c>
      <c r="CX67" s="79">
        <f t="shared" si="70"/>
        <v>107.05165620000002</v>
      </c>
      <c r="CY67" s="79">
        <f t="shared" si="70"/>
        <v>113.29258180000002</v>
      </c>
      <c r="CZ67" s="69" t="s">
        <v>19</v>
      </c>
      <c r="DA67" s="76">
        <f t="shared" ref="DA67:DA77" si="72">AVERAGE(CB67:CF67)</f>
        <v>113.29258180000002</v>
      </c>
    </row>
    <row r="68" spans="1:105">
      <c r="A68" s="69" t="s">
        <v>30</v>
      </c>
      <c r="B68" s="97">
        <f>'Monthly Ethanol Data'!$H162*42/1000</f>
        <v>11.759809898800002</v>
      </c>
      <c r="C68" s="97">
        <f>'Monthly Ethanol Data'!$H174*42/1000</f>
        <v>3.6158718472000002</v>
      </c>
      <c r="D68" s="97">
        <f>'Monthly Ethanol Data'!$H186*42/1000</f>
        <v>9.6863302539999978</v>
      </c>
      <c r="E68" s="97">
        <f>'Monthly Ethanol Data'!$H198*42/1000</f>
        <v>4.345621309200002</v>
      </c>
      <c r="F68" s="97">
        <f>'Monthly Ethanol Data'!$H210*42/1000</f>
        <v>3.1505596367999997</v>
      </c>
      <c r="G68" s="97">
        <f>'Monthly Ethanol Data'!$H222*42/1000</f>
        <v>0.64360044700000008</v>
      </c>
      <c r="H68" s="97">
        <f>'Monthly Ethanol Data'!$H234*42/1000</f>
        <v>2.3035399850000005</v>
      </c>
      <c r="I68" s="97">
        <f>'Monthly Ethanol Data'!$H246*42/1000</f>
        <v>16.987169381799998</v>
      </c>
      <c r="J68" s="97">
        <f>'Monthly Ethanol Data'!$H258*42/1000</f>
        <v>4.0810168190000002</v>
      </c>
      <c r="K68" s="97">
        <f>'Monthly Ethanol Data'!$H270*42/1000</f>
        <v>4.3173318299999988</v>
      </c>
      <c r="L68" s="97">
        <f>'Monthly Ethanol Data'!$H282*42/1000</f>
        <v>5.6078370734000007</v>
      </c>
      <c r="M68" s="97">
        <f>'Monthly Ethanol Data'!$H294*42/1000</f>
        <v>3.125451125600001</v>
      </c>
      <c r="N68" s="97">
        <f>'Monthly Ethanol Data'!$H306*42/1000</f>
        <v>4.0680591300000009</v>
      </c>
      <c r="O68" s="97">
        <f>'Monthly Ethanol Data'!$H318*42/1000</f>
        <v>6.6917006646000008</v>
      </c>
      <c r="P68" s="97">
        <f>'Monthly Ethanol Data'!$H330*42/1000</f>
        <v>18.275640549400002</v>
      </c>
      <c r="Q68" s="97">
        <f>'Monthly Ethanol Data'!$H342*42/1000</f>
        <v>4.3391114842440013</v>
      </c>
      <c r="R68" s="97">
        <f>'Monthly Ethanol Data'!$H354*42/1000</f>
        <v>13.534495338681937</v>
      </c>
      <c r="S68" s="97">
        <f>'Monthly Ethanol Data'!$H366*42/1000</f>
        <v>44.790954744664369</v>
      </c>
      <c r="T68" s="97">
        <f>'Monthly Ethanol Data'!$H378*42/1000</f>
        <v>75.860689595050474</v>
      </c>
      <c r="U68" s="97">
        <f>'Monthly Ethanol Data'!$H390*42/1000</f>
        <v>63.587829851984338</v>
      </c>
      <c r="V68" s="97">
        <f>'Monthly Ethanol Data'!$H402*42/1000</f>
        <v>87.779622286621532</v>
      </c>
      <c r="W68" s="97">
        <f>'Monthly Ethanol Data'!$H414*42/1000</f>
        <v>70.620700531778581</v>
      </c>
      <c r="X68" s="97">
        <f>'Monthly Ethanol Data'!$H426*42/1000</f>
        <v>96.34983872288602</v>
      </c>
      <c r="Y68" s="97">
        <f>'Monthly Ethanol Data'!$H438*42/1000</f>
        <v>117.6851815259113</v>
      </c>
      <c r="Z68" s="97">
        <f>'Monthly Ethanol Data'!$H450*42/1000</f>
        <v>105.88596638144878</v>
      </c>
      <c r="AA68" s="97">
        <f>'Monthly Ethanol Data'!$H462*42/1000</f>
        <v>136.17713219968243</v>
      </c>
      <c r="AB68" s="97">
        <f>'Monthly Ethanol Data'!$H474*42/1000</f>
        <v>145.22185707756887</v>
      </c>
      <c r="AC68" s="97">
        <f>'Monthly Ethanol Data'!$H486*42/1000</f>
        <v>162.42954448791545</v>
      </c>
      <c r="AD68" s="97">
        <f>'Monthly Ethanol Data'!$H498*42/1000</f>
        <v>107.68895813135168</v>
      </c>
      <c r="AE68" s="97">
        <f>'Monthly Ethanol Data'!$H510*42/1000</f>
        <v>117.02228264717289</v>
      </c>
      <c r="AF68" s="97">
        <f>'Monthly Ethanol Data'!$H522*42/1000</f>
        <v>150.10235873928653</v>
      </c>
      <c r="AG68" s="97">
        <f>'Monthly Ethanol Data'!$H534*42/1000</f>
        <v>198.20909269585451</v>
      </c>
      <c r="AH68" s="77">
        <f t="shared" si="63"/>
        <v>156.80048248044272</v>
      </c>
      <c r="AI68" s="77">
        <f t="shared" si="64"/>
        <v>133.22437019732482</v>
      </c>
      <c r="AJ68" s="77">
        <f t="shared" si="65"/>
        <v>135.17142873599937</v>
      </c>
      <c r="AK68" s="77">
        <f t="shared" si="65"/>
        <v>140.30112325100657</v>
      </c>
      <c r="AL68" s="77">
        <f t="shared" si="65"/>
        <v>134.32020969919051</v>
      </c>
      <c r="AM68" s="77">
        <f t="shared" si="65"/>
        <v>141.42712914085703</v>
      </c>
      <c r="AN68" s="77">
        <f t="shared" si="65"/>
        <v>150.29640040031441</v>
      </c>
      <c r="AO68" s="77">
        <f t="shared" si="65"/>
        <v>144.33858565820222</v>
      </c>
      <c r="AP68" s="77">
        <f t="shared" si="65"/>
        <v>148.66570410116407</v>
      </c>
      <c r="AQ68" s="77">
        <f t="shared" si="65"/>
        <v>149.61756803148859</v>
      </c>
      <c r="AR68" s="77">
        <f t="shared" si="65"/>
        <v>158.75086354539451</v>
      </c>
      <c r="AS68" s="77">
        <f t="shared" si="65"/>
        <v>159.03021126935602</v>
      </c>
      <c r="AT68" s="77">
        <f t="shared" si="65"/>
        <v>158.73757850337375</v>
      </c>
      <c r="AU68" s="77">
        <f t="shared" si="65"/>
        <v>158.61165465392997</v>
      </c>
      <c r="AV68" s="77">
        <f t="shared" si="65"/>
        <v>168.02933323028898</v>
      </c>
      <c r="AW68" s="77">
        <f t="shared" si="65"/>
        <v>177.5024957627061</v>
      </c>
      <c r="AX68" s="77">
        <f t="shared" si="65"/>
        <v>214.79850869364992</v>
      </c>
      <c r="AY68" s="77">
        <f t="shared" si="65"/>
        <v>242.83742169217072</v>
      </c>
      <c r="AZ68" s="77">
        <f t="shared" si="66"/>
        <v>261.43646791096347</v>
      </c>
      <c r="BA68" s="77">
        <f t="shared" si="66"/>
        <v>289.46759063121465</v>
      </c>
      <c r="BB68" s="77">
        <f t="shared" si="66"/>
        <v>308.17490789967292</v>
      </c>
      <c r="BC68" s="77">
        <f t="shared" si="66"/>
        <v>243.18540394760595</v>
      </c>
      <c r="BD68" s="77">
        <f t="shared" si="66"/>
        <v>243.26541178979321</v>
      </c>
      <c r="BE68" s="77">
        <f t="shared" si="66"/>
        <v>243.3584608556458</v>
      </c>
      <c r="BF68" s="77">
        <f t="shared" si="66"/>
        <v>243.44480131454682</v>
      </c>
      <c r="BV68" s="69" t="s">
        <v>20</v>
      </c>
      <c r="BW68" s="76">
        <f t="shared" si="68"/>
        <v>73.889996999999994</v>
      </c>
      <c r="BX68" s="76">
        <f t="shared" si="68"/>
        <v>48.791353999999956</v>
      </c>
      <c r="BY68" s="76">
        <f t="shared" si="68"/>
        <v>83.913921999999957</v>
      </c>
      <c r="BZ68" s="76">
        <f t="shared" si="68"/>
        <v>90.805586000000176</v>
      </c>
      <c r="CA68" s="76">
        <f t="shared" si="68"/>
        <v>91.858705999999984</v>
      </c>
      <c r="CB68" s="76">
        <f t="shared" si="68"/>
        <v>122.8057980000001</v>
      </c>
      <c r="CC68" s="76">
        <f t="shared" si="68"/>
        <v>120.00039700000002</v>
      </c>
      <c r="CD68" s="76">
        <f t="shared" si="68"/>
        <v>119.79279700000006</v>
      </c>
      <c r="CE68" s="76">
        <f t="shared" si="68"/>
        <v>74.410717999999861</v>
      </c>
      <c r="CF68" s="76">
        <f t="shared" si="68"/>
        <v>75.376717999999983</v>
      </c>
      <c r="CG68" s="79">
        <f t="shared" si="69"/>
        <v>105.77368320000001</v>
      </c>
      <c r="CH68" s="79">
        <f t="shared" si="69"/>
        <v>102.4772856</v>
      </c>
      <c r="CI68" s="79">
        <f t="shared" si="69"/>
        <v>99.070862639999987</v>
      </c>
      <c r="CJ68" s="79">
        <f t="shared" si="69"/>
        <v>95.566240359999981</v>
      </c>
      <c r="CK68" s="79">
        <f t="shared" si="69"/>
        <v>91.421853487999968</v>
      </c>
      <c r="CL68" s="79">
        <f t="shared" si="69"/>
        <v>95.652957959999995</v>
      </c>
      <c r="CM68" s="79">
        <f t="shared" si="69"/>
        <v>98.861985057599981</v>
      </c>
      <c r="CN68" s="79">
        <f t="shared" si="69"/>
        <v>96.837840009599987</v>
      </c>
      <c r="CO68" s="79">
        <f t="shared" si="69"/>
        <v>96.114779901119988</v>
      </c>
      <c r="CP68" s="79">
        <f t="shared" si="69"/>
        <v>95.668175375039979</v>
      </c>
      <c r="CQ68" s="79">
        <f t="shared" si="69"/>
        <v>95.777883283263989</v>
      </c>
      <c r="CR68" s="79">
        <f t="shared" si="69"/>
        <v>96.62714766067198</v>
      </c>
      <c r="CS68" s="79">
        <f t="shared" si="69"/>
        <v>96.652132725324776</v>
      </c>
      <c r="CT68" s="79">
        <f t="shared" si="69"/>
        <v>96.205165245939185</v>
      </c>
      <c r="CU68" s="79">
        <f t="shared" si="69"/>
        <v>96.168023789084145</v>
      </c>
      <c r="CV68" s="79">
        <f t="shared" si="71"/>
        <v>101.87688180000005</v>
      </c>
      <c r="CW68" s="79">
        <f t="shared" si="70"/>
        <v>109.05265680000007</v>
      </c>
      <c r="CX68" s="79">
        <f t="shared" si="70"/>
        <v>105.77368320000001</v>
      </c>
      <c r="CY68" s="79">
        <f t="shared" si="70"/>
        <v>102.4772856</v>
      </c>
      <c r="CZ68" s="69" t="s">
        <v>20</v>
      </c>
      <c r="DA68" s="76">
        <f t="shared" si="72"/>
        <v>102.4772856</v>
      </c>
    </row>
    <row r="69" spans="1:105">
      <c r="A69" s="69" t="s">
        <v>31</v>
      </c>
      <c r="B69" s="97">
        <f>'Monthly Ethanol Data'!$H163*42/1000</f>
        <v>8.8853397904000015</v>
      </c>
      <c r="C69" s="97">
        <f>'Monthly Ethanol Data'!$H175*42/1000</f>
        <v>15.678760361200004</v>
      </c>
      <c r="D69" s="97">
        <f>'Monthly Ethanol Data'!$H187*42/1000</f>
        <v>7.6813027156000011</v>
      </c>
      <c r="E69" s="97">
        <f>'Monthly Ethanol Data'!$H199*42/1000</f>
        <v>10.1724711998</v>
      </c>
      <c r="F69" s="97">
        <f>'Monthly Ethanol Data'!$H211*42/1000</f>
        <v>6.1155052994000005</v>
      </c>
      <c r="G69" s="97">
        <f>'Monthly Ethanol Data'!$H223*42/1000</f>
        <v>2.0026587212</v>
      </c>
      <c r="H69" s="97">
        <f>'Monthly Ethanol Data'!$H235*42/1000</f>
        <v>3.4020960024</v>
      </c>
      <c r="I69" s="97">
        <f>'Monthly Ethanol Data'!$H247*42/1000</f>
        <v>2.7516274122</v>
      </c>
      <c r="J69" s="97">
        <f>'Monthly Ethanol Data'!$H259*42/1000</f>
        <v>1.6755239033999998</v>
      </c>
      <c r="K69" s="97">
        <f>'Monthly Ethanol Data'!$H271*42/1000</f>
        <v>4.3320020634</v>
      </c>
      <c r="L69" s="97">
        <f>'Monthly Ethanol Data'!$H283*42/1000</f>
        <v>3.6692666672000005</v>
      </c>
      <c r="M69" s="97">
        <f>'Monthly Ethanol Data'!$H295*42/1000</f>
        <v>3.1725001258000001</v>
      </c>
      <c r="N69" s="97">
        <f>'Monthly Ethanol Data'!$H307*42/1000</f>
        <v>4.5622314916000004</v>
      </c>
      <c r="O69" s="97">
        <f>'Monthly Ethanol Data'!$H319*42/1000</f>
        <v>3.8419102708000006</v>
      </c>
      <c r="P69" s="97">
        <f>'Monthly Ethanol Data'!$H331*42/1000</f>
        <v>14.644713001000003</v>
      </c>
      <c r="Q69" s="97">
        <f>'Monthly Ethanol Data'!$H343*42/1000</f>
        <v>4.6297593304279996</v>
      </c>
      <c r="R69" s="97">
        <f>'Monthly Ethanol Data'!$H355*42/1000</f>
        <v>21.708729569584275</v>
      </c>
      <c r="S69" s="97">
        <f>'Monthly Ethanol Data'!$H367*42/1000</f>
        <v>71.550188751020357</v>
      </c>
      <c r="T69" s="97">
        <f>'Monthly Ethanol Data'!$H379*42/1000</f>
        <v>76.294437062299721</v>
      </c>
      <c r="U69" s="97">
        <f>'Monthly Ethanol Data'!$H391*42/1000</f>
        <v>42.506810094547227</v>
      </c>
      <c r="V69" s="97">
        <f>'Monthly Ethanol Data'!$H403*42/1000</f>
        <v>63.585050496511592</v>
      </c>
      <c r="W69" s="97">
        <f>'Monthly Ethanol Data'!$H415*42/1000</f>
        <v>72.519394992880549</v>
      </c>
      <c r="X69" s="97">
        <f>'Monthly Ethanol Data'!$H427*42/1000</f>
        <v>85.059284727413939</v>
      </c>
      <c r="Y69" s="97">
        <f>'Monthly Ethanol Data'!$H439*42/1000</f>
        <v>148.78176657218108</v>
      </c>
      <c r="Z69" s="97">
        <f>'Monthly Ethanol Data'!$H451*42/1000</f>
        <v>199.40033629118111</v>
      </c>
      <c r="AA69" s="97">
        <f>'Monthly Ethanol Data'!$H463*42/1000</f>
        <v>95.757664295281089</v>
      </c>
      <c r="AB69" s="97">
        <f>'Monthly Ethanol Data'!$H475*42/1000</f>
        <v>163.49922069207827</v>
      </c>
      <c r="AC69" s="97">
        <f>'Monthly Ethanol Data'!$H487*42/1000</f>
        <v>93.400042795892645</v>
      </c>
      <c r="AD69" s="97">
        <f>'Monthly Ethanol Data'!$H499*42/1000</f>
        <v>143.52073936508862</v>
      </c>
      <c r="AE69" s="97">
        <f>'Monthly Ethanol Data'!$H511*42/1000</f>
        <v>107.01781496967834</v>
      </c>
      <c r="AF69" s="97">
        <f>'Monthly Ethanol Data'!$H523*42/1000</f>
        <v>139.19933550165743</v>
      </c>
      <c r="AG69" s="77">
        <f t="shared" ref="AG69:AG75" si="73">(SUM(AB69:AF69)/SUM(AB$76:AF$76))*AG$76</f>
        <v>194.99657188208619</v>
      </c>
      <c r="AH69" s="77">
        <f t="shared" si="63"/>
        <v>148.56881667206568</v>
      </c>
      <c r="AI69" s="77">
        <f t="shared" si="64"/>
        <v>122.84148142398608</v>
      </c>
      <c r="AJ69" s="77">
        <f t="shared" si="65"/>
        <v>135.81598293092222</v>
      </c>
      <c r="AK69" s="77">
        <f t="shared" si="65"/>
        <v>132.36355854979635</v>
      </c>
      <c r="AL69" s="77">
        <f t="shared" si="65"/>
        <v>128.74853035556296</v>
      </c>
      <c r="AM69" s="77">
        <f t="shared" si="65"/>
        <v>136.034520640529</v>
      </c>
      <c r="AN69" s="77">
        <f t="shared" si="65"/>
        <v>143.53575730090381</v>
      </c>
      <c r="AO69" s="77">
        <f t="shared" si="65"/>
        <v>138.29881830561015</v>
      </c>
      <c r="AP69" s="77">
        <f t="shared" si="65"/>
        <v>143.36388869461496</v>
      </c>
      <c r="AQ69" s="77">
        <f t="shared" si="65"/>
        <v>142.94340740050575</v>
      </c>
      <c r="AR69" s="77">
        <f t="shared" si="65"/>
        <v>152.33358129938642</v>
      </c>
      <c r="AS69" s="77">
        <f t="shared" si="65"/>
        <v>152.49679834161503</v>
      </c>
      <c r="AT69" s="77">
        <f t="shared" si="65"/>
        <v>152.15009566481194</v>
      </c>
      <c r="AU69" s="77">
        <f t="shared" si="65"/>
        <v>152.15239753017727</v>
      </c>
      <c r="AV69" s="77">
        <f t="shared" si="65"/>
        <v>161.19493837610619</v>
      </c>
      <c r="AW69" s="77">
        <f t="shared" si="65"/>
        <v>170.11249195825513</v>
      </c>
      <c r="AX69" s="77">
        <f t="shared" si="65"/>
        <v>206.01790299858402</v>
      </c>
      <c r="AY69" s="77">
        <f t="shared" si="65"/>
        <v>232.84971328005801</v>
      </c>
      <c r="AZ69" s="77">
        <f t="shared" si="66"/>
        <v>250.69765045512943</v>
      </c>
      <c r="BA69" s="77">
        <f t="shared" si="66"/>
        <v>277.59369678095726</v>
      </c>
      <c r="BB69" s="77">
        <f t="shared" si="66"/>
        <v>295.51578073024893</v>
      </c>
      <c r="BC69" s="77">
        <f t="shared" si="66"/>
        <v>233.18542283871261</v>
      </c>
      <c r="BD69" s="77">
        <f t="shared" si="66"/>
        <v>233.28139778426711</v>
      </c>
      <c r="BE69" s="77">
        <f t="shared" si="66"/>
        <v>233.36079840362308</v>
      </c>
      <c r="BF69" s="77">
        <f t="shared" si="66"/>
        <v>233.4474414582792</v>
      </c>
      <c r="BV69" s="69" t="s">
        <v>21</v>
      </c>
      <c r="BW69" s="76">
        <f t="shared" si="68"/>
        <v>22.89645500000006</v>
      </c>
      <c r="BX69" s="76">
        <f t="shared" si="68"/>
        <v>14.291621000000077</v>
      </c>
      <c r="BY69" s="76">
        <f t="shared" si="68"/>
        <v>101.10477500000002</v>
      </c>
      <c r="BZ69" s="76">
        <f t="shared" si="68"/>
        <v>119.56867000000011</v>
      </c>
      <c r="CA69" s="76">
        <f t="shared" si="68"/>
        <v>100.60797500000012</v>
      </c>
      <c r="CB69" s="76">
        <f t="shared" si="68"/>
        <v>108.61922200000004</v>
      </c>
      <c r="CC69" s="76">
        <f t="shared" si="68"/>
        <v>124.58338100000014</v>
      </c>
      <c r="CD69" s="76">
        <f t="shared" si="68"/>
        <v>99.447893000000022</v>
      </c>
      <c r="CE69" s="76">
        <f t="shared" si="68"/>
        <v>67.68104500000004</v>
      </c>
      <c r="CF69" s="76">
        <f t="shared" si="68"/>
        <v>214.00904500000001</v>
      </c>
      <c r="CG69" s="79">
        <f t="shared" si="69"/>
        <v>100.18790320000008</v>
      </c>
      <c r="CH69" s="79">
        <f t="shared" si="69"/>
        <v>122.86811720000006</v>
      </c>
      <c r="CI69" s="79">
        <f t="shared" si="69"/>
        <v>121.18185344000005</v>
      </c>
      <c r="CJ69" s="79">
        <f t="shared" si="69"/>
        <v>120.83880068000003</v>
      </c>
      <c r="CK69" s="79">
        <f t="shared" si="69"/>
        <v>125.18559276800003</v>
      </c>
      <c r="CL69" s="79">
        <f t="shared" si="69"/>
        <v>135.81714390400003</v>
      </c>
      <c r="CM69" s="79">
        <f t="shared" si="69"/>
        <v>118.05245345760004</v>
      </c>
      <c r="CN69" s="79">
        <f t="shared" si="69"/>
        <v>125.17830159840005</v>
      </c>
      <c r="CO69" s="79">
        <f t="shared" si="69"/>
        <v>124.21516884992005</v>
      </c>
      <c r="CP69" s="79">
        <f t="shared" si="69"/>
        <v>125.01445848160003</v>
      </c>
      <c r="CQ69" s="79">
        <f t="shared" si="69"/>
        <v>125.68973211558405</v>
      </c>
      <c r="CR69" s="79">
        <f t="shared" si="69"/>
        <v>125.65550525830403</v>
      </c>
      <c r="CS69" s="79">
        <f t="shared" si="69"/>
        <v>123.63002290062086</v>
      </c>
      <c r="CT69" s="79">
        <f t="shared" si="69"/>
        <v>125.15063326076162</v>
      </c>
      <c r="CU69" s="79">
        <f t="shared" si="69"/>
        <v>124.84097752120579</v>
      </c>
      <c r="CV69" s="79">
        <f t="shared" si="71"/>
        <v>110.89680460000008</v>
      </c>
      <c r="CW69" s="79">
        <f t="shared" si="70"/>
        <v>110.56542820000008</v>
      </c>
      <c r="CX69" s="79">
        <f t="shared" si="70"/>
        <v>100.18790320000008</v>
      </c>
      <c r="CY69" s="79">
        <f t="shared" si="70"/>
        <v>122.86811720000006</v>
      </c>
      <c r="CZ69" s="69" t="s">
        <v>21</v>
      </c>
      <c r="DA69" s="76">
        <f t="shared" si="72"/>
        <v>122.86811720000006</v>
      </c>
    </row>
    <row r="70" spans="1:105">
      <c r="A70" s="69" t="s">
        <v>32</v>
      </c>
      <c r="B70" s="97">
        <f>'Monthly Ethanol Data'!$H164*42/1000</f>
        <v>15.0394161762</v>
      </c>
      <c r="C70" s="97">
        <f>'Monthly Ethanol Data'!$H176*42/1000</f>
        <v>22.179099909000005</v>
      </c>
      <c r="D70" s="97">
        <f>'Monthly Ethanol Data'!$H188*42/1000</f>
        <v>13.465043884800002</v>
      </c>
      <c r="E70" s="97">
        <f>'Monthly Ethanol Data'!$H200*42/1000</f>
        <v>18.102519008000002</v>
      </c>
      <c r="F70" s="97">
        <f>'Monthly Ethanol Data'!$H212*42/1000</f>
        <v>2.8352918903999997</v>
      </c>
      <c r="G70" s="97">
        <f>'Monthly Ethanol Data'!$H224*42/1000</f>
        <v>2.3312690960000011</v>
      </c>
      <c r="H70" s="97">
        <f>'Monthly Ethanol Data'!$H236*42/1000</f>
        <v>2.3743725333999999</v>
      </c>
      <c r="I70" s="97">
        <f>'Monthly Ethanol Data'!$H248*42/1000</f>
        <v>10.956124066800003</v>
      </c>
      <c r="J70" s="97">
        <f>'Monthly Ethanol Data'!$H260*42/1000</f>
        <v>4.7879932978000008</v>
      </c>
      <c r="K70" s="97">
        <f>'Monthly Ethanol Data'!$H272*42/1000</f>
        <v>4.0065966988000001</v>
      </c>
      <c r="L70" s="97">
        <f>'Monthly Ethanol Data'!$H284*42/1000</f>
        <v>4.1630511832000003</v>
      </c>
      <c r="M70" s="97">
        <f>'Monthly Ethanol Data'!$H296*42/1000</f>
        <v>3.4517899088000004</v>
      </c>
      <c r="N70" s="97">
        <f>'Monthly Ethanol Data'!$H308*42/1000</f>
        <v>5.7159453356000007</v>
      </c>
      <c r="O70" s="97">
        <f>'Monthly Ethanol Data'!$H320*42/1000</f>
        <v>7.7338642488000007</v>
      </c>
      <c r="P70" s="97">
        <f>'Monthly Ethanol Data'!$H332*42/1000</f>
        <v>21.557001907399997</v>
      </c>
      <c r="Q70" s="97">
        <f>'Monthly Ethanol Data'!$H344*42/1000</f>
        <v>5.2668909450599974</v>
      </c>
      <c r="R70" s="97">
        <f>'Monthly Ethanol Data'!$H356*42/1000</f>
        <v>43.743714419309931</v>
      </c>
      <c r="S70" s="97">
        <f>'Monthly Ethanol Data'!$H368*42/1000</f>
        <v>84.034613423644984</v>
      </c>
      <c r="T70" s="97">
        <f>'Monthly Ethanol Data'!$H380*42/1000</f>
        <v>77.46856694519218</v>
      </c>
      <c r="U70" s="97">
        <f>'Monthly Ethanol Data'!$H392*42/1000</f>
        <v>54.866730948563031</v>
      </c>
      <c r="V70" s="97">
        <f>'Monthly Ethanol Data'!$H404*42/1000</f>
        <v>80.631789158902208</v>
      </c>
      <c r="W70" s="97">
        <f>'Monthly Ethanol Data'!$H416*42/1000</f>
        <v>91.313680156178592</v>
      </c>
      <c r="X70" s="97">
        <f>'Monthly Ethanol Data'!$H428*42/1000</f>
        <v>110.99869261189673</v>
      </c>
      <c r="Y70" s="97">
        <f>'Monthly Ethanol Data'!$H440*42/1000</f>
        <v>126.8644448025445</v>
      </c>
      <c r="Z70" s="97">
        <f>'Monthly Ethanol Data'!$H452*42/1000</f>
        <v>231.63159419983572</v>
      </c>
      <c r="AA70" s="97">
        <f>'Monthly Ethanol Data'!$H464*42/1000</f>
        <v>160.67641391553357</v>
      </c>
      <c r="AB70" s="97">
        <f>'Monthly Ethanol Data'!$H476*42/1000</f>
        <v>164.21928853149328</v>
      </c>
      <c r="AC70" s="97">
        <f>'Monthly Ethanol Data'!$H488*42/1000</f>
        <v>143.05117332072351</v>
      </c>
      <c r="AD70" s="97">
        <f>'Monthly Ethanol Data'!$H500*42/1000</f>
        <v>112.77296435524818</v>
      </c>
      <c r="AE70" s="97">
        <f>'Monthly Ethanol Data'!$H512*42/1000</f>
        <v>118.092860697858</v>
      </c>
      <c r="AF70" s="97">
        <f>'Monthly Ethanol Data'!$H524*42/1000</f>
        <v>159.47821663797757</v>
      </c>
      <c r="AG70" s="77">
        <f t="shared" si="73"/>
        <v>210.36903924684381</v>
      </c>
      <c r="AH70" s="77">
        <f t="shared" si="63"/>
        <v>160.28117275950004</v>
      </c>
      <c r="AI70" s="77">
        <f t="shared" si="64"/>
        <v>134.73006050438835</v>
      </c>
      <c r="AJ70" s="77">
        <f t="shared" si="65"/>
        <v>140.94466180151193</v>
      </c>
      <c r="AK70" s="77">
        <f t="shared" si="65"/>
        <v>145.42623299687958</v>
      </c>
      <c r="AL70" s="77">
        <f t="shared" si="65"/>
        <v>139.92833376501522</v>
      </c>
      <c r="AM70" s="77">
        <f t="shared" si="65"/>
        <v>146.6205865387266</v>
      </c>
      <c r="AN70" s="77">
        <f t="shared" si="65"/>
        <v>154.91231394948619</v>
      </c>
      <c r="AO70" s="77">
        <f t="shared" si="65"/>
        <v>149.23228669253177</v>
      </c>
      <c r="AP70" s="77">
        <f t="shared" si="65"/>
        <v>154.24257039504522</v>
      </c>
      <c r="AQ70" s="77">
        <f t="shared" si="65"/>
        <v>154.97257977739775</v>
      </c>
      <c r="AR70" s="77">
        <f t="shared" si="65"/>
        <v>164.46640977654135</v>
      </c>
      <c r="AS70" s="77">
        <f t="shared" si="65"/>
        <v>164.5817291083336</v>
      </c>
      <c r="AT70" s="77">
        <f t="shared" si="65"/>
        <v>164.26142521797567</v>
      </c>
      <c r="AU70" s="77">
        <f t="shared" si="65"/>
        <v>164.26288083125698</v>
      </c>
      <c r="AV70" s="77">
        <f t="shared" si="65"/>
        <v>174.04150430066611</v>
      </c>
      <c r="AW70" s="77">
        <f t="shared" si="65"/>
        <v>183.78994606569768</v>
      </c>
      <c r="AX70" s="77">
        <f t="shared" si="65"/>
        <v>222.40838177209062</v>
      </c>
      <c r="AY70" s="77">
        <f t="shared" si="65"/>
        <v>251.4133479957066</v>
      </c>
      <c r="AZ70" s="77">
        <f t="shared" si="66"/>
        <v>270.69570073675783</v>
      </c>
      <c r="BA70" s="77">
        <f t="shared" si="66"/>
        <v>299.74172708667919</v>
      </c>
      <c r="BB70" s="77">
        <f t="shared" si="66"/>
        <v>319.10099183105541</v>
      </c>
      <c r="BC70" s="77">
        <f t="shared" si="66"/>
        <v>251.79841463957879</v>
      </c>
      <c r="BD70" s="77">
        <f t="shared" si="66"/>
        <v>251.88320491099745</v>
      </c>
      <c r="BE70" s="77">
        <f t="shared" si="66"/>
        <v>251.97910129458214</v>
      </c>
      <c r="BF70" s="77">
        <f t="shared" si="66"/>
        <v>252.07333209852271</v>
      </c>
      <c r="BV70" s="69" t="s">
        <v>10</v>
      </c>
      <c r="BW70" s="76">
        <f t="shared" si="68"/>
        <v>57.631797000000006</v>
      </c>
      <c r="BX70" s="76">
        <f t="shared" si="68"/>
        <v>63.406974999999875</v>
      </c>
      <c r="BY70" s="76">
        <f t="shared" si="68"/>
        <v>129.83822999999984</v>
      </c>
      <c r="BZ70" s="76">
        <f>Z36-BZ57</f>
        <v>106.48154700000009</v>
      </c>
      <c r="CA70" s="76">
        <f t="shared" si="68"/>
        <v>137.46254299999987</v>
      </c>
      <c r="CB70" s="76">
        <f t="shared" si="68"/>
        <v>162.22820400000001</v>
      </c>
      <c r="CC70" s="76">
        <f t="shared" si="68"/>
        <v>137.39611400000013</v>
      </c>
      <c r="CD70" s="76">
        <f t="shared" si="68"/>
        <v>144.79550499999982</v>
      </c>
      <c r="CE70" s="76">
        <f t="shared" si="68"/>
        <v>103.62499500000013</v>
      </c>
      <c r="CF70" s="76">
        <f>AF36-CF57</f>
        <v>94.342994999999974</v>
      </c>
      <c r="CG70" s="79">
        <f t="shared" si="69"/>
        <v>137.10147219999999</v>
      </c>
      <c r="CH70" s="79">
        <f t="shared" si="69"/>
        <v>128.4775626</v>
      </c>
      <c r="CI70" s="79">
        <f t="shared" si="69"/>
        <v>123.45221624000001</v>
      </c>
      <c r="CJ70" s="79">
        <f t="shared" si="69"/>
        <v>121.66850595999999</v>
      </c>
      <c r="CK70" s="79">
        <f t="shared" si="69"/>
        <v>117.39984820800002</v>
      </c>
      <c r="CL70" s="79">
        <f t="shared" si="69"/>
        <v>121.00855039999999</v>
      </c>
      <c r="CM70" s="79">
        <f t="shared" si="69"/>
        <v>125.61992104160001</v>
      </c>
      <c r="CN70" s="79">
        <f t="shared" si="69"/>
        <v>122.40133668160001</v>
      </c>
      <c r="CO70" s="79">
        <f t="shared" si="69"/>
        <v>121.82980836992002</v>
      </c>
      <c r="CP70" s="79">
        <f t="shared" si="69"/>
        <v>121.61963245824002</v>
      </c>
      <c r="CQ70" s="79">
        <f t="shared" si="69"/>
        <v>121.651892940224</v>
      </c>
      <c r="CR70" s="79">
        <f t="shared" si="69"/>
        <v>122.49584979027202</v>
      </c>
      <c r="CS70" s="79">
        <f t="shared" si="69"/>
        <v>122.6245182983168</v>
      </c>
      <c r="CT70" s="79">
        <f t="shared" si="69"/>
        <v>121.99970404805121</v>
      </c>
      <c r="CU70" s="79">
        <f t="shared" si="69"/>
        <v>122.04434037139458</v>
      </c>
      <c r="CV70" s="79">
        <f t="shared" si="71"/>
        <v>134.68132759999997</v>
      </c>
      <c r="CW70" s="79">
        <f t="shared" si="70"/>
        <v>137.67278259999998</v>
      </c>
      <c r="CX70" s="79">
        <f t="shared" si="70"/>
        <v>137.10147219999999</v>
      </c>
      <c r="CY70" s="79">
        <f t="shared" si="70"/>
        <v>128.4775626</v>
      </c>
      <c r="CZ70" s="69" t="s">
        <v>10</v>
      </c>
      <c r="DA70" s="76">
        <f t="shared" si="72"/>
        <v>128.4775626</v>
      </c>
    </row>
    <row r="71" spans="1:105">
      <c r="A71" s="69" t="s">
        <v>33</v>
      </c>
      <c r="B71" s="97">
        <f>'Monthly Ethanol Data'!$H165*42/1000</f>
        <v>26.659546705400007</v>
      </c>
      <c r="C71" s="97">
        <f>'Monthly Ethanol Data'!$H177*42/1000</f>
        <v>43.035143549400004</v>
      </c>
      <c r="D71" s="97">
        <f>'Monthly Ethanol Data'!$H189*42/1000</f>
        <v>7.6878421940000017</v>
      </c>
      <c r="E71" s="97">
        <f>'Monthly Ethanol Data'!$H201*42/1000</f>
        <v>8.136835563</v>
      </c>
      <c r="F71" s="97">
        <f>'Monthly Ethanol Data'!$H213*42/1000</f>
        <v>3.0181267448000004</v>
      </c>
      <c r="G71" s="97">
        <f>'Monthly Ethanol Data'!$H225*42/1000</f>
        <v>1.1067665607999999</v>
      </c>
      <c r="H71" s="97">
        <f>'Monthly Ethanol Data'!$H237*42/1000</f>
        <v>1.7033024198</v>
      </c>
      <c r="I71" s="97">
        <f>'Monthly Ethanol Data'!$H249*42/1000</f>
        <v>3.5620894457999999</v>
      </c>
      <c r="J71" s="97">
        <f>'Monthly Ethanol Data'!$H261*42/1000</f>
        <v>5.9972187322000012</v>
      </c>
      <c r="K71" s="97">
        <f>'Monthly Ethanol Data'!$H273*42/1000</f>
        <v>4.7179985276000016</v>
      </c>
      <c r="L71" s="97">
        <f>'Monthly Ethanol Data'!$H285*42/1000</f>
        <v>3.9757539908000004</v>
      </c>
      <c r="M71" s="97">
        <f>'Monthly Ethanol Data'!$H297*42/1000</f>
        <v>3.0651950316000001</v>
      </c>
      <c r="N71" s="97">
        <f>'Monthly Ethanol Data'!$H309*42/1000</f>
        <v>5.8497843000000005</v>
      </c>
      <c r="O71" s="97">
        <f>'Monthly Ethanol Data'!$H321*42/1000</f>
        <v>11.6593367524</v>
      </c>
      <c r="P71" s="97">
        <f>'Monthly Ethanol Data'!$H333*42/1000</f>
        <v>11.132945200799998</v>
      </c>
      <c r="Q71" s="97">
        <f>'Monthly Ethanol Data'!$H345*42/1000</f>
        <v>5.509362271948004</v>
      </c>
      <c r="R71" s="97">
        <f>'Monthly Ethanol Data'!$H357*42/1000</f>
        <v>43.175615851387299</v>
      </c>
      <c r="S71" s="97">
        <f>'Monthly Ethanol Data'!$H369*42/1000</f>
        <v>116.3775371756296</v>
      </c>
      <c r="T71" s="97">
        <f>'Monthly Ethanol Data'!$H381*42/1000</f>
        <v>69.222117551335259</v>
      </c>
      <c r="U71" s="97">
        <f>'Monthly Ethanol Data'!$H393*42/1000</f>
        <v>40.567170002720971</v>
      </c>
      <c r="V71" s="97">
        <f>'Monthly Ethanol Data'!$H405*42/1000</f>
        <v>69.164353927315673</v>
      </c>
      <c r="W71" s="97">
        <f>'Monthly Ethanol Data'!$H417*42/1000</f>
        <v>82.363270028874012</v>
      </c>
      <c r="X71" s="97">
        <f>'Monthly Ethanol Data'!$H429*42/1000</f>
        <v>122.67056276598836</v>
      </c>
      <c r="Y71" s="97">
        <f>'Monthly Ethanol Data'!$H441*42/1000</f>
        <v>87.492529210838455</v>
      </c>
      <c r="Z71" s="97">
        <f>'Monthly Ethanol Data'!$H453*42/1000</f>
        <v>154.3262972835175</v>
      </c>
      <c r="AA71" s="97">
        <f>'Monthly Ethanol Data'!$H465*42/1000</f>
        <v>143.78727614710166</v>
      </c>
      <c r="AB71" s="97">
        <f>'Monthly Ethanol Data'!$H477*42/1000</f>
        <v>91.381176411537979</v>
      </c>
      <c r="AC71" s="97">
        <f>'Monthly Ethanol Data'!$H489*42/1000</f>
        <v>105.22519568554</v>
      </c>
      <c r="AD71" s="97">
        <f>'Monthly Ethanol Data'!$H501*42/1000</f>
        <v>194.2694262972835</v>
      </c>
      <c r="AE71" s="97">
        <f>'Monthly Ethanol Data'!$H513*42/1000</f>
        <v>119.63949683680403</v>
      </c>
      <c r="AF71" s="97">
        <f>'Monthly Ethanol Data'!$H525*42/1000</f>
        <v>214.36526090158748</v>
      </c>
      <c r="AG71" s="77">
        <f t="shared" si="73"/>
        <v>218.59124973438853</v>
      </c>
      <c r="AH71" s="77">
        <f t="shared" si="63"/>
        <v>166.54571408334365</v>
      </c>
      <c r="AI71" s="77">
        <f t="shared" si="64"/>
        <v>154.35297058771022</v>
      </c>
      <c r="AJ71" s="77">
        <f t="shared" si="65"/>
        <v>169.1739782454608</v>
      </c>
      <c r="AK71" s="77">
        <f t="shared" si="65"/>
        <v>162.24385160858361</v>
      </c>
      <c r="AL71" s="77">
        <f t="shared" si="65"/>
        <v>160.28472229153371</v>
      </c>
      <c r="AM71" s="77">
        <f t="shared" si="65"/>
        <v>161.27921560360866</v>
      </c>
      <c r="AN71" s="77">
        <f t="shared" si="65"/>
        <v>174.51838643041759</v>
      </c>
      <c r="AO71" s="77">
        <f t="shared" si="65"/>
        <v>170.25426454723677</v>
      </c>
      <c r="AP71" s="77">
        <f t="shared" si="65"/>
        <v>175.36427108441944</v>
      </c>
      <c r="AQ71" s="77">
        <f t="shared" si="65"/>
        <v>174.43798746976427</v>
      </c>
      <c r="AR71" s="77">
        <f t="shared" si="65"/>
        <v>185.83005999055422</v>
      </c>
      <c r="AS71" s="77">
        <f t="shared" si="65"/>
        <v>185.34420544334515</v>
      </c>
      <c r="AT71" s="77">
        <f t="shared" si="65"/>
        <v>185.92403083081578</v>
      </c>
      <c r="AU71" s="77">
        <f t="shared" si="65"/>
        <v>185.90090067607898</v>
      </c>
      <c r="AV71" s="77">
        <f t="shared" si="65"/>
        <v>196.67722875590576</v>
      </c>
      <c r="AW71" s="77">
        <f t="shared" si="65"/>
        <v>207.51555361667391</v>
      </c>
      <c r="AX71" s="77">
        <f t="shared" si="65"/>
        <v>251.30881152353604</v>
      </c>
      <c r="AY71" s="77">
        <f t="shared" si="65"/>
        <v>284.03874889083306</v>
      </c>
      <c r="AZ71" s="77">
        <f t="shared" si="66"/>
        <v>306.01215650302441</v>
      </c>
      <c r="BA71" s="77">
        <f t="shared" si="66"/>
        <v>338.72503444032878</v>
      </c>
      <c r="BB71" s="77">
        <f t="shared" si="66"/>
        <v>360.5546708470975</v>
      </c>
      <c r="BC71" s="77">
        <f t="shared" si="66"/>
        <v>284.51269245301791</v>
      </c>
      <c r="BD71" s="77">
        <f t="shared" si="66"/>
        <v>284.63586488252167</v>
      </c>
      <c r="BE71" s="77">
        <f t="shared" si="66"/>
        <v>284.74282476867467</v>
      </c>
      <c r="BF71" s="77">
        <f t="shared" si="66"/>
        <v>284.8612792464055</v>
      </c>
      <c r="BV71" s="69" t="s">
        <v>11</v>
      </c>
      <c r="BW71" s="76">
        <f t="shared" si="68"/>
        <v>48.690882000000101</v>
      </c>
      <c r="BX71" s="76">
        <f t="shared" si="68"/>
        <v>47.50309500000003</v>
      </c>
      <c r="BY71" s="76">
        <f t="shared" si="68"/>
        <v>89.840543999999909</v>
      </c>
      <c r="BZ71" s="76">
        <f t="shared" si="68"/>
        <v>141.06694599999992</v>
      </c>
      <c r="CA71" s="76">
        <f t="shared" si="68"/>
        <v>67.638042999999925</v>
      </c>
      <c r="CB71" s="76">
        <f t="shared" si="68"/>
        <v>139.73506799999996</v>
      </c>
      <c r="CC71" s="76">
        <f t="shared" si="68"/>
        <v>72.49360999999999</v>
      </c>
      <c r="CD71" s="76">
        <f t="shared" si="68"/>
        <v>122.33066499999995</v>
      </c>
      <c r="CE71" s="76">
        <f t="shared" si="68"/>
        <v>55.991699000000153</v>
      </c>
      <c r="CF71" s="76">
        <f t="shared" si="68"/>
        <v>189.08969900000011</v>
      </c>
      <c r="CG71" s="79">
        <f t="shared" si="69"/>
        <v>91.637816999999998</v>
      </c>
      <c r="CH71" s="79">
        <f t="shared" si="69"/>
        <v>115.92814820000004</v>
      </c>
      <c r="CI71" s="79">
        <f t="shared" si="69"/>
        <v>106.30869800000005</v>
      </c>
      <c r="CJ71" s="79">
        <f t="shared" si="69"/>
        <v>114.99560564000005</v>
      </c>
      <c r="CK71" s="79">
        <f t="shared" si="69"/>
        <v>111.79121224000008</v>
      </c>
      <c r="CL71" s="79">
        <f t="shared" si="69"/>
        <v>123.59199356800005</v>
      </c>
      <c r="CM71" s="79">
        <f t="shared" si="69"/>
        <v>108.13229621600006</v>
      </c>
      <c r="CN71" s="79">
        <f t="shared" si="69"/>
        <v>114.52313152960005</v>
      </c>
      <c r="CO71" s="79">
        <f t="shared" si="69"/>
        <v>112.96396113280007</v>
      </c>
      <c r="CP71" s="79">
        <f t="shared" si="69"/>
        <v>114.60684783872007</v>
      </c>
      <c r="CQ71" s="79">
        <f t="shared" si="69"/>
        <v>114.20051893728005</v>
      </c>
      <c r="CR71" s="79">
        <f t="shared" si="69"/>
        <v>114.76364605702406</v>
      </c>
      <c r="CS71" s="79">
        <f t="shared" si="69"/>
        <v>112.88535113088005</v>
      </c>
      <c r="CT71" s="79">
        <f t="shared" si="69"/>
        <v>114.21162109908487</v>
      </c>
      <c r="CU71" s="79">
        <f t="shared" si="69"/>
        <v>113.88406501934087</v>
      </c>
      <c r="CV71" s="79">
        <f t="shared" si="71"/>
        <v>102.15484219999993</v>
      </c>
      <c r="CW71" s="79">
        <f t="shared" si="70"/>
        <v>108.65286639999995</v>
      </c>
      <c r="CX71" s="79">
        <f t="shared" si="70"/>
        <v>91.637816999999998</v>
      </c>
      <c r="CY71" s="79">
        <f t="shared" si="70"/>
        <v>115.92814820000004</v>
      </c>
      <c r="CZ71" s="69" t="s">
        <v>11</v>
      </c>
      <c r="DA71" s="76">
        <f t="shared" si="72"/>
        <v>115.92814820000004</v>
      </c>
    </row>
    <row r="72" spans="1:105">
      <c r="A72" s="69" t="s">
        <v>14</v>
      </c>
      <c r="B72" s="97">
        <f>'Monthly Ethanol Data'!$H166*42/1000</f>
        <v>13.760147358799999</v>
      </c>
      <c r="C72" s="97">
        <f>'Monthly Ethanol Data'!$H178*42/1000</f>
        <v>3.8943682376000002</v>
      </c>
      <c r="D72" s="97">
        <f>'Monthly Ethanol Data'!$H190*42/1000</f>
        <v>11.699891452400001</v>
      </c>
      <c r="E72" s="97">
        <f>'Monthly Ethanol Data'!$H202*42/1000</f>
        <v>2.3205423117999997</v>
      </c>
      <c r="F72" s="97">
        <f>'Monthly Ethanol Data'!$H214*42/1000</f>
        <v>5.3092630682000008</v>
      </c>
      <c r="G72" s="97">
        <f>'Monthly Ethanol Data'!$H226*42/1000</f>
        <v>3.3985023539999997</v>
      </c>
      <c r="H72" s="97">
        <f>'Monthly Ethanol Data'!$H238*42/1000</f>
        <v>2.4688295816000005</v>
      </c>
      <c r="I72" s="97">
        <f>'Monthly Ethanol Data'!$H250*42/1000</f>
        <v>6.742871977400001</v>
      </c>
      <c r="J72" s="97">
        <f>'Monthly Ethanol Data'!$H262*42/1000</f>
        <v>2.2964795042000001</v>
      </c>
      <c r="K72" s="97">
        <f>'Monthly Ethanol Data'!$H274*42/1000</f>
        <v>5.8773467008000004</v>
      </c>
      <c r="L72" s="97">
        <f>'Monthly Ethanol Data'!$H286*42/1000</f>
        <v>4.0329326832000003</v>
      </c>
      <c r="M72" s="97">
        <f>'Monthly Ethanol Data'!$H298*42/1000</f>
        <v>9.2200912299999978</v>
      </c>
      <c r="N72" s="97">
        <f>'Monthly Ethanol Data'!$H310*42/1000</f>
        <v>2.8041746786000008</v>
      </c>
      <c r="O72" s="97">
        <f>'Monthly Ethanol Data'!$H322*42/1000</f>
        <v>16.484283440000002</v>
      </c>
      <c r="P72" s="97">
        <f>'Monthly Ethanol Data'!$H334*42/1000</f>
        <v>14.8179233136</v>
      </c>
      <c r="Q72" s="97">
        <f>'Monthly Ethanol Data'!$H346*42/1000</f>
        <v>10.570013872435998</v>
      </c>
      <c r="R72" s="97">
        <f>'Monthly Ethanol Data'!$H358*42/1000</f>
        <v>19.794380793626054</v>
      </c>
      <c r="S72" s="97">
        <f>'Monthly Ethanol Data'!$H370*42/1000</f>
        <v>81.710173534702975</v>
      </c>
      <c r="T72" s="97">
        <f>'Monthly Ethanol Data'!$H382*42/1000</f>
        <v>63.686491027392009</v>
      </c>
      <c r="U72" s="97">
        <f>'Monthly Ethanol Data'!$H394*42/1000</f>
        <v>39.781041947899958</v>
      </c>
      <c r="V72" s="97">
        <f>'Monthly Ethanol Data'!$H406*42/1000</f>
        <v>53.016041062923172</v>
      </c>
      <c r="W72" s="97">
        <f>'Monthly Ethanol Data'!$H418*42/1000</f>
        <v>69.631482190832685</v>
      </c>
      <c r="X72" s="97">
        <f>'Monthly Ethanol Data'!$H430*42/1000</f>
        <v>67.586135451641965</v>
      </c>
      <c r="Y72" s="97">
        <f>'Monthly Ethanol Data'!$H442*42/1000</f>
        <v>120.85337149740714</v>
      </c>
      <c r="Z72" s="97">
        <f>'Monthly Ethanol Data'!$H454*42/1000</f>
        <v>91.189279628890901</v>
      </c>
      <c r="AA72" s="97">
        <f>'Monthly Ethanol Data'!$H466*42/1000</f>
        <v>97.697988593045409</v>
      </c>
      <c r="AB72" s="97">
        <f>'Monthly Ethanol Data'!$H478*42/1000</f>
        <v>70.713279935330647</v>
      </c>
      <c r="AC72" s="97">
        <f>'Monthly Ethanol Data'!$H490*42/1000</f>
        <v>79.560816133523176</v>
      </c>
      <c r="AD72" s="97">
        <f>'Monthly Ethanol Data'!$H502*42/1000</f>
        <v>138.98051016930793</v>
      </c>
      <c r="AE72" s="97">
        <f>'Monthly Ethanol Data'!$H514*42/1000</f>
        <v>112.20026010378793</v>
      </c>
      <c r="AF72" s="97">
        <f>'Monthly Ethanol Data'!$H526*42/1000</f>
        <v>154.54062569675372</v>
      </c>
      <c r="AG72" s="77">
        <f t="shared" si="73"/>
        <v>167.66313901399315</v>
      </c>
      <c r="AH72" s="77">
        <f t="shared" si="63"/>
        <v>127.74334401066145</v>
      </c>
      <c r="AI72" s="77">
        <f t="shared" si="64"/>
        <v>118.27856227076612</v>
      </c>
      <c r="AJ72" s="77">
        <f t="shared" si="65"/>
        <v>129.85673847648113</v>
      </c>
      <c r="AK72" s="77">
        <f t="shared" si="65"/>
        <v>126.38305050763547</v>
      </c>
      <c r="AL72" s="77">
        <f t="shared" si="65"/>
        <v>121.22254457857082</v>
      </c>
      <c r="AM72" s="77">
        <f t="shared" si="65"/>
        <v>124.06015449621061</v>
      </c>
      <c r="AN72" s="77">
        <f t="shared" si="65"/>
        <v>133.90265553699112</v>
      </c>
      <c r="AO72" s="77">
        <f t="shared" si="65"/>
        <v>130.70634394707201</v>
      </c>
      <c r="AP72" s="77">
        <f t="shared" si="65"/>
        <v>134.65963307992354</v>
      </c>
      <c r="AQ72" s="77">
        <f t="shared" si="65"/>
        <v>133.95257875083792</v>
      </c>
      <c r="AR72" s="77">
        <f t="shared" si="65"/>
        <v>142.30354075141634</v>
      </c>
      <c r="AS72" s="77">
        <f t="shared" si="65"/>
        <v>142.34118750047895</v>
      </c>
      <c r="AT72" s="77">
        <f t="shared" si="65"/>
        <v>142.65740105746704</v>
      </c>
      <c r="AU72" s="77">
        <f t="shared" si="65"/>
        <v>142.66718807982073</v>
      </c>
      <c r="AV72" s="77">
        <f t="shared" si="65"/>
        <v>150.92118241593045</v>
      </c>
      <c r="AW72" s="77">
        <f t="shared" si="65"/>
        <v>159.2204288888143</v>
      </c>
      <c r="AX72" s="77">
        <f t="shared" si="65"/>
        <v>192.79629645950709</v>
      </c>
      <c r="AY72" s="77">
        <f t="shared" si="65"/>
        <v>217.98854643756022</v>
      </c>
      <c r="AZ72" s="77">
        <f t="shared" si="66"/>
        <v>234.80159482173519</v>
      </c>
      <c r="BA72" s="77">
        <f t="shared" si="66"/>
        <v>259.9165331138895</v>
      </c>
      <c r="BB72" s="77">
        <f t="shared" si="66"/>
        <v>276.65811945418471</v>
      </c>
      <c r="BC72" s="77">
        <f t="shared" si="66"/>
        <v>218.31021518699231</v>
      </c>
      <c r="BD72" s="77">
        <f t="shared" si="66"/>
        <v>218.40635746080241</v>
      </c>
      <c r="BE72" s="77">
        <f t="shared" si="66"/>
        <v>218.4949370654976</v>
      </c>
      <c r="BF72" s="77">
        <f t="shared" si="66"/>
        <v>218.57852604886071</v>
      </c>
      <c r="BV72" s="69" t="s">
        <v>12</v>
      </c>
      <c r="BW72" s="76">
        <f t="shared" si="68"/>
        <v>37.392756999999847</v>
      </c>
      <c r="BX72" s="76">
        <f t="shared" si="68"/>
        <v>78.403939000000037</v>
      </c>
      <c r="BY72" s="76">
        <f t="shared" si="68"/>
        <v>87.902202999999872</v>
      </c>
      <c r="BZ72" s="76">
        <f t="shared" si="68"/>
        <v>132.04356199999984</v>
      </c>
      <c r="CA72" s="76">
        <f t="shared" si="68"/>
        <v>113.5272829999999</v>
      </c>
      <c r="CB72" s="76">
        <f t="shared" si="68"/>
        <v>123.01381200000014</v>
      </c>
      <c r="CC72" s="76">
        <f t="shared" si="68"/>
        <v>55.871200999999928</v>
      </c>
      <c r="CD72" s="76">
        <f t="shared" si="68"/>
        <v>65.328473000000031</v>
      </c>
      <c r="CE72" s="76">
        <f t="shared" si="68"/>
        <v>78.338401000000204</v>
      </c>
      <c r="CF72" s="76">
        <f t="shared" si="68"/>
        <v>184.47240099999999</v>
      </c>
      <c r="CG72" s="79">
        <f t="shared" si="69"/>
        <v>87.215834000000044</v>
      </c>
      <c r="CH72" s="79">
        <f t="shared" si="69"/>
        <v>101.40485760000006</v>
      </c>
      <c r="CI72" s="79">
        <f t="shared" si="69"/>
        <v>94.245262000000039</v>
      </c>
      <c r="CJ72" s="79">
        <f t="shared" si="69"/>
        <v>103.35199332000006</v>
      </c>
      <c r="CK72" s="79">
        <f t="shared" si="69"/>
        <v>109.13535112000007</v>
      </c>
      <c r="CL72" s="79">
        <f t="shared" si="69"/>
        <v>114.13806958400002</v>
      </c>
      <c r="CM72" s="79">
        <f t="shared" si="69"/>
        <v>99.070659608000057</v>
      </c>
      <c r="CN72" s="79">
        <f t="shared" si="69"/>
        <v>104.45510672480005</v>
      </c>
      <c r="CO72" s="79">
        <f t="shared" si="69"/>
        <v>103.98826712640005</v>
      </c>
      <c r="CP72" s="79">
        <f t="shared" si="69"/>
        <v>106.03023607136006</v>
      </c>
      <c r="CQ72" s="79">
        <f t="shared" si="69"/>
        <v>106.15749083264004</v>
      </c>
      <c r="CR72" s="79">
        <f t="shared" si="69"/>
        <v>105.53646782291204</v>
      </c>
      <c r="CS72" s="79">
        <f t="shared" si="69"/>
        <v>103.94035207264005</v>
      </c>
      <c r="CT72" s="79">
        <f t="shared" si="69"/>
        <v>105.23351371562246</v>
      </c>
      <c r="CU72" s="79">
        <f t="shared" si="69"/>
        <v>105.13056278519045</v>
      </c>
      <c r="CV72" s="79">
        <f t="shared" si="71"/>
        <v>102.47161219999994</v>
      </c>
      <c r="CW72" s="79">
        <f t="shared" si="70"/>
        <v>97.956866199999965</v>
      </c>
      <c r="CX72" s="79">
        <f t="shared" si="70"/>
        <v>87.215834000000044</v>
      </c>
      <c r="CY72" s="79">
        <f t="shared" si="70"/>
        <v>101.40485760000006</v>
      </c>
      <c r="CZ72" s="69" t="s">
        <v>12</v>
      </c>
      <c r="DA72" s="76">
        <f t="shared" si="72"/>
        <v>101.40485760000006</v>
      </c>
    </row>
    <row r="73" spans="1:105">
      <c r="A73" s="69" t="s">
        <v>34</v>
      </c>
      <c r="B73" s="97">
        <f>'Monthly Ethanol Data'!$H167*42/1000</f>
        <v>19.537959351600001</v>
      </c>
      <c r="C73" s="97">
        <f>'Monthly Ethanol Data'!$H179*42/1000</f>
        <v>27.706706047400004</v>
      </c>
      <c r="D73" s="97">
        <f>'Monthly Ethanol Data'!$H191*42/1000</f>
        <v>2.8290681310000005</v>
      </c>
      <c r="E73" s="97">
        <f>'Monthly Ethanol Data'!$H203*42/1000</f>
        <v>7.1835028880000005</v>
      </c>
      <c r="F73" s="97">
        <f>'Monthly Ethanol Data'!$H215*42/1000</f>
        <v>4.4127246745999997</v>
      </c>
      <c r="G73" s="97">
        <f>'Monthly Ethanol Data'!$H227*42/1000</f>
        <v>4.3679152977999989</v>
      </c>
      <c r="H73" s="97">
        <f>'Monthly Ethanol Data'!$H239*42/1000</f>
        <v>4.0058204792000005</v>
      </c>
      <c r="I73" s="97">
        <f>'Monthly Ethanol Data'!$H251*42/1000</f>
        <v>4.7276373362000008</v>
      </c>
      <c r="J73" s="97">
        <f>'Monthly Ethanol Data'!$H263*42/1000</f>
        <v>3.467245080400001</v>
      </c>
      <c r="K73" s="97">
        <f>'Monthly Ethanol Data'!$H275*42/1000</f>
        <v>5.7811282312000003</v>
      </c>
      <c r="L73" s="97">
        <f>'Monthly Ethanol Data'!$H287*42/1000</f>
        <v>4.0267445908000008</v>
      </c>
      <c r="M73" s="97">
        <f>'Monthly Ethanol Data'!$H299*42/1000</f>
        <v>7.6791008728000003</v>
      </c>
      <c r="N73" s="97">
        <f>'Monthly Ethanol Data'!$H311*42/1000</f>
        <v>1.8231807920000003</v>
      </c>
      <c r="O73" s="97">
        <f>'Monthly Ethanol Data'!$H323*42/1000</f>
        <v>15.961427412799999</v>
      </c>
      <c r="P73" s="97">
        <f>'Monthly Ethanol Data'!$H335*42/1000</f>
        <v>14.085498298200003</v>
      </c>
      <c r="Q73" s="97">
        <f>'Monthly Ethanol Data'!$H347*42/1000</f>
        <v>14.748397300096006</v>
      </c>
      <c r="R73" s="97">
        <f>'Monthly Ethanol Data'!$H359*42/1000</f>
        <v>16.05924932834224</v>
      </c>
      <c r="S73" s="97">
        <f>'Monthly Ethanol Data'!$H371*42/1000</f>
        <v>67.108735381372156</v>
      </c>
      <c r="T73" s="97">
        <f>'Monthly Ethanol Data'!$H383*42/1000</f>
        <v>52.722199180537899</v>
      </c>
      <c r="U73" s="97">
        <f>'Monthly Ethanol Data'!$H395*42/1000</f>
        <v>33.219184183483428</v>
      </c>
      <c r="V73" s="97">
        <f>'Monthly Ethanol Data'!$H407*42/1000</f>
        <v>57.773622936485083</v>
      </c>
      <c r="W73" s="97">
        <f>'Monthly Ethanol Data'!$H419*42/1000</f>
        <v>69.741891631289604</v>
      </c>
      <c r="X73" s="97">
        <f>'Monthly Ethanol Data'!$H431*42/1000</f>
        <v>54.248745314246015</v>
      </c>
      <c r="Y73" s="97">
        <f>'Monthly Ethanol Data'!$H443*42/1000</f>
        <v>95.476175103885708</v>
      </c>
      <c r="Z73" s="97">
        <f>'Monthly Ethanol Data'!$H455*42/1000</f>
        <v>145.4567394284899</v>
      </c>
      <c r="AA73" s="97">
        <f>'Monthly Ethanol Data'!$H467*42/1000</f>
        <v>119.61662937436103</v>
      </c>
      <c r="AB73" s="97">
        <f>'Monthly Ethanol Data'!$H479*42/1000</f>
        <v>81.792863124469989</v>
      </c>
      <c r="AC73" s="97">
        <f>'Monthly Ethanol Data'!$H491*42/1000</f>
        <v>82.675001651076101</v>
      </c>
      <c r="AD73" s="97">
        <f>'Monthly Ethanol Data'!$H503*42/1000</f>
        <v>99.031582047915563</v>
      </c>
      <c r="AE73" s="97">
        <f>'Monthly Ethanol Data'!$H515*42/1000</f>
        <v>111.31010547861106</v>
      </c>
      <c r="AF73" s="97">
        <f>'Monthly Ethanol Data'!$H527*42/1000</f>
        <v>146.01948348026582</v>
      </c>
      <c r="AG73" s="77">
        <f t="shared" si="73"/>
        <v>157.05852345799153</v>
      </c>
      <c r="AH73" s="77">
        <f t="shared" si="63"/>
        <v>119.6636369203745</v>
      </c>
      <c r="AI73" s="77">
        <f t="shared" si="64"/>
        <v>107.9802827497886</v>
      </c>
      <c r="AJ73" s="77">
        <f t="shared" si="65"/>
        <v>117.25412590268198</v>
      </c>
      <c r="AK73" s="77">
        <f t="shared" si="65"/>
        <v>119.25172605941067</v>
      </c>
      <c r="AL73" s="77">
        <f t="shared" si="65"/>
        <v>112.52153735138684</v>
      </c>
      <c r="AM73" s="77">
        <f t="shared" si="65"/>
        <v>115.03857316486061</v>
      </c>
      <c r="AN73" s="77">
        <f t="shared" si="65"/>
        <v>123.84887172803063</v>
      </c>
      <c r="AO73" s="77">
        <f t="shared" si="65"/>
        <v>120.6356027351836</v>
      </c>
      <c r="AP73" s="77">
        <f t="shared" si="65"/>
        <v>124.59122314307194</v>
      </c>
      <c r="AQ73" s="77">
        <f t="shared" si="65"/>
        <v>124.4834339029205</v>
      </c>
      <c r="AR73" s="77">
        <f t="shared" si="65"/>
        <v>131.72478880627366</v>
      </c>
      <c r="AS73" s="77">
        <f t="shared" si="65"/>
        <v>131.79822903769607</v>
      </c>
      <c r="AT73" s="77">
        <f t="shared" si="65"/>
        <v>132.04753596724427</v>
      </c>
      <c r="AU73" s="77">
        <f t="shared" si="65"/>
        <v>132.0854689524844</v>
      </c>
      <c r="AV73" s="77">
        <f t="shared" si="65"/>
        <v>139.80257584855076</v>
      </c>
      <c r="AW73" s="77">
        <f t="shared" si="65"/>
        <v>147.50773424602093</v>
      </c>
      <c r="AX73" s="77">
        <f t="shared" si="65"/>
        <v>178.50636939629922</v>
      </c>
      <c r="AY73" s="77">
        <f t="shared" si="65"/>
        <v>201.86681983354441</v>
      </c>
      <c r="AZ73" s="77">
        <f t="shared" si="66"/>
        <v>217.4318208882637</v>
      </c>
      <c r="BA73" s="77">
        <f t="shared" si="66"/>
        <v>240.7071652095523</v>
      </c>
      <c r="BB73" s="77">
        <f t="shared" si="66"/>
        <v>256.21759269314396</v>
      </c>
      <c r="BC73" s="77">
        <f t="shared" si="66"/>
        <v>202.1729011440838</v>
      </c>
      <c r="BD73" s="77">
        <f t="shared" si="66"/>
        <v>202.25326565207041</v>
      </c>
      <c r="BE73" s="77">
        <f t="shared" si="66"/>
        <v>202.3424574560498</v>
      </c>
      <c r="BF73" s="77">
        <f t="shared" si="66"/>
        <v>202.41978053616535</v>
      </c>
      <c r="BV73" s="69" t="s">
        <v>13</v>
      </c>
      <c r="BW73" s="76">
        <f t="shared" si="68"/>
        <v>16.228284999999914</v>
      </c>
      <c r="BX73" s="76">
        <f t="shared" si="68"/>
        <v>29.070469000000003</v>
      </c>
      <c r="BY73" s="76">
        <f t="shared" si="68"/>
        <v>77.374113000000079</v>
      </c>
      <c r="BZ73" s="76">
        <f t="shared" si="68"/>
        <v>61.095655999999963</v>
      </c>
      <c r="CA73" s="76">
        <f t="shared" si="68"/>
        <v>62.695265000000063</v>
      </c>
      <c r="CB73" s="76">
        <f t="shared" si="68"/>
        <v>86.075508000000013</v>
      </c>
      <c r="CC73" s="76">
        <f t="shared" si="68"/>
        <v>63.604648999999881</v>
      </c>
      <c r="CD73" s="76">
        <f t="shared" si="68"/>
        <v>88.463016000000152</v>
      </c>
      <c r="CE73" s="76">
        <f t="shared" si="68"/>
        <v>85.129223000000138</v>
      </c>
      <c r="CF73" s="76">
        <f t="shared" si="68"/>
        <v>97.89722299999994</v>
      </c>
      <c r="CG73" s="79">
        <f t="shared" si="69"/>
        <v>77.19353220000005</v>
      </c>
      <c r="CH73" s="79">
        <f t="shared" si="69"/>
        <v>84.233923800000028</v>
      </c>
      <c r="CI73" s="79">
        <f t="shared" si="69"/>
        <v>82.457528640000035</v>
      </c>
      <c r="CJ73" s="79">
        <f t="shared" si="69"/>
        <v>86.583383600000062</v>
      </c>
      <c r="CK73" s="79">
        <f t="shared" si="69"/>
        <v>85.382286128000032</v>
      </c>
      <c r="CL73" s="79">
        <f t="shared" si="69"/>
        <v>85.673118248000009</v>
      </c>
      <c r="CM73" s="79">
        <f t="shared" si="69"/>
        <v>83.17013087360003</v>
      </c>
      <c r="CN73" s="79">
        <f t="shared" si="69"/>
        <v>84.866048083200027</v>
      </c>
      <c r="CO73" s="79">
        <f t="shared" si="69"/>
        <v>84.653289497920042</v>
      </c>
      <c r="CP73" s="79">
        <f t="shared" si="69"/>
        <v>85.134993386560041</v>
      </c>
      <c r="CQ73" s="79">
        <f t="shared" si="69"/>
        <v>84.748974566144028</v>
      </c>
      <c r="CR73" s="79">
        <f t="shared" si="69"/>
        <v>84.699516017856041</v>
      </c>
      <c r="CS73" s="79">
        <f t="shared" si="69"/>
        <v>84.514687281484839</v>
      </c>
      <c r="CT73" s="79">
        <f t="shared" si="69"/>
        <v>84.820564310336025</v>
      </c>
      <c r="CU73" s="79">
        <f t="shared" si="69"/>
        <v>84.750292149992987</v>
      </c>
      <c r="CV73" s="79">
        <f t="shared" si="71"/>
        <v>70.169038200000003</v>
      </c>
      <c r="CW73" s="79">
        <f t="shared" si="70"/>
        <v>72.386818800000015</v>
      </c>
      <c r="CX73" s="79">
        <f t="shared" si="70"/>
        <v>77.19353220000005</v>
      </c>
      <c r="CY73" s="79">
        <f t="shared" si="70"/>
        <v>84.233923800000028</v>
      </c>
      <c r="CZ73" s="69" t="s">
        <v>13</v>
      </c>
      <c r="DA73" s="76">
        <f t="shared" si="72"/>
        <v>84.233923800000028</v>
      </c>
    </row>
    <row r="74" spans="1:105">
      <c r="A74" s="69" t="s">
        <v>35</v>
      </c>
      <c r="B74" s="97">
        <f>'Monthly Ethanol Data'!$H168*42/1000</f>
        <v>20.931133243400009</v>
      </c>
      <c r="C74" s="97">
        <f>'Monthly Ethanol Data'!$H180*42/1000</f>
        <v>18.036465044999996</v>
      </c>
      <c r="D74" s="97">
        <f>'Monthly Ethanol Data'!$H192*42/1000</f>
        <v>1.2171202588000001</v>
      </c>
      <c r="E74" s="97">
        <f>'Monthly Ethanol Data'!$H204*42/1000</f>
        <v>12.941187068000001</v>
      </c>
      <c r="F74" s="97">
        <f>'Monthly Ethanol Data'!$H216*42/1000</f>
        <v>2.0618218198000005</v>
      </c>
      <c r="G74" s="97">
        <f>'Monthly Ethanol Data'!$H228*42/1000</f>
        <v>3.397533268400001</v>
      </c>
      <c r="H74" s="97">
        <f>'Monthly Ethanol Data'!$H240*42/1000</f>
        <v>5.963042348600001</v>
      </c>
      <c r="I74" s="97">
        <f>'Monthly Ethanol Data'!$H252*42/1000</f>
        <v>5.5127042016000001</v>
      </c>
      <c r="J74" s="97">
        <f>'Monthly Ethanol Data'!$H264*42/1000</f>
        <v>4.1782276238000007</v>
      </c>
      <c r="K74" s="97">
        <f>'Monthly Ethanol Data'!$H276*42/1000</f>
        <v>4.5542235896000003</v>
      </c>
      <c r="L74" s="97">
        <f>'Monthly Ethanol Data'!$H288*42/1000</f>
        <v>3.3197778874000003</v>
      </c>
      <c r="M74" s="97">
        <f>'Monthly Ethanol Data'!$H300*42/1000</f>
        <v>7.0689832843999989</v>
      </c>
      <c r="N74" s="97">
        <f>'Monthly Ethanol Data'!$H312*42/1000</f>
        <v>2.423740945400001</v>
      </c>
      <c r="O74" s="97">
        <f>'Monthly Ethanol Data'!$H324*42/1000</f>
        <v>13.148684464000002</v>
      </c>
      <c r="P74" s="97">
        <f>'Monthly Ethanol Data'!$H336*42/1000</f>
        <v>13.2907133642</v>
      </c>
      <c r="Q74" s="97">
        <f>'Monthly Ethanol Data'!$H348*42/1000</f>
        <v>5.7475215192799984</v>
      </c>
      <c r="R74" s="97">
        <f>'Monthly Ethanol Data'!$H360*42/1000</f>
        <v>25.164407818439745</v>
      </c>
      <c r="S74" s="97">
        <f>'Monthly Ethanol Data'!$H372*42/1000</f>
        <v>125.31053148800261</v>
      </c>
      <c r="T74" s="97">
        <f>'Monthly Ethanol Data'!$H384*42/1000</f>
        <v>62.04461471808866</v>
      </c>
      <c r="U74" s="97">
        <f>'Monthly Ethanol Data'!$H396*42/1000</f>
        <v>34.71339590691629</v>
      </c>
      <c r="V74" s="97">
        <f>'Monthly Ethanol Data'!$H408*42/1000</f>
        <v>62.760744807035429</v>
      </c>
      <c r="W74" s="97">
        <f>'Monthly Ethanol Data'!$H420*42/1000</f>
        <v>81.878863848301762</v>
      </c>
      <c r="X74" s="97">
        <f>'Monthly Ethanol Data'!$H432*42/1000</f>
        <v>82.148323431279564</v>
      </c>
      <c r="Y74" s="97">
        <f>'Monthly Ethanol Data'!$H444*42/1000</f>
        <v>118.05942368197896</v>
      </c>
      <c r="Z74" s="97">
        <f>'Monthly Ethanol Data'!$H456*42/1000</f>
        <v>102.401835732457</v>
      </c>
      <c r="AA74" s="97">
        <f>'Monthly Ethanol Data'!$H468*42/1000</f>
        <v>119.92667584224692</v>
      </c>
      <c r="AB74" s="97">
        <f>'Monthly Ethanol Data'!$H480*42/1000</f>
        <v>73.143434660974648</v>
      </c>
      <c r="AC74" s="97">
        <f>'Monthly Ethanol Data'!$H492*42/1000</f>
        <v>51.954796970473474</v>
      </c>
      <c r="AD74" s="97">
        <f>'Monthly Ethanol Data'!$H504*42/1000</f>
        <v>109.71060413535126</v>
      </c>
      <c r="AE74" s="97">
        <f>'Monthly Ethanol Data'!$H516*42/1000</f>
        <v>112.30513508172955</v>
      </c>
      <c r="AF74" s="97">
        <f>'Monthly Ethanol Data'!$H528*42/1000</f>
        <v>136.1647149636552</v>
      </c>
      <c r="AG74" s="77">
        <f t="shared" si="73"/>
        <v>145.73503318294479</v>
      </c>
      <c r="AH74" s="77">
        <f t="shared" si="63"/>
        <v>111.03621575843412</v>
      </c>
      <c r="AI74" s="77">
        <f t="shared" si="64"/>
        <v>100.6937838328643</v>
      </c>
      <c r="AJ74" s="77">
        <f t="shared" si="65"/>
        <v>113.8959452054838</v>
      </c>
      <c r="AK74" s="77">
        <f t="shared" si="65"/>
        <v>112.54700239948814</v>
      </c>
      <c r="AL74" s="77">
        <f t="shared" si="65"/>
        <v>105.49730145973982</v>
      </c>
      <c r="AM74" s="77">
        <f t="shared" si="65"/>
        <v>108.13110747763244</v>
      </c>
      <c r="AN74" s="77">
        <f t="shared" si="65"/>
        <v>116.76139568451225</v>
      </c>
      <c r="AO74" s="77">
        <f t="shared" si="65"/>
        <v>114.03890715395553</v>
      </c>
      <c r="AP74" s="77">
        <f t="shared" si="65"/>
        <v>118.00429186264508</v>
      </c>
      <c r="AQ74" s="77">
        <f t="shared" si="65"/>
        <v>117.25804508954279</v>
      </c>
      <c r="AR74" s="77">
        <f t="shared" si="65"/>
        <v>124.17352028382139</v>
      </c>
      <c r="AS74" s="77">
        <f t="shared" si="65"/>
        <v>124.34769049122163</v>
      </c>
      <c r="AT74" s="77">
        <f t="shared" si="65"/>
        <v>124.6461456057902</v>
      </c>
      <c r="AU74" s="77">
        <f t="shared" si="65"/>
        <v>124.69916236785484</v>
      </c>
      <c r="AV74" s="77">
        <f t="shared" si="65"/>
        <v>131.94860819270335</v>
      </c>
      <c r="AW74" s="77">
        <f t="shared" si="65"/>
        <v>139.1353180110284</v>
      </c>
      <c r="AX74" s="77">
        <f t="shared" si="65"/>
        <v>168.43892929827911</v>
      </c>
      <c r="AY74" s="77">
        <f t="shared" si="65"/>
        <v>190.50227319754046</v>
      </c>
      <c r="AZ74" s="77">
        <f t="shared" si="66"/>
        <v>205.19477209913151</v>
      </c>
      <c r="BA74" s="77">
        <f t="shared" si="66"/>
        <v>227.15002935038436</v>
      </c>
      <c r="BB74" s="77">
        <f t="shared" si="66"/>
        <v>241.77418181014502</v>
      </c>
      <c r="BC74" s="77">
        <f t="shared" si="66"/>
        <v>190.77300176176149</v>
      </c>
      <c r="BD74" s="77">
        <f t="shared" si="66"/>
        <v>190.85970098532098</v>
      </c>
      <c r="BE74" s="77">
        <f t="shared" si="66"/>
        <v>190.9440042292847</v>
      </c>
      <c r="BF74" s="77">
        <f t="shared" si="66"/>
        <v>191.01566003328338</v>
      </c>
      <c r="BV74" s="69" t="s">
        <v>14</v>
      </c>
      <c r="BW74" s="76">
        <f t="shared" si="68"/>
        <v>46.206110999999964</v>
      </c>
      <c r="BX74" s="76">
        <f t="shared" si="68"/>
        <v>39.595859999999902</v>
      </c>
      <c r="BY74" s="76">
        <f t="shared" si="68"/>
        <v>77.287980000000061</v>
      </c>
      <c r="BZ74" s="76">
        <f t="shared" si="68"/>
        <v>68.779835999999932</v>
      </c>
      <c r="CA74" s="76">
        <f t="shared" si="68"/>
        <v>85.896952999999939</v>
      </c>
      <c r="CB74" s="76">
        <f t="shared" si="68"/>
        <v>53.072370000000092</v>
      </c>
      <c r="CC74" s="76">
        <f t="shared" si="68"/>
        <v>62.261951999999837</v>
      </c>
      <c r="CD74" s="76">
        <f t="shared" si="68"/>
        <v>89.871300999999903</v>
      </c>
      <c r="CE74" s="76">
        <f t="shared" si="68"/>
        <v>38.84958400000005</v>
      </c>
      <c r="CF74" s="76">
        <f t="shared" si="68"/>
        <v>79.295583999999963</v>
      </c>
      <c r="CG74" s="79">
        <f t="shared" si="69"/>
        <v>65.99043199999997</v>
      </c>
      <c r="CH74" s="79">
        <f t="shared" si="69"/>
        <v>64.670158199999975</v>
      </c>
      <c r="CI74" s="79">
        <f t="shared" si="69"/>
        <v>67.253770599999939</v>
      </c>
      <c r="CJ74" s="79">
        <f t="shared" si="69"/>
        <v>67.735411839999955</v>
      </c>
      <c r="CK74" s="79">
        <f t="shared" si="69"/>
        <v>63.211905759999979</v>
      </c>
      <c r="CL74" s="79">
        <f t="shared" si="69"/>
        <v>68.989071327999952</v>
      </c>
      <c r="CM74" s="79">
        <f t="shared" si="69"/>
        <v>65.772335679999955</v>
      </c>
      <c r="CN74" s="79">
        <f t="shared" si="69"/>
        <v>66.372063545599957</v>
      </c>
      <c r="CO74" s="79">
        <f t="shared" si="69"/>
        <v>66.59249904159995</v>
      </c>
      <c r="CP74" s="79">
        <f t="shared" si="69"/>
        <v>66.416157630719951</v>
      </c>
      <c r="CQ74" s="79">
        <f t="shared" si="69"/>
        <v>66.187575071039959</v>
      </c>
      <c r="CR74" s="79">
        <f t="shared" si="69"/>
        <v>66.828425445183953</v>
      </c>
      <c r="CS74" s="79">
        <f t="shared" si="69"/>
        <v>66.268126193791957</v>
      </c>
      <c r="CT74" s="79">
        <f t="shared" si="69"/>
        <v>66.479344146828751</v>
      </c>
      <c r="CU74" s="79">
        <f t="shared" si="69"/>
        <v>66.458556676467154</v>
      </c>
      <c r="CV74" s="79">
        <f t="shared" si="71"/>
        <v>69.459818199999972</v>
      </c>
      <c r="CW74" s="79">
        <f t="shared" si="70"/>
        <v>71.976482399999938</v>
      </c>
      <c r="CX74" s="79">
        <f t="shared" si="70"/>
        <v>65.99043199999997</v>
      </c>
      <c r="CY74" s="79">
        <f t="shared" si="70"/>
        <v>64.670158199999975</v>
      </c>
      <c r="CZ74" s="69" t="s">
        <v>14</v>
      </c>
      <c r="DA74" s="76">
        <f t="shared" si="72"/>
        <v>64.670158199999975</v>
      </c>
    </row>
    <row r="75" spans="1:105">
      <c r="A75" s="69" t="s">
        <v>36</v>
      </c>
      <c r="B75" s="97">
        <f>'Monthly Ethanol Data'!$H169*42/1000</f>
        <v>24.064894780000003</v>
      </c>
      <c r="C75" s="97">
        <f>'Monthly Ethanol Data'!$H181*42/1000</f>
        <v>12.307569682199999</v>
      </c>
      <c r="D75" s="97">
        <f>'Monthly Ethanol Data'!$H193*42/1000</f>
        <v>1.9832640634000005</v>
      </c>
      <c r="E75" s="97">
        <f>'Monthly Ethanol Data'!$H205*42/1000</f>
        <v>3.8476965150000004</v>
      </c>
      <c r="F75" s="97">
        <f>'Monthly Ethanol Data'!$H217*42/1000</f>
        <v>4.6050561980000015</v>
      </c>
      <c r="G75" s="97">
        <f>'Monthly Ethanol Data'!$H229*42/1000</f>
        <v>4.7757389092000002</v>
      </c>
      <c r="H75" s="97">
        <f>'Monthly Ethanol Data'!$H241*42/1000</f>
        <v>5.2115434142000003</v>
      </c>
      <c r="I75" s="97">
        <f>'Monthly Ethanol Data'!$H253*42/1000</f>
        <v>4.8725962144000015</v>
      </c>
      <c r="J75" s="97">
        <f>'Monthly Ethanol Data'!$H265*42/1000</f>
        <v>2.9928568073999999</v>
      </c>
      <c r="K75" s="97">
        <f>'Monthly Ethanol Data'!$H277*42/1000</f>
        <v>5.3577273878000007</v>
      </c>
      <c r="L75" s="97">
        <f>'Monthly Ethanol Data'!$H289*42/1000</f>
        <v>4.0850334516000002</v>
      </c>
      <c r="M75" s="97">
        <f>'Monthly Ethanol Data'!$H301*42/1000</f>
        <v>5.7464112943999996</v>
      </c>
      <c r="N75" s="97">
        <f>'Monthly Ethanol Data'!$H313*42/1000</f>
        <v>2.0584339832</v>
      </c>
      <c r="O75" s="97">
        <f>'Monthly Ethanol Data'!$H325*42/1000</f>
        <v>16.100097274200003</v>
      </c>
      <c r="P75" s="97">
        <f>'Monthly Ethanol Data'!$H337*42/1000</f>
        <v>9.1945061020000036</v>
      </c>
      <c r="Q75" s="97">
        <f>'Monthly Ethanol Data'!$H349*42/1000</f>
        <v>11.988223896155999</v>
      </c>
      <c r="R75" s="97">
        <f>'Monthly Ethanol Data'!$H361*42/1000</f>
        <v>27.282779144134977</v>
      </c>
      <c r="S75" s="97">
        <f>'Monthly Ethanol Data'!$H373*42/1000</f>
        <v>52.173459149735422</v>
      </c>
      <c r="T75" s="97">
        <f>'Monthly Ethanol Data'!$H385*42/1000</f>
        <v>59.191748053711486</v>
      </c>
      <c r="U75" s="97">
        <f>'Monthly Ethanol Data'!$H397*42/1000</f>
        <v>49.507181784800075</v>
      </c>
      <c r="V75" s="97">
        <f>'Monthly Ethanol Data'!$H409*42/1000</f>
        <v>54.090849868310173</v>
      </c>
      <c r="W75" s="97">
        <f>'Monthly Ethanol Data'!$H421*42/1000</f>
        <v>63.007426672408009</v>
      </c>
      <c r="X75" s="97">
        <f>'Monthly Ethanol Data'!$H433*42/1000</f>
        <v>91.097980403707922</v>
      </c>
      <c r="Y75" s="97">
        <f>'Monthly Ethanol Data'!$H445*42/1000</f>
        <v>97.066089538517616</v>
      </c>
      <c r="Z75" s="97">
        <f>'Monthly Ethanol Data'!$H457*42/1000</f>
        <v>113.4734425068883</v>
      </c>
      <c r="AA75" s="97">
        <f>'Monthly Ethanol Data'!$H469*42/1000</f>
        <v>124.83598949651424</v>
      </c>
      <c r="AB75" s="97">
        <f>'Monthly Ethanol Data'!$H481*42/1000</f>
        <v>96.292539777725523</v>
      </c>
      <c r="AC75" s="97">
        <f>'Monthly Ethanol Data'!$H493*42/1000</f>
        <v>81.052258804198217</v>
      </c>
      <c r="AD75" s="97">
        <f>'Monthly Ethanol Data'!$H505*42/1000</f>
        <v>80.222668614496186</v>
      </c>
      <c r="AE75" s="97">
        <f>'Monthly Ethanol Data'!$H517*42/1000</f>
        <v>100.46028675346304</v>
      </c>
      <c r="AF75" s="97">
        <f>'Monthly Ethanol Data'!$H529*42/1000</f>
        <v>141.35992356974614</v>
      </c>
      <c r="AG75" s="77">
        <f t="shared" si="73"/>
        <v>150.59277781342212</v>
      </c>
      <c r="AH75" s="77">
        <f t="shared" ref="AH75:AL75" si="74">AH76-SUM(AH64:AH74)</f>
        <v>114.73735452451228</v>
      </c>
      <c r="AI75" s="77">
        <f t="shared" si="74"/>
        <v>97.143406866443911</v>
      </c>
      <c r="AJ75" s="77">
        <f t="shared" si="74"/>
        <v>105.56221237343061</v>
      </c>
      <c r="AK75" s="77">
        <f t="shared" si="74"/>
        <v>109.00709739321837</v>
      </c>
      <c r="AL75" s="77">
        <f t="shared" si="74"/>
        <v>102.79752500195286</v>
      </c>
      <c r="AM75" s="77">
        <f t="shared" ref="AM75:AY75" si="75">AM76-SUM(AM64:AM74)</f>
        <v>103.63438989986571</v>
      </c>
      <c r="AN75" s="77">
        <f t="shared" si="75"/>
        <v>113.66391326916687</v>
      </c>
      <c r="AO75" s="77">
        <f t="shared" si="75"/>
        <v>109.26859576586571</v>
      </c>
      <c r="AP75" s="77">
        <f t="shared" si="75"/>
        <v>113.30651929804162</v>
      </c>
      <c r="AQ75" s="77">
        <f t="shared" si="75"/>
        <v>113.34137291159368</v>
      </c>
      <c r="AR75" s="77">
        <f t="shared" si="75"/>
        <v>119.81046798692455</v>
      </c>
      <c r="AS75" s="77">
        <f t="shared" si="75"/>
        <v>119.80447706314749</v>
      </c>
      <c r="AT75" s="77">
        <f t="shared" si="75"/>
        <v>120.24403449611236</v>
      </c>
      <c r="AU75" s="77">
        <f t="shared" si="75"/>
        <v>120.04950136729735</v>
      </c>
      <c r="AV75" s="77">
        <f t="shared" si="75"/>
        <v>127.19426134463538</v>
      </c>
      <c r="AW75" s="77">
        <f t="shared" si="75"/>
        <v>134.18746693662433</v>
      </c>
      <c r="AX75" s="77">
        <f t="shared" si="75"/>
        <v>162.36468688298464</v>
      </c>
      <c r="AY75" s="77">
        <f t="shared" si="75"/>
        <v>183.61901444776413</v>
      </c>
      <c r="AZ75" s="77">
        <f t="shared" ref="AZ75:BF75" si="76">AZ76-SUM(AZ64:AZ74)</f>
        <v>197.79913434866285</v>
      </c>
      <c r="BA75" s="77">
        <f t="shared" si="76"/>
        <v>218.930707382121</v>
      </c>
      <c r="BB75" s="77">
        <f t="shared" si="76"/>
        <v>233.07395272545773</v>
      </c>
      <c r="BC75" s="77">
        <f t="shared" si="76"/>
        <v>183.90001811300817</v>
      </c>
      <c r="BD75" s="77">
        <f t="shared" si="76"/>
        <v>183.97350542731328</v>
      </c>
      <c r="BE75" s="77">
        <f t="shared" si="76"/>
        <v>184.05604604320615</v>
      </c>
      <c r="BF75" s="77">
        <f t="shared" si="76"/>
        <v>184.12691845492645</v>
      </c>
      <c r="BV75" s="69" t="s">
        <v>15</v>
      </c>
      <c r="BW75" s="76">
        <f t="shared" si="68"/>
        <v>8.4224910000000364</v>
      </c>
      <c r="BX75" s="76">
        <f t="shared" si="68"/>
        <v>9.458409999999958</v>
      </c>
      <c r="BY75" s="76">
        <f t="shared" si="68"/>
        <v>47.104831999999988</v>
      </c>
      <c r="BZ75" s="76">
        <f t="shared" si="68"/>
        <v>93.584556000000021</v>
      </c>
      <c r="CA75" s="76">
        <f t="shared" si="68"/>
        <v>106.18497200000002</v>
      </c>
      <c r="CB75" s="76">
        <f t="shared" si="68"/>
        <v>25.017687999999907</v>
      </c>
      <c r="CC75" s="76">
        <f t="shared" si="68"/>
        <v>33.283298000000059</v>
      </c>
      <c r="CD75" s="76">
        <f t="shared" si="68"/>
        <v>27.691006000000016</v>
      </c>
      <c r="CE75" s="76">
        <f t="shared" si="68"/>
        <v>31.624858000000131</v>
      </c>
      <c r="CF75" s="76">
        <f t="shared" si="68"/>
        <v>40.654858000000104</v>
      </c>
      <c r="CG75" s="79">
        <f t="shared" si="69"/>
        <v>44.760364400000029</v>
      </c>
      <c r="CH75" s="79">
        <f t="shared" si="69"/>
        <v>31.654341600000045</v>
      </c>
      <c r="CI75" s="79">
        <f t="shared" si="69"/>
        <v>35.602876880000068</v>
      </c>
      <c r="CJ75" s="79">
        <f t="shared" si="69"/>
        <v>35.277085600000063</v>
      </c>
      <c r="CK75" s="79">
        <f t="shared" si="69"/>
        <v>36.859459776000072</v>
      </c>
      <c r="CL75" s="79">
        <f t="shared" si="69"/>
        <v>37.589905296000062</v>
      </c>
      <c r="CM75" s="79">
        <f t="shared" si="69"/>
        <v>36.830825651200058</v>
      </c>
      <c r="CN75" s="79">
        <f t="shared" si="69"/>
        <v>35.396733830400066</v>
      </c>
      <c r="CO75" s="79">
        <f t="shared" si="69"/>
        <v>36.432030640640065</v>
      </c>
      <c r="CP75" s="79">
        <f t="shared" si="69"/>
        <v>36.390802030720067</v>
      </c>
      <c r="CQ75" s="79">
        <f t="shared" si="69"/>
        <v>36.621791038848059</v>
      </c>
      <c r="CR75" s="79">
        <f t="shared" si="69"/>
        <v>36.528059489792064</v>
      </c>
      <c r="CS75" s="79">
        <f t="shared" si="69"/>
        <v>36.334436638361659</v>
      </c>
      <c r="CT75" s="79">
        <f t="shared" si="69"/>
        <v>36.273883406080067</v>
      </c>
      <c r="CU75" s="79">
        <f t="shared" si="69"/>
        <v>36.461423967672388</v>
      </c>
      <c r="CV75" s="79">
        <f t="shared" si="71"/>
        <v>61.035069199999995</v>
      </c>
      <c r="CW75" s="79">
        <f t="shared" si="70"/>
        <v>57.152304000000001</v>
      </c>
      <c r="CX75" s="79">
        <f t="shared" si="70"/>
        <v>44.760364400000029</v>
      </c>
      <c r="CY75" s="79">
        <f t="shared" si="70"/>
        <v>31.654341600000045</v>
      </c>
      <c r="CZ75" s="69" t="s">
        <v>15</v>
      </c>
      <c r="DA75" s="76">
        <f t="shared" si="72"/>
        <v>31.654341600000045</v>
      </c>
    </row>
    <row r="76" spans="1:105" ht="12" thickBot="1">
      <c r="A76" s="69" t="s">
        <v>138</v>
      </c>
      <c r="B76" s="97">
        <f t="shared" ref="B76:AF76" si="77">SUM(B64:B75)</f>
        <v>169.35358705000002</v>
      </c>
      <c r="C76" s="97">
        <f t="shared" si="77"/>
        <v>166.95087114060004</v>
      </c>
      <c r="D76" s="97">
        <f t="shared" si="77"/>
        <v>107.284934419</v>
      </c>
      <c r="E76" s="97">
        <f t="shared" si="77"/>
        <v>84.141424457400007</v>
      </c>
      <c r="F76" s="97">
        <f t="shared" si="77"/>
        <v>48.964058391400009</v>
      </c>
      <c r="G76" s="97">
        <f t="shared" si="77"/>
        <v>30.325061468400001</v>
      </c>
      <c r="H76" s="97">
        <f t="shared" si="77"/>
        <v>41.299066855400007</v>
      </c>
      <c r="I76" s="97">
        <f t="shared" si="77"/>
        <v>83.251214710600024</v>
      </c>
      <c r="J76" s="97">
        <f t="shared" si="77"/>
        <v>47.954995896800007</v>
      </c>
      <c r="K76" s="97">
        <f t="shared" si="77"/>
        <v>56.256576276000004</v>
      </c>
      <c r="L76" s="97">
        <f t="shared" si="77"/>
        <v>57.329132899800001</v>
      </c>
      <c r="M76" s="97">
        <f t="shared" si="77"/>
        <v>56.950771551399988</v>
      </c>
      <c r="N76" s="97">
        <f t="shared" si="77"/>
        <v>49.49227530080001</v>
      </c>
      <c r="O76" s="97">
        <f t="shared" si="77"/>
        <v>99.191355001000005</v>
      </c>
      <c r="P76" s="97">
        <f t="shared" si="77"/>
        <v>175.62710931259997</v>
      </c>
      <c r="Q76" s="97">
        <f t="shared" si="77"/>
        <v>103.57588352064801</v>
      </c>
      <c r="R76" s="97">
        <f t="shared" si="77"/>
        <v>260.96251503064246</v>
      </c>
      <c r="S76" s="97">
        <f t="shared" si="77"/>
        <v>828.40625348377057</v>
      </c>
      <c r="T76" s="97">
        <f t="shared" si="77"/>
        <v>1086.6663357469863</v>
      </c>
      <c r="U76" s="97">
        <f t="shared" si="77"/>
        <v>554.61777931584686</v>
      </c>
      <c r="V76" s="97">
        <f t="shared" si="77"/>
        <v>786.76417930950686</v>
      </c>
      <c r="W76" s="97">
        <f t="shared" si="77"/>
        <v>911.69212317820256</v>
      </c>
      <c r="X76" s="97">
        <f t="shared" si="77"/>
        <v>1019.1765673995683</v>
      </c>
      <c r="Y76" s="97">
        <f t="shared" si="77"/>
        <v>1363.3378455702286</v>
      </c>
      <c r="Z76" s="97">
        <f t="shared" si="77"/>
        <v>1619.2236338996304</v>
      </c>
      <c r="AA76" s="97">
        <f t="shared" si="77"/>
        <v>1530.2173500360595</v>
      </c>
      <c r="AB76" s="97">
        <f t="shared" si="77"/>
        <v>1335.3427042249054</v>
      </c>
      <c r="AC76" s="97">
        <f t="shared" si="77"/>
        <v>1229.7023437355531</v>
      </c>
      <c r="AD76" s="97">
        <f t="shared" si="77"/>
        <v>1423.1043797105201</v>
      </c>
      <c r="AE76" s="97">
        <f t="shared" si="77"/>
        <v>1225.6649509309468</v>
      </c>
      <c r="AF76" s="97">
        <f t="shared" si="77"/>
        <v>1750.0927756344618</v>
      </c>
      <c r="AG76" s="77">
        <f t="shared" ref="AG76:BF76" si="78">AG8</f>
        <v>2100</v>
      </c>
      <c r="AH76" s="77">
        <f t="shared" si="78"/>
        <v>1600</v>
      </c>
      <c r="AI76" s="77">
        <f t="shared" si="78"/>
        <v>1400</v>
      </c>
      <c r="AJ76" s="77">
        <f t="shared" si="78"/>
        <v>1500</v>
      </c>
      <c r="AK76" s="77">
        <f t="shared" si="78"/>
        <v>1500</v>
      </c>
      <c r="AL76" s="77">
        <f t="shared" si="78"/>
        <v>1450</v>
      </c>
      <c r="AM76" s="77">
        <f t="shared" si="78"/>
        <v>1500</v>
      </c>
      <c r="AN76" s="77">
        <f t="shared" si="78"/>
        <v>1600</v>
      </c>
      <c r="AO76" s="77">
        <f t="shared" si="78"/>
        <v>1550</v>
      </c>
      <c r="AP76" s="77">
        <f t="shared" si="78"/>
        <v>1600</v>
      </c>
      <c r="AQ76" s="77">
        <f t="shared" si="78"/>
        <v>1600</v>
      </c>
      <c r="AR76" s="77">
        <f t="shared" si="78"/>
        <v>1700</v>
      </c>
      <c r="AS76" s="77">
        <f t="shared" si="78"/>
        <v>1700</v>
      </c>
      <c r="AT76" s="77">
        <f t="shared" si="78"/>
        <v>1700</v>
      </c>
      <c r="AU76" s="77">
        <f t="shared" si="78"/>
        <v>1700</v>
      </c>
      <c r="AV76" s="77">
        <f t="shared" si="78"/>
        <v>1800</v>
      </c>
      <c r="AW76" s="77">
        <f t="shared" si="78"/>
        <v>1900</v>
      </c>
      <c r="AX76" s="77">
        <f t="shared" si="78"/>
        <v>2300</v>
      </c>
      <c r="AY76" s="77">
        <f t="shared" si="78"/>
        <v>2600</v>
      </c>
      <c r="AZ76" s="77">
        <f t="shared" si="78"/>
        <v>2800</v>
      </c>
      <c r="BA76" s="77">
        <f t="shared" si="78"/>
        <v>3100</v>
      </c>
      <c r="BB76" s="77">
        <f t="shared" si="78"/>
        <v>3300</v>
      </c>
      <c r="BC76" s="77">
        <f t="shared" si="78"/>
        <v>2604</v>
      </c>
      <c r="BD76" s="77">
        <f t="shared" si="78"/>
        <v>2605</v>
      </c>
      <c r="BE76" s="77">
        <f t="shared" si="78"/>
        <v>2606</v>
      </c>
      <c r="BF76" s="77">
        <f t="shared" si="78"/>
        <v>2607</v>
      </c>
      <c r="BV76" s="69" t="s">
        <v>16</v>
      </c>
      <c r="BW76" s="76">
        <f t="shared" si="68"/>
        <v>43.568881000000147</v>
      </c>
      <c r="BX76" s="76">
        <f t="shared" si="68"/>
        <v>92.755841000000146</v>
      </c>
      <c r="BY76" s="76">
        <f t="shared" si="68"/>
        <v>59.310538999999835</v>
      </c>
      <c r="BZ76" s="76">
        <f t="shared" si="68"/>
        <v>58.913617000000158</v>
      </c>
      <c r="CA76" s="76">
        <f t="shared" si="68"/>
        <v>54.370300000000043</v>
      </c>
      <c r="CB76" s="76">
        <f t="shared" si="68"/>
        <v>36.73390500000005</v>
      </c>
      <c r="CC76" s="76">
        <f t="shared" si="68"/>
        <v>47.945539999999937</v>
      </c>
      <c r="CD76" s="76">
        <f t="shared" si="68"/>
        <v>117.24723599999993</v>
      </c>
      <c r="CE76" s="76">
        <f t="shared" si="68"/>
        <v>73.464735999999903</v>
      </c>
      <c r="CF76" s="76">
        <f t="shared" si="68"/>
        <v>148.89673599999992</v>
      </c>
      <c r="CG76" s="79">
        <f t="shared" si="69"/>
        <v>65.952343399999975</v>
      </c>
      <c r="CH76" s="79">
        <f t="shared" si="69"/>
        <v>84.857630599999951</v>
      </c>
      <c r="CI76" s="79">
        <f t="shared" si="69"/>
        <v>90.701318279999924</v>
      </c>
      <c r="CJ76" s="79">
        <f t="shared" si="69"/>
        <v>98.083736399999935</v>
      </c>
      <c r="CK76" s="79">
        <f t="shared" si="69"/>
        <v>92.774552855999929</v>
      </c>
      <c r="CL76" s="79">
        <f t="shared" si="69"/>
        <v>97.698352935999921</v>
      </c>
      <c r="CM76" s="79">
        <f t="shared" si="69"/>
        <v>86.473916307199943</v>
      </c>
      <c r="CN76" s="79">
        <f t="shared" si="69"/>
        <v>92.823118214399926</v>
      </c>
      <c r="CO76" s="79">
        <f t="shared" si="69"/>
        <v>93.146375355839936</v>
      </c>
      <c r="CP76" s="79">
        <f t="shared" si="69"/>
        <v>93.570735342719928</v>
      </c>
      <c r="CQ76" s="79">
        <f t="shared" si="69"/>
        <v>92.583263133887925</v>
      </c>
      <c r="CR76" s="79">
        <f t="shared" si="69"/>
        <v>92.742499631231937</v>
      </c>
      <c r="CS76" s="79">
        <f t="shared" si="69"/>
        <v>91.719481670809543</v>
      </c>
      <c r="CT76" s="79">
        <f t="shared" si="69"/>
        <v>92.973198335615933</v>
      </c>
      <c r="CU76" s="79">
        <f t="shared" si="69"/>
        <v>92.752471026897851</v>
      </c>
      <c r="CV76" s="79">
        <f t="shared" si="71"/>
        <v>51.454780200000002</v>
      </c>
      <c r="CW76" s="79">
        <f t="shared" si="70"/>
        <v>63.042119600000021</v>
      </c>
      <c r="CX76" s="79">
        <f t="shared" si="70"/>
        <v>65.952343399999975</v>
      </c>
      <c r="CY76" s="79">
        <f t="shared" si="70"/>
        <v>84.857630599999951</v>
      </c>
      <c r="CZ76" s="69" t="s">
        <v>16</v>
      </c>
      <c r="DA76" s="76">
        <f t="shared" si="72"/>
        <v>84.857630599999951</v>
      </c>
    </row>
    <row r="77" spans="1:105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100" cm="1">
        <f t="array" ref="P77">SUM(P72:P75/SUM(P64:P71))</f>
        <v>0.41362906198233734</v>
      </c>
      <c r="Q77" s="100" cm="1">
        <f t="array" ref="Q77">SUM(Q72:Q75/SUM(Q64:Q71))</f>
        <v>0.71138347780224986</v>
      </c>
      <c r="R77" s="100" cm="1">
        <f t="array" ref="R77">SUM(R72:R75/SUM(R64:R71))</f>
        <v>0.51140941004824514</v>
      </c>
      <c r="S77" s="100" cm="1">
        <f t="array" ref="S77">SUM(S72:S75/SUM(S64:S71))</f>
        <v>0.6498719775517211</v>
      </c>
      <c r="T77" s="100" cm="1">
        <f t="array" ref="T77">SUM(T72:T75/SUM(T64:T71))</f>
        <v>0.27990470651708754</v>
      </c>
      <c r="U77" s="100" cm="1">
        <f t="array" ref="U77">SUM(U72:U75/SUM(U64:U71))</f>
        <v>0.39562657372556964</v>
      </c>
      <c r="V77" s="100" cm="1">
        <f t="array" ref="V77">SUM(V72:V75/SUM(V64:V71))</f>
        <v>0.40713991552397921</v>
      </c>
      <c r="W77" s="100" cm="1">
        <f t="array" ref="W77">SUM(W72:W75/SUM(W64:W71))</f>
        <v>0.45305221357286807</v>
      </c>
      <c r="X77" s="100" cm="1">
        <f t="array" ref="X77">SUM(X69:X75/SUM(X64:X68))</f>
        <v>1.5142080211292468</v>
      </c>
      <c r="Y77" s="100" cm="1">
        <f t="array" ref="Y77">SUM(Y69:Y75/SUM(Y64:Y68))</f>
        <v>1.3971026284412349</v>
      </c>
      <c r="Z77" s="100" cm="1">
        <f t="array" ref="Z77">SUM(Z69:Z75/SUM(Z64:Z68))</f>
        <v>1.7853101275301184</v>
      </c>
      <c r="AA77" s="100" cm="1">
        <f t="array" ref="AA77">SUM(AA69:AA75/SUM(AA64:AA68))</f>
        <v>1.2910233261796304</v>
      </c>
      <c r="AB77" s="100" cm="1">
        <f t="array" ref="AB77">SUM(AB69:AB75/SUM(AB64:AB68))</f>
        <v>1.246913477285428</v>
      </c>
      <c r="AC77" s="100" cm="1">
        <f t="array" ref="AC77">SUM(AC69:AC75/SUM(AC64:AC68))</f>
        <v>1.0744559520785855</v>
      </c>
      <c r="AD77" s="100" cm="1">
        <f t="array" ref="AD77">SUM(AD69:AD75/SUM(AD64:AD68))</f>
        <v>1.6131383281145566</v>
      </c>
      <c r="AE77" s="100" cm="1">
        <f t="array" ref="AE77">SUM(AE69:AE75/SUM(AE64:AE68))</f>
        <v>1.7565395201836833</v>
      </c>
      <c r="AF77" s="100" cm="1">
        <f t="array" ref="AF77">SUM(AF69:AF75/SUM(AF64:AF68))</f>
        <v>1.6558196640860241</v>
      </c>
      <c r="AG77" s="100" cm="1">
        <f t="array" ref="AG77">SUM(AG69:AG75/SUM(AG64:AG68))</f>
        <v>1.4270872405876791</v>
      </c>
      <c r="AH77" s="100" cm="1">
        <f t="array" ref="AH77">SUM(AH69:AH75/SUM(AH64:AH68))</f>
        <v>1.4561585475121341</v>
      </c>
      <c r="AI77" s="100" cm="1">
        <f t="array" ref="AI77">SUM(AI69:AI75/SUM(AI64:AI68))</f>
        <v>1.4823599434713211</v>
      </c>
      <c r="AJ77" s="100" cm="1">
        <f t="array" ref="AJ77">SUM(AJ69:AJ75/SUM(AJ64:AJ68))</f>
        <v>1.5532073298336027</v>
      </c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V77" s="69" t="s">
        <v>17</v>
      </c>
      <c r="BW77" s="76">
        <f t="shared" si="68"/>
        <v>42.805150999999796</v>
      </c>
      <c r="BX77" s="76">
        <f t="shared" si="68"/>
        <v>35.741651999999931</v>
      </c>
      <c r="BY77" s="76">
        <f t="shared" si="68"/>
        <v>66.275535999999875</v>
      </c>
      <c r="BZ77" s="76">
        <f t="shared" si="68"/>
        <v>78.591768999999886</v>
      </c>
      <c r="CA77" s="76">
        <f t="shared" si="68"/>
        <v>97.010911000000078</v>
      </c>
      <c r="CB77" s="76">
        <f t="shared" si="68"/>
        <v>68.930753000000095</v>
      </c>
      <c r="CC77" s="76">
        <f t="shared" si="68"/>
        <v>10.338672999999972</v>
      </c>
      <c r="CD77" s="76">
        <f t="shared" si="68"/>
        <v>14.875166999999919</v>
      </c>
      <c r="CE77" s="76">
        <f t="shared" si="68"/>
        <v>46.330781999999999</v>
      </c>
      <c r="CF77" s="76">
        <f t="shared" si="68"/>
        <v>146.03878199999986</v>
      </c>
      <c r="CG77" s="79">
        <f t="shared" si="69"/>
        <v>47.497257200000014</v>
      </c>
      <c r="CH77" s="79">
        <f t="shared" si="69"/>
        <v>57.302831399999967</v>
      </c>
      <c r="CI77" s="79">
        <f t="shared" si="69"/>
        <v>53.016132239999955</v>
      </c>
      <c r="CJ77" s="79">
        <f t="shared" si="69"/>
        <v>62.408963919999948</v>
      </c>
      <c r="CK77" s="79">
        <f t="shared" si="69"/>
        <v>70.037156967999948</v>
      </c>
      <c r="CL77" s="79">
        <f t="shared" si="69"/>
        <v>73.252793351999941</v>
      </c>
      <c r="CM77" s="79">
        <f t="shared" si="69"/>
        <v>58.052468345599962</v>
      </c>
      <c r="CN77" s="79">
        <f t="shared" si="69"/>
        <v>63.203575575999956</v>
      </c>
      <c r="CO77" s="79">
        <f t="shared" si="69"/>
        <v>63.353502965119944</v>
      </c>
      <c r="CP77" s="79">
        <f t="shared" si="69"/>
        <v>65.390991632319952</v>
      </c>
      <c r="CQ77" s="79">
        <f t="shared" si="69"/>
        <v>65.57989944134394</v>
      </c>
      <c r="CR77" s="79">
        <f t="shared" si="69"/>
        <v>64.650666374207958</v>
      </c>
      <c r="CS77" s="79">
        <f t="shared" si="69"/>
        <v>63.116087592076745</v>
      </c>
      <c r="CT77" s="79">
        <f t="shared" si="69"/>
        <v>64.435727197798343</v>
      </c>
      <c r="CU77" s="79">
        <f t="shared" si="69"/>
        <v>64.418229601013692</v>
      </c>
      <c r="CV77" s="79">
        <f t="shared" si="71"/>
        <v>64.229528399999978</v>
      </c>
      <c r="CW77" s="79">
        <f t="shared" si="70"/>
        <v>53.949454599999989</v>
      </c>
      <c r="CX77" s="79">
        <f t="shared" si="70"/>
        <v>47.497257200000014</v>
      </c>
      <c r="CY77" s="79">
        <f t="shared" si="70"/>
        <v>57.302831399999967</v>
      </c>
      <c r="CZ77" s="69" t="s">
        <v>17</v>
      </c>
      <c r="DA77" s="76">
        <f t="shared" si="72"/>
        <v>57.302831399999967</v>
      </c>
    </row>
    <row r="78" spans="1:105" ht="12" thickBot="1">
      <c r="A78" s="83" t="s">
        <v>150</v>
      </c>
      <c r="BV78" s="69" t="s">
        <v>151</v>
      </c>
    </row>
    <row r="79" spans="1:105" ht="12" thickBot="1">
      <c r="A79" s="84"/>
      <c r="B79" s="85" t="s">
        <v>66</v>
      </c>
      <c r="C79" s="86" t="s">
        <v>67</v>
      </c>
      <c r="D79" s="86" t="s">
        <v>68</v>
      </c>
      <c r="E79" s="86" t="s">
        <v>69</v>
      </c>
      <c r="F79" s="86" t="s">
        <v>70</v>
      </c>
      <c r="G79" s="86" t="s">
        <v>71</v>
      </c>
      <c r="H79" s="86" t="s">
        <v>72</v>
      </c>
      <c r="I79" s="86" t="s">
        <v>73</v>
      </c>
      <c r="J79" s="86" t="s">
        <v>74</v>
      </c>
      <c r="K79" s="86" t="s">
        <v>75</v>
      </c>
      <c r="L79" s="86" t="s">
        <v>76</v>
      </c>
      <c r="M79" s="86" t="s">
        <v>77</v>
      </c>
      <c r="N79" s="86" t="s">
        <v>78</v>
      </c>
      <c r="O79" s="86" t="s">
        <v>79</v>
      </c>
      <c r="P79" s="86" t="s">
        <v>80</v>
      </c>
      <c r="Q79" s="86" t="s">
        <v>81</v>
      </c>
      <c r="R79" s="86" t="s">
        <v>82</v>
      </c>
      <c r="S79" s="86" t="s">
        <v>83</v>
      </c>
      <c r="T79" s="86" t="s">
        <v>84</v>
      </c>
      <c r="U79" s="86" t="s">
        <v>85</v>
      </c>
      <c r="V79" s="86" t="s">
        <v>86</v>
      </c>
      <c r="W79" s="86" t="s">
        <v>87</v>
      </c>
      <c r="X79" s="86" t="s">
        <v>88</v>
      </c>
      <c r="Y79" s="86" t="s">
        <v>89</v>
      </c>
      <c r="Z79" s="86" t="s">
        <v>90</v>
      </c>
      <c r="AA79" s="86" t="s">
        <v>91</v>
      </c>
      <c r="AB79" s="86" t="s">
        <v>92</v>
      </c>
      <c r="AC79" s="86" t="s">
        <v>93</v>
      </c>
      <c r="AD79" s="86" t="str">
        <f>AD2</f>
        <v>21/22</v>
      </c>
      <c r="AE79" s="86" t="str">
        <f t="shared" ref="AE79:BF79" si="79">AE2</f>
        <v>22/23</v>
      </c>
      <c r="AF79" s="86" t="str">
        <f t="shared" si="79"/>
        <v>23/24</v>
      </c>
      <c r="AG79" s="86" t="str">
        <f t="shared" si="79"/>
        <v>24/25</v>
      </c>
      <c r="AH79" s="86" t="str">
        <f t="shared" si="79"/>
        <v>25/26</v>
      </c>
      <c r="AI79" s="86" t="str">
        <f t="shared" si="79"/>
        <v>26/27</v>
      </c>
      <c r="AJ79" s="86" t="str">
        <f t="shared" si="79"/>
        <v>27/28</v>
      </c>
      <c r="AK79" s="86" t="str">
        <f t="shared" si="79"/>
        <v>28/29</v>
      </c>
      <c r="AL79" s="86" t="str">
        <f t="shared" si="79"/>
        <v>29/30</v>
      </c>
      <c r="AM79" s="86" t="str">
        <f t="shared" si="79"/>
        <v>30/31</v>
      </c>
      <c r="AN79" s="86" t="str">
        <f t="shared" si="79"/>
        <v>31/32</v>
      </c>
      <c r="AO79" s="86" t="str">
        <f t="shared" si="79"/>
        <v>32/33</v>
      </c>
      <c r="AP79" s="86" t="str">
        <f t="shared" si="79"/>
        <v>33/34</v>
      </c>
      <c r="AQ79" s="86" t="str">
        <f t="shared" si="79"/>
        <v>34/35</v>
      </c>
      <c r="AR79" s="86" t="str">
        <f t="shared" si="79"/>
        <v>35/36</v>
      </c>
      <c r="AS79" s="86" t="str">
        <f t="shared" si="79"/>
        <v>36/37</v>
      </c>
      <c r="AT79" s="86" t="str">
        <f t="shared" si="79"/>
        <v>37/38</v>
      </c>
      <c r="AU79" s="86" t="str">
        <f t="shared" si="79"/>
        <v>38/39</v>
      </c>
      <c r="AV79" s="86" t="str">
        <f t="shared" si="79"/>
        <v>39/40</v>
      </c>
      <c r="AW79" s="86" t="str">
        <f t="shared" si="79"/>
        <v>40/41</v>
      </c>
      <c r="AX79" s="86" t="str">
        <f t="shared" si="79"/>
        <v>41/42</v>
      </c>
      <c r="AY79" s="86" t="str">
        <f t="shared" si="79"/>
        <v>42/43</v>
      </c>
      <c r="AZ79" s="86" t="str">
        <f t="shared" si="79"/>
        <v>43/44</v>
      </c>
      <c r="BA79" s="86" t="str">
        <f t="shared" si="79"/>
        <v>44/45</v>
      </c>
      <c r="BB79" s="86" t="str">
        <f t="shared" si="79"/>
        <v>45/46</v>
      </c>
      <c r="BC79" s="86" t="str">
        <f t="shared" si="79"/>
        <v>42/47</v>
      </c>
      <c r="BD79" s="86" t="str">
        <f t="shared" si="79"/>
        <v>42/48</v>
      </c>
      <c r="BE79" s="86" t="str">
        <f t="shared" si="79"/>
        <v>42/49</v>
      </c>
      <c r="BF79" s="86" t="str">
        <f t="shared" si="79"/>
        <v>42/50</v>
      </c>
      <c r="BV79" s="69">
        <v>2021</v>
      </c>
      <c r="BW79" s="69">
        <v>2020</v>
      </c>
      <c r="BX79" s="69">
        <v>2019</v>
      </c>
      <c r="BY79" s="69">
        <v>2018</v>
      </c>
      <c r="BZ79" s="69">
        <v>2017</v>
      </c>
      <c r="CA79" s="69">
        <v>2016</v>
      </c>
      <c r="CB79" s="69">
        <v>2015</v>
      </c>
      <c r="CC79" s="69">
        <v>2014</v>
      </c>
    </row>
    <row r="80" spans="1:105">
      <c r="A80" s="69" t="s">
        <v>37</v>
      </c>
      <c r="B80" s="76">
        <f>B3+B32+B48-B64-B96</f>
        <v>95.606660148999993</v>
      </c>
      <c r="C80" s="76">
        <f t="shared" ref="C80:AE80" si="80">B107+C32+C48-C64-C96</f>
        <v>78.939126358199971</v>
      </c>
      <c r="D80" s="76">
        <f t="shared" si="80"/>
        <v>97.419757011599955</v>
      </c>
      <c r="E80" s="76">
        <f t="shared" si="80"/>
        <v>52.300192441399986</v>
      </c>
      <c r="F80" s="76">
        <f t="shared" si="80"/>
        <v>93.977546552400014</v>
      </c>
      <c r="G80" s="76">
        <f t="shared" si="80"/>
        <v>114.43899456599996</v>
      </c>
      <c r="H80" s="76">
        <f t="shared" si="80"/>
        <v>109.82232142100003</v>
      </c>
      <c r="I80" s="76">
        <f t="shared" si="80"/>
        <v>127.33089220019997</v>
      </c>
      <c r="J80" s="76">
        <f t="shared" si="80"/>
        <v>132.97062684660003</v>
      </c>
      <c r="K80" s="76">
        <f t="shared" si="80"/>
        <v>167.13336445720006</v>
      </c>
      <c r="L80" s="76">
        <f t="shared" si="80"/>
        <v>225.29909157060007</v>
      </c>
      <c r="M80" s="76">
        <f t="shared" si="80"/>
        <v>271.68436914539996</v>
      </c>
      <c r="N80" s="76">
        <f t="shared" si="80"/>
        <v>423.66478626139997</v>
      </c>
      <c r="O80" s="76">
        <f t="shared" si="80"/>
        <v>422.23069437860005</v>
      </c>
      <c r="P80" s="76">
        <f t="shared" si="80"/>
        <v>633.40483272320012</v>
      </c>
      <c r="Q80" s="76">
        <f t="shared" si="80"/>
        <v>756.62221328939984</v>
      </c>
      <c r="R80" s="76">
        <f t="shared" si="80"/>
        <v>894.96522241894809</v>
      </c>
      <c r="S80" s="76">
        <f t="shared" si="80"/>
        <v>1061.1088426881104</v>
      </c>
      <c r="T80" s="76">
        <f t="shared" si="80"/>
        <v>1030.1430921194799</v>
      </c>
      <c r="U80" s="76">
        <f t="shared" si="80"/>
        <v>945.73111405105374</v>
      </c>
      <c r="V80" s="76">
        <f t="shared" si="80"/>
        <v>1059.7253815570839</v>
      </c>
      <c r="W80" s="76">
        <f t="shared" si="80"/>
        <v>1090.0905227914545</v>
      </c>
      <c r="X80" s="76">
        <f t="shared" si="80"/>
        <v>1144.5125628558067</v>
      </c>
      <c r="Y80" s="76">
        <f t="shared" si="80"/>
        <v>1188.1974153605561</v>
      </c>
      <c r="Z80" s="76">
        <f t="shared" si="80"/>
        <v>1214.5713804317106</v>
      </c>
      <c r="AA80" s="76">
        <f t="shared" si="80"/>
        <v>1139.0313385815534</v>
      </c>
      <c r="AB80" s="76">
        <f t="shared" si="80"/>
        <v>1187.4234532956798</v>
      </c>
      <c r="AC80" s="76">
        <f t="shared" si="80"/>
        <v>1114.9983879843928</v>
      </c>
      <c r="AD80" s="76">
        <f t="shared" si="80"/>
        <v>1159.5733597153276</v>
      </c>
      <c r="AE80" s="76">
        <f t="shared" si="80"/>
        <v>1131.8293764280966</v>
      </c>
      <c r="AF80" s="76">
        <f>AE107+AF32+AF48-AF64-AF96</f>
        <v>1144.6528508600913</v>
      </c>
      <c r="AG80" s="76">
        <f>AF107+AG32+AG48-AG64-AG96</f>
        <v>1180.0263168373745</v>
      </c>
      <c r="AH80" s="77">
        <f t="shared" ref="AH80:AH90" si="81">(SUM(AB80:AF80)/SUM(AB$92:AF$92))*AH$92</f>
        <v>1192.673531228631</v>
      </c>
      <c r="AI80" s="77">
        <f t="shared" ref="AI80:AI90" si="82">(SUM(AC80:AG80)/SUM(AC$92:AG$92))*AI$92</f>
        <v>1181.9637066188627</v>
      </c>
      <c r="AJ80" s="77">
        <f t="shared" ref="AJ80:AY90" si="83">(SUM(AD80:AH80)/SUM(AD$92:AH$92))*AJ$92</f>
        <v>1191.1425567594631</v>
      </c>
      <c r="AK80" s="77">
        <f t="shared" si="83"/>
        <v>1196.8454446732408</v>
      </c>
      <c r="AL80" s="77">
        <f t="shared" si="83"/>
        <v>1209.6663165667185</v>
      </c>
      <c r="AM80" s="77">
        <f t="shared" si="83"/>
        <v>1221.0927855036107</v>
      </c>
      <c r="AN80" s="77">
        <f t="shared" si="83"/>
        <v>1226.9605781399789</v>
      </c>
      <c r="AO80" s="77">
        <f t="shared" si="83"/>
        <v>1232.5784366736866</v>
      </c>
      <c r="AP80" s="77">
        <f t="shared" si="83"/>
        <v>1241.6017118005111</v>
      </c>
      <c r="AQ80" s="77">
        <f t="shared" si="83"/>
        <v>1249.8934779730857</v>
      </c>
      <c r="AR80" s="77">
        <f t="shared" si="83"/>
        <v>1258.8668522464877</v>
      </c>
      <c r="AS80" s="77">
        <f t="shared" si="83"/>
        <v>1266.9102769133899</v>
      </c>
      <c r="AT80" s="77">
        <f t="shared" si="83"/>
        <v>1274.4502822521551</v>
      </c>
      <c r="AU80" s="77">
        <f t="shared" si="83"/>
        <v>1282.4369082934174</v>
      </c>
      <c r="AV80" s="77">
        <f t="shared" si="83"/>
        <v>1290.8179272109874</v>
      </c>
      <c r="AW80" s="77">
        <f t="shared" si="83"/>
        <v>1298.9862149084177</v>
      </c>
      <c r="AX80" s="77">
        <f t="shared" si="83"/>
        <v>1307.1727920427343</v>
      </c>
      <c r="AY80" s="77">
        <f t="shared" si="83"/>
        <v>1315.1942541160702</v>
      </c>
      <c r="AZ80" s="77">
        <f t="shared" ref="AZ80:BF90" si="84">(SUM(AT80:AX80)/SUM(AT$92:AX$92))*AZ$92</f>
        <v>1323.2450972671159</v>
      </c>
      <c r="BA80" s="77">
        <f t="shared" si="84"/>
        <v>1331.3946597971835</v>
      </c>
      <c r="BB80" s="77">
        <f t="shared" si="84"/>
        <v>1339.5573752981102</v>
      </c>
      <c r="BC80" s="77">
        <f t="shared" si="84"/>
        <v>1347.6726432220155</v>
      </c>
      <c r="BD80" s="77">
        <f t="shared" si="84"/>
        <v>1355.7867703227519</v>
      </c>
      <c r="BE80" s="77">
        <f t="shared" si="84"/>
        <v>1363.8862890118089</v>
      </c>
      <c r="BF80" s="77">
        <f t="shared" si="84"/>
        <v>1372.0047954646218</v>
      </c>
      <c r="BV80" s="76">
        <f>SUM(AC84:AC91,AD80:AD83)</f>
        <v>14018.383935317419</v>
      </c>
      <c r="BW80" s="76">
        <f>SUM(AB84:AB91,AC80:AC83)</f>
        <v>12850.118035552292</v>
      </c>
      <c r="BX80" s="76">
        <f>SUM(AA84:AA91,AB80:AB83)</f>
        <v>14713.372703590892</v>
      </c>
      <c r="BY80" s="76">
        <f>SUM(Z84:Z91,AA80:AA83)</f>
        <v>14641.658643713625</v>
      </c>
      <c r="BZ80" s="76">
        <f>SUM(Y84:Y91,Z80:Z83)</f>
        <v>14491.869357670636</v>
      </c>
      <c r="CA80" s="76">
        <f>SUM(X84:X91,Y80:Y83)</f>
        <v>14378.697572933977</v>
      </c>
      <c r="CB80" s="76">
        <f>SUM(W84:W91,X80:X83)</f>
        <v>13855.090285976949</v>
      </c>
      <c r="CC80" s="76">
        <f>SUM(V84:V91,W80:W83)</f>
        <v>13455.114512330236</v>
      </c>
    </row>
    <row r="81" spans="1:80">
      <c r="A81" s="69" t="s">
        <v>38</v>
      </c>
      <c r="B81" s="76">
        <f t="shared" ref="B81:AF89" si="85">B96+B33+B49-B65-B97</f>
        <v>89.610027700800018</v>
      </c>
      <c r="C81" s="76">
        <f t="shared" si="85"/>
        <v>120.45205660320002</v>
      </c>
      <c r="D81" s="76">
        <f t="shared" si="85"/>
        <v>130.16504730260007</v>
      </c>
      <c r="E81" s="76">
        <f t="shared" si="85"/>
        <v>81.049412440800026</v>
      </c>
      <c r="F81" s="76">
        <f t="shared" si="85"/>
        <v>130.53869472180003</v>
      </c>
      <c r="G81" s="76">
        <f t="shared" si="85"/>
        <v>131.1040994194</v>
      </c>
      <c r="H81" s="76">
        <f t="shared" si="85"/>
        <v>137.79650578599995</v>
      </c>
      <c r="I81" s="76">
        <f t="shared" si="85"/>
        <v>150.78200486280005</v>
      </c>
      <c r="J81" s="76">
        <f t="shared" si="85"/>
        <v>181.05749847879994</v>
      </c>
      <c r="K81" s="76">
        <f t="shared" si="85"/>
        <v>201.34439523859999</v>
      </c>
      <c r="L81" s="76">
        <f t="shared" si="85"/>
        <v>263.1053631748</v>
      </c>
      <c r="M81" s="76">
        <f t="shared" si="85"/>
        <v>318.81422131360006</v>
      </c>
      <c r="N81" s="76">
        <f t="shared" si="85"/>
        <v>417.5561545114</v>
      </c>
      <c r="O81" s="76">
        <f t="shared" si="85"/>
        <v>481.05781949179993</v>
      </c>
      <c r="P81" s="76">
        <f t="shared" si="85"/>
        <v>612.61427753300018</v>
      </c>
      <c r="Q81" s="76">
        <f t="shared" si="85"/>
        <v>879.4393708476</v>
      </c>
      <c r="R81" s="76">
        <f t="shared" si="85"/>
        <v>995.17089854987978</v>
      </c>
      <c r="S81" s="76">
        <f t="shared" si="85"/>
        <v>1120.3494152918706</v>
      </c>
      <c r="T81" s="76">
        <f t="shared" si="85"/>
        <v>1094.0713110600966</v>
      </c>
      <c r="U81" s="76">
        <f t="shared" si="85"/>
        <v>1054.5812951040971</v>
      </c>
      <c r="V81" s="76">
        <f t="shared" si="85"/>
        <v>1136.7956793055441</v>
      </c>
      <c r="W81" s="76">
        <f t="shared" si="85"/>
        <v>1179.4330882519994</v>
      </c>
      <c r="X81" s="76">
        <f t="shared" si="85"/>
        <v>1186.3068789272497</v>
      </c>
      <c r="Y81" s="76">
        <f t="shared" si="85"/>
        <v>1203.1696699485656</v>
      </c>
      <c r="Z81" s="76">
        <f t="shared" si="85"/>
        <v>1253.6585483210538</v>
      </c>
      <c r="AA81" s="76">
        <f t="shared" si="85"/>
        <v>1258.7655272955906</v>
      </c>
      <c r="AB81" s="76">
        <f t="shared" si="85"/>
        <v>1277.4103400107251</v>
      </c>
      <c r="AC81" s="76">
        <f t="shared" si="85"/>
        <v>1083.3101736615058</v>
      </c>
      <c r="AD81" s="76">
        <f t="shared" si="85"/>
        <v>1272.9890338642317</v>
      </c>
      <c r="AE81" s="76">
        <f t="shared" si="85"/>
        <v>1242.9798514138101</v>
      </c>
      <c r="AF81" s="76">
        <f t="shared" si="85"/>
        <v>1267.1563656627072</v>
      </c>
      <c r="AG81" s="76">
        <f>AG96+AG33+AG49-AG65-AG97</f>
        <v>1282.2462808613695</v>
      </c>
      <c r="AH81" s="77">
        <f t="shared" si="81"/>
        <v>1276.9244655889079</v>
      </c>
      <c r="AI81" s="77">
        <f t="shared" si="82"/>
        <v>1268.0887807095712</v>
      </c>
      <c r="AJ81" s="77">
        <f t="shared" si="83"/>
        <v>1300.5503079795683</v>
      </c>
      <c r="AK81" s="77">
        <f t="shared" si="83"/>
        <v>1300.7534901681738</v>
      </c>
      <c r="AL81" s="77">
        <f t="shared" si="83"/>
        <v>1313.2720655890339</v>
      </c>
      <c r="AM81" s="77">
        <f t="shared" si="83"/>
        <v>1320.9376695837514</v>
      </c>
      <c r="AN81" s="77">
        <f t="shared" si="83"/>
        <v>1327.0720484562223</v>
      </c>
      <c r="AO81" s="77">
        <f t="shared" si="83"/>
        <v>1335.8750699088851</v>
      </c>
      <c r="AP81" s="77">
        <f t="shared" si="83"/>
        <v>1347.7524751836816</v>
      </c>
      <c r="AQ81" s="77">
        <f t="shared" si="83"/>
        <v>1354.7709239076455</v>
      </c>
      <c r="AR81" s="77">
        <f t="shared" si="83"/>
        <v>1364.1866833799259</v>
      </c>
      <c r="AS81" s="77">
        <f t="shared" si="83"/>
        <v>1372.4732594450909</v>
      </c>
      <c r="AT81" s="77">
        <f t="shared" si="83"/>
        <v>1381.1191902370047</v>
      </c>
      <c r="AU81" s="77">
        <f t="shared" si="83"/>
        <v>1390.2067909979041</v>
      </c>
      <c r="AV81" s="77">
        <f t="shared" si="83"/>
        <v>1399.262067886945</v>
      </c>
      <c r="AW81" s="77">
        <f t="shared" si="83"/>
        <v>1407.7449944548864</v>
      </c>
      <c r="AX81" s="77">
        <f t="shared" si="83"/>
        <v>1416.6457665012053</v>
      </c>
      <c r="AY81" s="77">
        <f t="shared" si="83"/>
        <v>1425.3552165690337</v>
      </c>
      <c r="AZ81" s="77">
        <f t="shared" si="84"/>
        <v>1434.1906239530883</v>
      </c>
      <c r="BA81" s="77">
        <f t="shared" si="84"/>
        <v>1443.0390414640449</v>
      </c>
      <c r="BB81" s="77">
        <f t="shared" si="84"/>
        <v>1451.835752105902</v>
      </c>
      <c r="BC81" s="77">
        <f t="shared" si="84"/>
        <v>1460.5900700350801</v>
      </c>
      <c r="BD81" s="77">
        <f t="shared" si="84"/>
        <v>1469.4086980356769</v>
      </c>
      <c r="BE81" s="77">
        <f t="shared" si="84"/>
        <v>1478.1973149919036</v>
      </c>
      <c r="BF81" s="77">
        <f t="shared" si="84"/>
        <v>1487.0082998367891</v>
      </c>
      <c r="BV81" s="76">
        <f>BV80-BW80</f>
        <v>1168.265899765127</v>
      </c>
      <c r="BW81" s="76">
        <f>BW80-BX80</f>
        <v>-1863.2546680386004</v>
      </c>
      <c r="BX81" s="76">
        <f t="shared" ref="BX81:CB81" si="86">BX80-BY80</f>
        <v>71.714059877267573</v>
      </c>
      <c r="BY81" s="76">
        <f t="shared" si="86"/>
        <v>149.78928604298926</v>
      </c>
      <c r="BZ81" s="76">
        <f t="shared" si="86"/>
        <v>113.17178473665808</v>
      </c>
      <c r="CA81" s="76">
        <f t="shared" si="86"/>
        <v>523.60728695702892</v>
      </c>
      <c r="CB81" s="76">
        <f t="shared" si="86"/>
        <v>399.9757736467127</v>
      </c>
    </row>
    <row r="82" spans="1:80">
      <c r="A82" s="69" t="s">
        <v>39</v>
      </c>
      <c r="B82" s="76">
        <f t="shared" si="85"/>
        <v>121.97703312379997</v>
      </c>
      <c r="C82" s="76">
        <f t="shared" si="85"/>
        <v>111.20775487440001</v>
      </c>
      <c r="D82" s="76">
        <f t="shared" si="85"/>
        <v>133.25960203739999</v>
      </c>
      <c r="E82" s="76">
        <f t="shared" si="85"/>
        <v>91.548867379799987</v>
      </c>
      <c r="F82" s="76">
        <f t="shared" si="85"/>
        <v>102.48306351660003</v>
      </c>
      <c r="G82" s="76">
        <f t="shared" si="85"/>
        <v>116.19512249119998</v>
      </c>
      <c r="H82" s="76">
        <f t="shared" si="85"/>
        <v>141.49446917000003</v>
      </c>
      <c r="I82" s="76">
        <f t="shared" si="85"/>
        <v>151.11967200559999</v>
      </c>
      <c r="J82" s="76">
        <f t="shared" si="85"/>
        <v>142.95763731140005</v>
      </c>
      <c r="K82" s="76">
        <f t="shared" si="85"/>
        <v>227.25580188399994</v>
      </c>
      <c r="L82" s="76">
        <f t="shared" si="85"/>
        <v>285.0725582124</v>
      </c>
      <c r="M82" s="76">
        <f t="shared" si="85"/>
        <v>327.64754166380004</v>
      </c>
      <c r="N82" s="76">
        <f t="shared" si="85"/>
        <v>394.7333775108001</v>
      </c>
      <c r="O82" s="76">
        <f t="shared" si="85"/>
        <v>474.48745830320001</v>
      </c>
      <c r="P82" s="76">
        <f t="shared" si="85"/>
        <v>616.54214201759987</v>
      </c>
      <c r="Q82" s="76">
        <f t="shared" si="85"/>
        <v>842.41842520780006</v>
      </c>
      <c r="R82" s="76">
        <f t="shared" si="85"/>
        <v>971.54888345888401</v>
      </c>
      <c r="S82" s="76">
        <f t="shared" si="85"/>
        <v>1112.1893057079685</v>
      </c>
      <c r="T82" s="76">
        <f t="shared" si="85"/>
        <v>1072.9597497549803</v>
      </c>
      <c r="U82" s="76">
        <f t="shared" si="85"/>
        <v>944.54310112775102</v>
      </c>
      <c r="V82" s="76">
        <f t="shared" si="85"/>
        <v>1090.6164805556073</v>
      </c>
      <c r="W82" s="76">
        <f t="shared" si="85"/>
        <v>1124.9464214233069</v>
      </c>
      <c r="X82" s="76">
        <f t="shared" si="85"/>
        <v>1144.6163306960143</v>
      </c>
      <c r="Y82" s="76">
        <f t="shared" si="85"/>
        <v>1190.4977823591107</v>
      </c>
      <c r="Z82" s="76">
        <f>Z97+Z34+Z50-Z66-Z98</f>
        <v>1236.4743957404876</v>
      </c>
      <c r="AA82" s="76">
        <f t="shared" si="85"/>
        <v>1218.0568458053422</v>
      </c>
      <c r="AB82" s="76">
        <f t="shared" si="85"/>
        <v>1256.8272517692931</v>
      </c>
      <c r="AC82" s="76">
        <f t="shared" si="85"/>
        <v>1112.4607924161451</v>
      </c>
      <c r="AD82" s="76">
        <f t="shared" si="85"/>
        <v>1212.2006619990559</v>
      </c>
      <c r="AE82" s="76">
        <f t="shared" si="85"/>
        <v>1187.353946220423</v>
      </c>
      <c r="AF82" s="76">
        <f t="shared" si="85"/>
        <v>1193.6298317224121</v>
      </c>
      <c r="AG82" s="76">
        <f t="shared" ref="AF82:AG84" si="87">AG97+AG34+AG50-AG66-AG98</f>
        <v>1194.5113374734376</v>
      </c>
      <c r="AH82" s="77">
        <f t="shared" si="81"/>
        <v>1239.2282101603935</v>
      </c>
      <c r="AI82" s="77">
        <f t="shared" si="82"/>
        <v>1216.8335765347613</v>
      </c>
      <c r="AJ82" s="77">
        <f t="shared" si="83"/>
        <v>1235.8801688592634</v>
      </c>
      <c r="AK82" s="77">
        <f t="shared" si="83"/>
        <v>1237.9799223844652</v>
      </c>
      <c r="AL82" s="77">
        <f t="shared" si="83"/>
        <v>1248.6075881358488</v>
      </c>
      <c r="AM82" s="77">
        <f t="shared" si="83"/>
        <v>1258.4451812491072</v>
      </c>
      <c r="AN82" s="77">
        <f t="shared" si="83"/>
        <v>1269.330543370455</v>
      </c>
      <c r="AO82" s="77">
        <f t="shared" si="83"/>
        <v>1273.0506195254645</v>
      </c>
      <c r="AP82" s="77">
        <f t="shared" si="83"/>
        <v>1283.6070346468034</v>
      </c>
      <c r="AQ82" s="77">
        <f t="shared" si="83"/>
        <v>1291.0156448246166</v>
      </c>
      <c r="AR82" s="77">
        <f t="shared" si="83"/>
        <v>1300.160728309656</v>
      </c>
      <c r="AS82" s="77">
        <f t="shared" si="83"/>
        <v>1308.6447995844287</v>
      </c>
      <c r="AT82" s="77">
        <f t="shared" si="83"/>
        <v>1316.9867158121417</v>
      </c>
      <c r="AU82" s="77">
        <f t="shared" si="83"/>
        <v>1324.8359151282766</v>
      </c>
      <c r="AV82" s="77">
        <f t="shared" si="83"/>
        <v>1333.633513271285</v>
      </c>
      <c r="AW82" s="77">
        <f t="shared" si="83"/>
        <v>1341.8756520326401</v>
      </c>
      <c r="AX82" s="77">
        <f t="shared" si="83"/>
        <v>1350.4027123681933</v>
      </c>
      <c r="AY82" s="77">
        <f t="shared" si="83"/>
        <v>1358.7445677522292</v>
      </c>
      <c r="AZ82" s="77">
        <f t="shared" si="84"/>
        <v>1367.0952514513756</v>
      </c>
      <c r="BA82" s="77">
        <f t="shared" si="84"/>
        <v>1375.4459339132877</v>
      </c>
      <c r="BB82" s="77">
        <f t="shared" si="84"/>
        <v>1383.8994161298067</v>
      </c>
      <c r="BC82" s="77">
        <f t="shared" si="84"/>
        <v>1392.2612882814105</v>
      </c>
      <c r="BD82" s="77">
        <f t="shared" si="84"/>
        <v>1400.6664739014564</v>
      </c>
      <c r="BE82" s="77">
        <f t="shared" si="84"/>
        <v>1409.037810810637</v>
      </c>
      <c r="BF82" s="77">
        <f t="shared" si="84"/>
        <v>1417.4221254078425</v>
      </c>
    </row>
    <row r="83" spans="1:80">
      <c r="A83" s="69" t="s">
        <v>40</v>
      </c>
      <c r="B83" s="76">
        <f t="shared" si="85"/>
        <v>105.13293928099999</v>
      </c>
      <c r="C83" s="76">
        <f t="shared" si="85"/>
        <v>128.51017570259998</v>
      </c>
      <c r="D83" s="76">
        <f t="shared" si="85"/>
        <v>116.01852218339998</v>
      </c>
      <c r="E83" s="76">
        <f t="shared" si="85"/>
        <v>86.912479143400006</v>
      </c>
      <c r="F83" s="76">
        <f t="shared" si="85"/>
        <v>132.58098614980003</v>
      </c>
      <c r="G83" s="76">
        <f t="shared" si="85"/>
        <v>147.82070670940007</v>
      </c>
      <c r="H83" s="76">
        <f t="shared" si="85"/>
        <v>159.06418353179996</v>
      </c>
      <c r="I83" s="76">
        <f t="shared" si="85"/>
        <v>159.47503625699994</v>
      </c>
      <c r="J83" s="76">
        <f t="shared" si="85"/>
        <v>150.88180323460003</v>
      </c>
      <c r="K83" s="76">
        <f t="shared" si="85"/>
        <v>220.31821717340006</v>
      </c>
      <c r="L83" s="76">
        <f t="shared" si="85"/>
        <v>286.38825167000005</v>
      </c>
      <c r="M83" s="76">
        <f t="shared" si="85"/>
        <v>342.42661919919993</v>
      </c>
      <c r="N83" s="76">
        <f t="shared" si="85"/>
        <v>417.2229570720001</v>
      </c>
      <c r="O83" s="76">
        <f t="shared" si="85"/>
        <v>498.05997735299997</v>
      </c>
      <c r="P83" s="76">
        <f t="shared" si="85"/>
        <v>671.80658015019981</v>
      </c>
      <c r="Q83" s="76">
        <f t="shared" si="85"/>
        <v>894.83938775419983</v>
      </c>
      <c r="R83" s="76">
        <f t="shared" si="85"/>
        <v>995.49585280515191</v>
      </c>
      <c r="S83" s="76">
        <f t="shared" si="85"/>
        <v>1141.6323764770527</v>
      </c>
      <c r="T83" s="76">
        <f t="shared" si="85"/>
        <v>1090.5043754520648</v>
      </c>
      <c r="U83" s="76">
        <f t="shared" si="85"/>
        <v>1023.5760551221663</v>
      </c>
      <c r="V83" s="76">
        <f t="shared" si="85"/>
        <v>1146.7203538163633</v>
      </c>
      <c r="W83" s="76">
        <f t="shared" si="85"/>
        <v>1140.0345544075808</v>
      </c>
      <c r="X83" s="76">
        <f t="shared" si="85"/>
        <v>1163.7772235504208</v>
      </c>
      <c r="Y83" s="76">
        <f t="shared" si="85"/>
        <v>1255.3382686948046</v>
      </c>
      <c r="Z83" s="76">
        <f>Z98+Z35+Z51-Z67-Z99</f>
        <v>1213.1780151106486</v>
      </c>
      <c r="AA83" s="76">
        <f t="shared" si="85"/>
        <v>1240.5688268694803</v>
      </c>
      <c r="AB83" s="76">
        <f t="shared" si="85"/>
        <v>1244.5071358663922</v>
      </c>
      <c r="AC83" s="76">
        <f t="shared" si="85"/>
        <v>1131.8004280487448</v>
      </c>
      <c r="AD83" s="76">
        <f t="shared" si="85"/>
        <v>1210.409356004255</v>
      </c>
      <c r="AE83" s="76">
        <f t="shared" si="85"/>
        <v>1165.1327895872814</v>
      </c>
      <c r="AF83" s="76">
        <f t="shared" si="85"/>
        <v>1197.1827933635755</v>
      </c>
      <c r="AG83" s="76">
        <f t="shared" si="87"/>
        <v>1190.8588253939074</v>
      </c>
      <c r="AH83" s="77">
        <f t="shared" si="81"/>
        <v>1236.4348716649729</v>
      </c>
      <c r="AI83" s="77">
        <f t="shared" si="82"/>
        <v>1215.8493333146866</v>
      </c>
      <c r="AJ83" s="77">
        <f t="shared" si="83"/>
        <v>1230.3629613252256</v>
      </c>
      <c r="AK83" s="77">
        <f t="shared" si="83"/>
        <v>1232.6232362002415</v>
      </c>
      <c r="AL83" s="77">
        <f t="shared" si="83"/>
        <v>1246.6783638836196</v>
      </c>
      <c r="AM83" s="77">
        <f t="shared" si="83"/>
        <v>1254.6840879244587</v>
      </c>
      <c r="AN83" s="77">
        <f t="shared" si="83"/>
        <v>1265.924168332926</v>
      </c>
      <c r="AO83" s="77">
        <f t="shared" si="83"/>
        <v>1269.4460721115288</v>
      </c>
      <c r="AP83" s="77">
        <f t="shared" si="83"/>
        <v>1279.5056927556648</v>
      </c>
      <c r="AQ83" s="77">
        <f t="shared" si="83"/>
        <v>1287.3077506423031</v>
      </c>
      <c r="AR83" s="77">
        <f t="shared" si="83"/>
        <v>1296.7111916241997</v>
      </c>
      <c r="AS83" s="77">
        <f t="shared" si="83"/>
        <v>1304.8307531521496</v>
      </c>
      <c r="AT83" s="77">
        <f t="shared" si="83"/>
        <v>1313.2372489519732</v>
      </c>
      <c r="AU83" s="77">
        <f t="shared" si="83"/>
        <v>1321.0034165261866</v>
      </c>
      <c r="AV83" s="77">
        <f t="shared" si="83"/>
        <v>1329.7719087781679</v>
      </c>
      <c r="AW83" s="77">
        <f t="shared" si="83"/>
        <v>1338.0698176198589</v>
      </c>
      <c r="AX83" s="77">
        <f t="shared" si="83"/>
        <v>1346.5659586805873</v>
      </c>
      <c r="AY83" s="77">
        <f t="shared" si="83"/>
        <v>1354.835353790621</v>
      </c>
      <c r="AZ83" s="77">
        <f t="shared" si="84"/>
        <v>1363.1819888562945</v>
      </c>
      <c r="BA83" s="77">
        <f t="shared" si="84"/>
        <v>1371.5005233560614</v>
      </c>
      <c r="BB83" s="77">
        <f t="shared" si="84"/>
        <v>1379.9380491611337</v>
      </c>
      <c r="BC83" s="77">
        <f t="shared" si="84"/>
        <v>1388.2833390399608</v>
      </c>
      <c r="BD83" s="77">
        <f t="shared" si="84"/>
        <v>1396.657242861429</v>
      </c>
      <c r="BE83" s="77">
        <f t="shared" si="84"/>
        <v>1405.0002374466878</v>
      </c>
      <c r="BF83" s="77">
        <f t="shared" si="84"/>
        <v>1413.3646463193388</v>
      </c>
    </row>
    <row r="84" spans="1:80">
      <c r="A84" s="69" t="s">
        <v>30</v>
      </c>
      <c r="B84" s="76">
        <f t="shared" si="85"/>
        <v>112.98019010119999</v>
      </c>
      <c r="C84" s="76">
        <f t="shared" si="85"/>
        <v>110.03612815280002</v>
      </c>
      <c r="D84" s="76">
        <f t="shared" si="85"/>
        <v>114.00366974600001</v>
      </c>
      <c r="E84" s="76">
        <f t="shared" si="85"/>
        <v>88.138378690800025</v>
      </c>
      <c r="F84" s="76">
        <f t="shared" si="85"/>
        <v>127.04944036319998</v>
      </c>
      <c r="G84" s="76">
        <f t="shared" si="85"/>
        <v>125.650399553</v>
      </c>
      <c r="H84" s="76">
        <f t="shared" si="85"/>
        <v>136.92646001500006</v>
      </c>
      <c r="I84" s="76">
        <f t="shared" si="85"/>
        <v>158.53083061820001</v>
      </c>
      <c r="J84" s="76">
        <f t="shared" si="85"/>
        <v>150.05898318099992</v>
      </c>
      <c r="K84" s="76">
        <f t="shared" si="85"/>
        <v>195.98066817</v>
      </c>
      <c r="L84" s="76">
        <f t="shared" si="85"/>
        <v>279.1521629266</v>
      </c>
      <c r="M84" s="76">
        <f t="shared" si="85"/>
        <v>309.90054887440004</v>
      </c>
      <c r="N84" s="76">
        <f t="shared" si="85"/>
        <v>393.92394086999991</v>
      </c>
      <c r="O84" s="76">
        <f t="shared" si="85"/>
        <v>507.17829933539986</v>
      </c>
      <c r="P84" s="76">
        <f t="shared" si="85"/>
        <v>636.84035945060009</v>
      </c>
      <c r="Q84" s="76">
        <f t="shared" si="85"/>
        <v>808.90688851575601</v>
      </c>
      <c r="R84" s="76">
        <f t="shared" si="85"/>
        <v>993.33150466131804</v>
      </c>
      <c r="S84" s="76">
        <f t="shared" si="85"/>
        <v>1045.7810452553356</v>
      </c>
      <c r="T84" s="76">
        <f t="shared" si="85"/>
        <v>1030.9653104049496</v>
      </c>
      <c r="U84" s="76">
        <f t="shared" si="85"/>
        <v>1019.8021701480154</v>
      </c>
      <c r="V84" s="76">
        <f t="shared" si="85"/>
        <v>1066.0863777133782</v>
      </c>
      <c r="W84" s="76">
        <f t="shared" si="85"/>
        <v>1099.6252994682213</v>
      </c>
      <c r="X84" s="76">
        <f t="shared" si="85"/>
        <v>1119.7601612771141</v>
      </c>
      <c r="Y84" s="76">
        <f t="shared" si="85"/>
        <v>1144.414818474088</v>
      </c>
      <c r="Z84" s="76">
        <f t="shared" si="85"/>
        <v>1226.6982195799137</v>
      </c>
      <c r="AA84" s="76">
        <f t="shared" si="85"/>
        <v>1135.8087926750336</v>
      </c>
      <c r="AB84" s="76">
        <f t="shared" si="85"/>
        <v>1196.7187100155593</v>
      </c>
      <c r="AC84" s="76">
        <f t="shared" si="85"/>
        <v>999.00797644112549</v>
      </c>
      <c r="AD84" s="76">
        <f t="shared" si="85"/>
        <v>1091.3750487771872</v>
      </c>
      <c r="AE84" s="76">
        <f t="shared" si="85"/>
        <v>1148.7141914740064</v>
      </c>
      <c r="AF84" s="76">
        <f t="shared" si="87"/>
        <v>1105.3649445925569</v>
      </c>
      <c r="AG84" s="77">
        <f t="shared" ref="AG84:AG91" si="88">(SUM(AB84:AF84)/SUM(AB$92:AF$92))*AG$92</f>
        <v>1143.725277599327</v>
      </c>
      <c r="AH84" s="77">
        <f t="shared" si="81"/>
        <v>1151.6678142493222</v>
      </c>
      <c r="AI84" s="77">
        <f t="shared" si="82"/>
        <v>1131.870090379884</v>
      </c>
      <c r="AJ84" s="77">
        <f t="shared" si="83"/>
        <v>1156.7113338743316</v>
      </c>
      <c r="AK84" s="77">
        <f t="shared" si="83"/>
        <v>1166.0982125163091</v>
      </c>
      <c r="AL84" s="77">
        <f t="shared" si="83"/>
        <v>1168.3643588995828</v>
      </c>
      <c r="AM84" s="77">
        <f t="shared" si="83"/>
        <v>1181.5217935518849</v>
      </c>
      <c r="AN84" s="77">
        <f t="shared" si="83"/>
        <v>1186.3693650310665</v>
      </c>
      <c r="AO84" s="77">
        <f t="shared" si="83"/>
        <v>1192.2891891374902</v>
      </c>
      <c r="AP84" s="77">
        <f t="shared" si="83"/>
        <v>1203.2710802316722</v>
      </c>
      <c r="AQ84" s="77">
        <f t="shared" si="83"/>
        <v>1210.366679395994</v>
      </c>
      <c r="AR84" s="77">
        <f t="shared" si="83"/>
        <v>1217.7899959761762</v>
      </c>
      <c r="AS84" s="77">
        <f t="shared" si="83"/>
        <v>1226.2047694030325</v>
      </c>
      <c r="AT84" s="77">
        <f t="shared" si="83"/>
        <v>1233.4425498487146</v>
      </c>
      <c r="AU84" s="77">
        <f t="shared" si="83"/>
        <v>1241.4125075776749</v>
      </c>
      <c r="AV84" s="77">
        <f t="shared" si="83"/>
        <v>1249.6528218090823</v>
      </c>
      <c r="AW84" s="77">
        <f t="shared" si="83"/>
        <v>1257.2751799387879</v>
      </c>
      <c r="AX84" s="77">
        <f t="shared" si="83"/>
        <v>1265.1323895324376</v>
      </c>
      <c r="AY84" s="77">
        <f t="shared" si="83"/>
        <v>1273.0304154804066</v>
      </c>
      <c r="AZ84" s="77">
        <f t="shared" si="84"/>
        <v>1280.8141108669076</v>
      </c>
      <c r="BA84" s="77">
        <f t="shared" si="84"/>
        <v>1288.7331794393699</v>
      </c>
      <c r="BB84" s="77">
        <f t="shared" si="84"/>
        <v>1296.6140514392021</v>
      </c>
      <c r="BC84" s="77">
        <f t="shared" si="84"/>
        <v>1304.4290811022383</v>
      </c>
      <c r="BD84" s="77">
        <f t="shared" si="84"/>
        <v>1312.2970951026257</v>
      </c>
      <c r="BE84" s="77">
        <f t="shared" si="84"/>
        <v>1320.1564644379571</v>
      </c>
      <c r="BF84" s="77">
        <f t="shared" si="84"/>
        <v>1328.0096854952824</v>
      </c>
    </row>
    <row r="85" spans="1:80">
      <c r="A85" s="69" t="s">
        <v>31</v>
      </c>
      <c r="B85" s="76">
        <f t="shared" si="85"/>
        <v>90.906660209600005</v>
      </c>
      <c r="C85" s="76">
        <f t="shared" si="85"/>
        <v>89.111239638800001</v>
      </c>
      <c r="D85" s="76">
        <f t="shared" si="85"/>
        <v>99.040697284399997</v>
      </c>
      <c r="E85" s="76">
        <f t="shared" si="85"/>
        <v>87.561528800200023</v>
      </c>
      <c r="F85" s="76">
        <f t="shared" si="85"/>
        <v>99.052494700599993</v>
      </c>
      <c r="G85" s="76">
        <f t="shared" si="85"/>
        <v>103.92134127879999</v>
      </c>
      <c r="H85" s="76">
        <f t="shared" si="85"/>
        <v>112.39190399759997</v>
      </c>
      <c r="I85" s="76">
        <f t="shared" si="85"/>
        <v>138.28437258779999</v>
      </c>
      <c r="J85" s="76">
        <f t="shared" si="85"/>
        <v>147.59247609659994</v>
      </c>
      <c r="K85" s="76">
        <f t="shared" si="85"/>
        <v>240.65399793659998</v>
      </c>
      <c r="L85" s="76">
        <f t="shared" si="85"/>
        <v>286.46673333280012</v>
      </c>
      <c r="M85" s="76">
        <f t="shared" si="85"/>
        <v>305.02349987420007</v>
      </c>
      <c r="N85" s="76">
        <f t="shared" si="85"/>
        <v>344.20576850840007</v>
      </c>
      <c r="O85" s="76">
        <f t="shared" si="85"/>
        <v>466.18008972920006</v>
      </c>
      <c r="P85" s="76">
        <f t="shared" si="85"/>
        <v>648.66128699900014</v>
      </c>
      <c r="Q85" s="76">
        <f t="shared" si="85"/>
        <v>708.19424066957208</v>
      </c>
      <c r="R85" s="76">
        <f t="shared" si="85"/>
        <v>937.02527043041584</v>
      </c>
      <c r="S85" s="76">
        <f t="shared" si="85"/>
        <v>1017.2158112489794</v>
      </c>
      <c r="T85" s="76">
        <f t="shared" si="85"/>
        <v>1043.2155629377003</v>
      </c>
      <c r="U85" s="76">
        <f t="shared" si="85"/>
        <v>943.61118990545276</v>
      </c>
      <c r="V85" s="76">
        <f t="shared" si="85"/>
        <v>1010.1869495034886</v>
      </c>
      <c r="W85" s="76">
        <f t="shared" si="85"/>
        <v>1046.9486050071196</v>
      </c>
      <c r="X85" s="76">
        <f t="shared" si="85"/>
        <v>1135.2507152725864</v>
      </c>
      <c r="Y85" s="76">
        <f t="shared" si="85"/>
        <v>1065.5642334278189</v>
      </c>
      <c r="Z85" s="76">
        <f t="shared" si="85"/>
        <v>1038.7853137652196</v>
      </c>
      <c r="AA85" s="76">
        <f t="shared" si="85"/>
        <v>1147.6424965063229</v>
      </c>
      <c r="AB85" s="76">
        <f t="shared" si="85"/>
        <v>1126.9850755558846</v>
      </c>
      <c r="AC85" s="76">
        <f t="shared" si="85"/>
        <v>930.05779558885297</v>
      </c>
      <c r="AD85" s="76">
        <f t="shared" si="85"/>
        <v>1022.7988694134283</v>
      </c>
      <c r="AE85" s="76">
        <f t="shared" si="85"/>
        <v>1026.2614601908583</v>
      </c>
      <c r="AF85" s="76">
        <f t="shared" si="85"/>
        <v>1118.289719979754</v>
      </c>
      <c r="AG85" s="77">
        <f t="shared" si="88"/>
        <v>1078.3387841563401</v>
      </c>
      <c r="AH85" s="77">
        <f t="shared" si="81"/>
        <v>1085.8272479352036</v>
      </c>
      <c r="AI85" s="77">
        <f t="shared" si="82"/>
        <v>1067.4330770148217</v>
      </c>
      <c r="AJ85" s="77">
        <f t="shared" si="83"/>
        <v>1093.2799233705807</v>
      </c>
      <c r="AK85" s="77">
        <f t="shared" si="83"/>
        <v>1103.4574034303587</v>
      </c>
      <c r="AL85" s="77">
        <f t="shared" si="83"/>
        <v>1117.8106727119016</v>
      </c>
      <c r="AM85" s="77">
        <f t="shared" si="83"/>
        <v>1115.411596419309</v>
      </c>
      <c r="AN85" s="77">
        <f t="shared" si="83"/>
        <v>1123.3184448896502</v>
      </c>
      <c r="AO85" s="77">
        <f t="shared" si="83"/>
        <v>1129.194170659378</v>
      </c>
      <c r="AP85" s="77">
        <f t="shared" si="83"/>
        <v>1140.4718661016584</v>
      </c>
      <c r="AQ85" s="77">
        <f t="shared" si="83"/>
        <v>1147.6474831587093</v>
      </c>
      <c r="AR85" s="77">
        <f t="shared" si="83"/>
        <v>1155.0490680413168</v>
      </c>
      <c r="AS85" s="77">
        <f t="shared" si="83"/>
        <v>1160.9773625679973</v>
      </c>
      <c r="AT85" s="77">
        <f t="shared" si="83"/>
        <v>1168.9175453040025</v>
      </c>
      <c r="AU85" s="77">
        <f t="shared" si="83"/>
        <v>1176.4515742644046</v>
      </c>
      <c r="AV85" s="77">
        <f t="shared" si="83"/>
        <v>1184.4091209066012</v>
      </c>
      <c r="AW85" s="77">
        <f t="shared" si="83"/>
        <v>1191.5985709408062</v>
      </c>
      <c r="AX85" s="77">
        <f t="shared" si="83"/>
        <v>1198.9484739421348</v>
      </c>
      <c r="AY85" s="77">
        <f t="shared" si="83"/>
        <v>1206.2549065637688</v>
      </c>
      <c r="AZ85" s="77">
        <f t="shared" si="84"/>
        <v>1213.8528572494913</v>
      </c>
      <c r="BA85" s="77">
        <f t="shared" si="84"/>
        <v>1221.3208425566318</v>
      </c>
      <c r="BB85" s="77">
        <f t="shared" si="84"/>
        <v>1228.8019234589594</v>
      </c>
      <c r="BC85" s="77">
        <f t="shared" si="84"/>
        <v>1236.1826643308275</v>
      </c>
      <c r="BD85" s="77">
        <f t="shared" si="84"/>
        <v>1243.6231823677972</v>
      </c>
      <c r="BE85" s="77">
        <f t="shared" si="84"/>
        <v>1251.0700202668611</v>
      </c>
      <c r="BF85" s="77">
        <f t="shared" si="84"/>
        <v>1258.5443253622625</v>
      </c>
    </row>
    <row r="86" spans="1:80">
      <c r="A86" s="69" t="s">
        <v>32</v>
      </c>
      <c r="B86" s="76">
        <f t="shared" si="85"/>
        <v>95.462583823799989</v>
      </c>
      <c r="C86" s="76">
        <f t="shared" si="85"/>
        <v>103.862900091</v>
      </c>
      <c r="D86" s="76">
        <f t="shared" si="85"/>
        <v>90.232956115200011</v>
      </c>
      <c r="E86" s="76">
        <f t="shared" si="85"/>
        <v>86.939480992</v>
      </c>
      <c r="F86" s="76">
        <f t="shared" si="85"/>
        <v>115.94070810960001</v>
      </c>
      <c r="G86" s="76">
        <f t="shared" si="85"/>
        <v>110.56473090399996</v>
      </c>
      <c r="H86" s="76">
        <f t="shared" si="85"/>
        <v>142.1896274666</v>
      </c>
      <c r="I86" s="76">
        <f t="shared" si="85"/>
        <v>140.11787593319997</v>
      </c>
      <c r="J86" s="76">
        <f t="shared" si="85"/>
        <v>122.97600670220004</v>
      </c>
      <c r="K86" s="76">
        <f t="shared" si="85"/>
        <v>205.19540330119997</v>
      </c>
      <c r="L86" s="76">
        <f t="shared" si="85"/>
        <v>271.02094881679994</v>
      </c>
      <c r="M86" s="76">
        <f t="shared" si="85"/>
        <v>335.90821009119992</v>
      </c>
      <c r="N86" s="76">
        <f t="shared" si="85"/>
        <v>359.47405466439994</v>
      </c>
      <c r="O86" s="76">
        <f t="shared" si="85"/>
        <v>516.67813575119999</v>
      </c>
      <c r="P86" s="76">
        <f t="shared" si="85"/>
        <v>671.06499809260004</v>
      </c>
      <c r="Q86" s="76">
        <f t="shared" si="85"/>
        <v>817.63910905494026</v>
      </c>
      <c r="R86" s="76">
        <f t="shared" si="85"/>
        <v>1042.6282855806899</v>
      </c>
      <c r="S86" s="76">
        <f t="shared" si="85"/>
        <v>1118.4673865763555</v>
      </c>
      <c r="T86" s="76">
        <f t="shared" si="85"/>
        <v>1132.6354330548079</v>
      </c>
      <c r="U86" s="76">
        <f t="shared" si="85"/>
        <v>1050.6992690514369</v>
      </c>
      <c r="V86" s="76">
        <f t="shared" si="85"/>
        <v>1083.4402108410977</v>
      </c>
      <c r="W86" s="76">
        <f t="shared" si="85"/>
        <v>1167.7623198438216</v>
      </c>
      <c r="X86" s="76">
        <f t="shared" si="85"/>
        <v>1207.8013073881034</v>
      </c>
      <c r="Y86" s="76">
        <f t="shared" si="85"/>
        <v>1190.8855551974559</v>
      </c>
      <c r="Z86" s="76">
        <f t="shared" si="85"/>
        <v>1210.1174583149507</v>
      </c>
      <c r="AA86" s="76">
        <f t="shared" si="85"/>
        <v>1209.3354857465897</v>
      </c>
      <c r="AB86" s="76">
        <f t="shared" si="85"/>
        <v>971.49601784747256</v>
      </c>
      <c r="AC86" s="76">
        <f t="shared" si="85"/>
        <v>1174.9010406798734</v>
      </c>
      <c r="AD86" s="76">
        <f t="shared" si="85"/>
        <v>1207.9269412473236</v>
      </c>
      <c r="AE86" s="76">
        <f t="shared" si="85"/>
        <v>1225.4556150506212</v>
      </c>
      <c r="AF86" s="76">
        <f t="shared" si="85"/>
        <v>1204.0444970301774</v>
      </c>
      <c r="AG86" s="77">
        <f t="shared" si="88"/>
        <v>1193.8079610754714</v>
      </c>
      <c r="AH86" s="77">
        <f t="shared" si="81"/>
        <v>1202.0982941384955</v>
      </c>
      <c r="AI86" s="77">
        <f t="shared" si="82"/>
        <v>1238.6905212704125</v>
      </c>
      <c r="AJ86" s="77">
        <f t="shared" si="83"/>
        <v>1237.1944632977725</v>
      </c>
      <c r="AK86" s="77">
        <f t="shared" si="83"/>
        <v>1244.6587700780522</v>
      </c>
      <c r="AL86" s="77">
        <f t="shared" si="83"/>
        <v>1247.7353433490168</v>
      </c>
      <c r="AM86" s="77">
        <f t="shared" si="83"/>
        <v>1256.8047965466171</v>
      </c>
      <c r="AN86" s="77">
        <f t="shared" si="83"/>
        <v>1267.6557635540084</v>
      </c>
      <c r="AO86" s="77">
        <f t="shared" si="83"/>
        <v>1278.6658810410329</v>
      </c>
      <c r="AP86" s="77">
        <f t="shared" si="83"/>
        <v>1284.3886146769082</v>
      </c>
      <c r="AQ86" s="77">
        <f t="shared" si="83"/>
        <v>1292.6802205381118</v>
      </c>
      <c r="AR86" s="77">
        <f t="shared" si="83"/>
        <v>1300.6143203589079</v>
      </c>
      <c r="AS86" s="77">
        <f t="shared" si="83"/>
        <v>1309.6190304100551</v>
      </c>
      <c r="AT86" s="77">
        <f t="shared" si="83"/>
        <v>1318.3905276163766</v>
      </c>
      <c r="AU86" s="77">
        <f t="shared" si="83"/>
        <v>1326.7830579090294</v>
      </c>
      <c r="AV86" s="77">
        <f t="shared" si="83"/>
        <v>1334.716311564461</v>
      </c>
      <c r="AW86" s="77">
        <f t="shared" si="83"/>
        <v>1343.1973655040988</v>
      </c>
      <c r="AX86" s="77">
        <f t="shared" si="83"/>
        <v>1351.6048954207283</v>
      </c>
      <c r="AY86" s="77">
        <f t="shared" si="83"/>
        <v>1360.1245816033563</v>
      </c>
      <c r="AZ86" s="77">
        <f t="shared" si="84"/>
        <v>1368.5217883728242</v>
      </c>
      <c r="BA86" s="77">
        <f t="shared" si="84"/>
        <v>1376.8673734603431</v>
      </c>
      <c r="BB86" s="77">
        <f t="shared" si="84"/>
        <v>1385.2139323065867</v>
      </c>
      <c r="BC86" s="77">
        <f t="shared" si="84"/>
        <v>1393.6450083012153</v>
      </c>
      <c r="BD86" s="77">
        <f t="shared" si="84"/>
        <v>1402.0485145820378</v>
      </c>
      <c r="BE86" s="77">
        <f t="shared" si="84"/>
        <v>1410.4568425846912</v>
      </c>
      <c r="BF86" s="77">
        <f t="shared" si="84"/>
        <v>1418.8413676083494</v>
      </c>
    </row>
    <row r="87" spans="1:80">
      <c r="A87" s="69" t="s">
        <v>33</v>
      </c>
      <c r="B87" s="76">
        <f t="shared" si="85"/>
        <v>74.560453294599995</v>
      </c>
      <c r="C87" s="76">
        <f t="shared" si="85"/>
        <v>75.236856450599987</v>
      </c>
      <c r="D87" s="76">
        <f t="shared" si="85"/>
        <v>76.774157806000005</v>
      </c>
      <c r="E87" s="76">
        <f t="shared" si="85"/>
        <v>90.059164436999993</v>
      </c>
      <c r="F87" s="76">
        <f t="shared" si="85"/>
        <v>101.6038732552</v>
      </c>
      <c r="G87" s="76">
        <f t="shared" si="85"/>
        <v>103.26323343920006</v>
      </c>
      <c r="H87" s="76">
        <f t="shared" si="85"/>
        <v>121.18869758019991</v>
      </c>
      <c r="I87" s="76">
        <f t="shared" si="85"/>
        <v>122.4379105542</v>
      </c>
      <c r="J87" s="76">
        <f t="shared" si="85"/>
        <v>146.67278126779999</v>
      </c>
      <c r="K87" s="76">
        <f t="shared" si="85"/>
        <v>228.29800147240002</v>
      </c>
      <c r="L87" s="76">
        <f t="shared" si="85"/>
        <v>284.81624600920009</v>
      </c>
      <c r="M87" s="76">
        <f t="shared" si="85"/>
        <v>323.8628049684001</v>
      </c>
      <c r="N87" s="76">
        <f t="shared" si="85"/>
        <v>373.49421569999998</v>
      </c>
      <c r="O87" s="76">
        <f t="shared" si="85"/>
        <v>531.77866324759998</v>
      </c>
      <c r="P87" s="76">
        <f t="shared" si="85"/>
        <v>704.2950547992001</v>
      </c>
      <c r="Q87" s="76">
        <f t="shared" si="85"/>
        <v>855.86863772805179</v>
      </c>
      <c r="R87" s="76">
        <f t="shared" si="85"/>
        <v>1054.9143841486125</v>
      </c>
      <c r="S87" s="76">
        <f t="shared" si="85"/>
        <v>1098.5144628243702</v>
      </c>
      <c r="T87" s="76">
        <f t="shared" si="85"/>
        <v>1126.6858824486649</v>
      </c>
      <c r="U87" s="76">
        <f t="shared" si="85"/>
        <v>1078.7328299972789</v>
      </c>
      <c r="V87" s="76">
        <f t="shared" si="85"/>
        <v>1098.4356460726844</v>
      </c>
      <c r="W87" s="76">
        <f t="shared" si="85"/>
        <v>1101.5747299711261</v>
      </c>
      <c r="X87" s="76">
        <f t="shared" si="85"/>
        <v>1120.7394372340123</v>
      </c>
      <c r="Y87" s="76">
        <f t="shared" si="85"/>
        <v>1172.8014707891618</v>
      </c>
      <c r="Z87" s="76">
        <f t="shared" si="85"/>
        <v>1129.9231021580231</v>
      </c>
      <c r="AA87" s="76">
        <f t="shared" si="85"/>
        <v>1181.8040047233985</v>
      </c>
      <c r="AB87" s="76">
        <f t="shared" si="85"/>
        <v>691.31832099561188</v>
      </c>
      <c r="AC87" s="76">
        <f t="shared" si="85"/>
        <v>1107.0859545148346</v>
      </c>
      <c r="AD87" s="76">
        <f t="shared" si="85"/>
        <v>1125.3646888719818</v>
      </c>
      <c r="AE87" s="76">
        <f t="shared" si="85"/>
        <v>1149.324477692785</v>
      </c>
      <c r="AF87" s="76">
        <f t="shared" si="85"/>
        <v>1104.2980278648665</v>
      </c>
      <c r="AG87" s="77">
        <f t="shared" si="88"/>
        <v>1068.6374680290683</v>
      </c>
      <c r="AH87" s="77">
        <f t="shared" si="81"/>
        <v>1076.0585615570481</v>
      </c>
      <c r="AI87" s="77">
        <f t="shared" si="82"/>
        <v>1145.589664726572</v>
      </c>
      <c r="AJ87" s="77">
        <f t="shared" si="83"/>
        <v>1132.6856900293531</v>
      </c>
      <c r="AK87" s="77">
        <f t="shared" si="83"/>
        <v>1137.8897943546735</v>
      </c>
      <c r="AL87" s="77">
        <f t="shared" si="83"/>
        <v>1135.0816079568294</v>
      </c>
      <c r="AM87" s="77">
        <f t="shared" si="83"/>
        <v>1142.6427079513796</v>
      </c>
      <c r="AN87" s="77">
        <f t="shared" si="83"/>
        <v>1156.0858545745523</v>
      </c>
      <c r="AO87" s="77">
        <f t="shared" si="83"/>
        <v>1169.555673895755</v>
      </c>
      <c r="AP87" s="77">
        <f t="shared" si="83"/>
        <v>1171.5047049592197</v>
      </c>
      <c r="AQ87" s="77">
        <f t="shared" si="83"/>
        <v>1178.8711578198815</v>
      </c>
      <c r="AR87" s="77">
        <f t="shared" si="83"/>
        <v>1185.56945052629</v>
      </c>
      <c r="AS87" s="77">
        <f t="shared" si="83"/>
        <v>1194.3565466780565</v>
      </c>
      <c r="AT87" s="77">
        <f t="shared" si="83"/>
        <v>1202.9661884428558</v>
      </c>
      <c r="AU87" s="77">
        <f t="shared" si="83"/>
        <v>1210.6201173414468</v>
      </c>
      <c r="AV87" s="77">
        <f t="shared" si="83"/>
        <v>1217.2769286448804</v>
      </c>
      <c r="AW87" s="77">
        <f t="shared" si="83"/>
        <v>1225.1042996530318</v>
      </c>
      <c r="AX87" s="77">
        <f t="shared" si="83"/>
        <v>1232.7860717108258</v>
      </c>
      <c r="AY87" s="77">
        <f t="shared" si="83"/>
        <v>1240.699368459701</v>
      </c>
      <c r="AZ87" s="77">
        <f t="shared" si="84"/>
        <v>1248.3859594267492</v>
      </c>
      <c r="BA87" s="77">
        <f t="shared" si="84"/>
        <v>1255.9297910910266</v>
      </c>
      <c r="BB87" s="77">
        <f t="shared" si="84"/>
        <v>1263.4803523014982</v>
      </c>
      <c r="BC87" s="77">
        <f t="shared" si="84"/>
        <v>1271.2127301193352</v>
      </c>
      <c r="BD87" s="77">
        <f t="shared" si="84"/>
        <v>1278.8883652506709</v>
      </c>
      <c r="BE87" s="77">
        <f t="shared" si="84"/>
        <v>1286.5743632133122</v>
      </c>
      <c r="BF87" s="77">
        <f t="shared" si="84"/>
        <v>1294.2116684775615</v>
      </c>
    </row>
    <row r="88" spans="1:80">
      <c r="A88" s="69" t="s">
        <v>14</v>
      </c>
      <c r="B88" s="76">
        <f t="shared" si="85"/>
        <v>88.845852641199983</v>
      </c>
      <c r="C88" s="76">
        <f t="shared" si="85"/>
        <v>94.469631762400013</v>
      </c>
      <c r="D88" s="76">
        <f t="shared" si="85"/>
        <v>59.574108547600005</v>
      </c>
      <c r="E88" s="76">
        <f t="shared" si="85"/>
        <v>97.639457688199997</v>
      </c>
      <c r="F88" s="76">
        <f t="shared" si="85"/>
        <v>87.9727369318</v>
      </c>
      <c r="G88" s="76">
        <f t="shared" si="85"/>
        <v>101.64349764599999</v>
      </c>
      <c r="H88" s="76">
        <f t="shared" si="85"/>
        <v>137.76917041839999</v>
      </c>
      <c r="I88" s="76">
        <f t="shared" si="85"/>
        <v>124.17112802260004</v>
      </c>
      <c r="J88" s="76">
        <f t="shared" si="85"/>
        <v>162.34352049579996</v>
      </c>
      <c r="K88" s="76">
        <f t="shared" si="85"/>
        <v>230.49865329919999</v>
      </c>
      <c r="L88" s="76">
        <f t="shared" si="85"/>
        <v>272.1170673168001</v>
      </c>
      <c r="M88" s="76">
        <f t="shared" si="85"/>
        <v>330.55990876999999</v>
      </c>
      <c r="N88" s="76">
        <f t="shared" si="85"/>
        <v>458.01982532139999</v>
      </c>
      <c r="O88" s="76">
        <f t="shared" si="85"/>
        <v>545.30771656000002</v>
      </c>
      <c r="P88" s="76">
        <f t="shared" si="85"/>
        <v>763.77807668639991</v>
      </c>
      <c r="Q88" s="76">
        <f t="shared" si="85"/>
        <v>922.62798612756421</v>
      </c>
      <c r="R88" s="76">
        <f t="shared" si="85"/>
        <v>1123.2356192063742</v>
      </c>
      <c r="S88" s="76">
        <f t="shared" si="85"/>
        <v>1181.0618264652974</v>
      </c>
      <c r="T88" s="76">
        <f t="shared" si="85"/>
        <v>1160.3195089726082</v>
      </c>
      <c r="U88" s="76">
        <f t="shared" si="85"/>
        <v>1126.5589580521</v>
      </c>
      <c r="V88" s="76">
        <f t="shared" si="85"/>
        <v>1151.2499589370768</v>
      </c>
      <c r="W88" s="76">
        <f t="shared" si="85"/>
        <v>1207.0425178091677</v>
      </c>
      <c r="X88" s="76">
        <f t="shared" si="85"/>
        <v>1222.6958645483578</v>
      </c>
      <c r="Y88" s="76">
        <f t="shared" si="85"/>
        <v>1246.1206285025933</v>
      </c>
      <c r="Z88" s="76">
        <f t="shared" si="85"/>
        <v>1311.7925566319104</v>
      </c>
      <c r="AA88" s="76">
        <f t="shared" si="85"/>
        <v>1295.3886954966565</v>
      </c>
      <c r="AB88" s="76">
        <f t="shared" si="85"/>
        <v>994.53541598400193</v>
      </c>
      <c r="AC88" s="76">
        <f t="shared" si="85"/>
        <v>1248.643643277743</v>
      </c>
      <c r="AD88" s="76">
        <f t="shared" si="85"/>
        <v>1221.8190946550174</v>
      </c>
      <c r="AE88" s="76">
        <f t="shared" si="85"/>
        <v>1236.0206425636097</v>
      </c>
      <c r="AF88" s="76">
        <f t="shared" si="85"/>
        <v>1311.1159618768052</v>
      </c>
      <c r="AG88" s="77">
        <f t="shared" si="88"/>
        <v>1240.9323310633736</v>
      </c>
      <c r="AH88" s="77">
        <f t="shared" si="81"/>
        <v>1249.5499166957582</v>
      </c>
      <c r="AI88" s="77">
        <f t="shared" si="82"/>
        <v>1290.7439641489727</v>
      </c>
      <c r="AJ88" s="77">
        <f t="shared" si="83"/>
        <v>1283.5594480152727</v>
      </c>
      <c r="AK88" s="77">
        <f t="shared" si="83"/>
        <v>1298.8994774237053</v>
      </c>
      <c r="AL88" s="77">
        <f t="shared" si="83"/>
        <v>1309.3569582594087</v>
      </c>
      <c r="AM88" s="77">
        <f t="shared" si="83"/>
        <v>1307.6065350713181</v>
      </c>
      <c r="AN88" s="77">
        <f t="shared" si="83"/>
        <v>1321.4266318993341</v>
      </c>
      <c r="AO88" s="77">
        <f t="shared" si="83"/>
        <v>1333.1152570319446</v>
      </c>
      <c r="AP88" s="77">
        <f t="shared" si="83"/>
        <v>1339.1810802045138</v>
      </c>
      <c r="AQ88" s="77">
        <f t="shared" si="83"/>
        <v>1349.1231311887993</v>
      </c>
      <c r="AR88" s="77">
        <f t="shared" si="83"/>
        <v>1357.1607969302127</v>
      </c>
      <c r="AS88" s="77">
        <f t="shared" si="83"/>
        <v>1365.0929093707393</v>
      </c>
      <c r="AT88" s="77">
        <f t="shared" si="83"/>
        <v>1375.0340952536005</v>
      </c>
      <c r="AU88" s="77">
        <f t="shared" si="83"/>
        <v>1383.7667033853782</v>
      </c>
      <c r="AV88" s="77">
        <f t="shared" si="83"/>
        <v>1392.1408129789816</v>
      </c>
      <c r="AW88" s="77">
        <f t="shared" si="83"/>
        <v>1401.0620792058935</v>
      </c>
      <c r="AX88" s="77">
        <f t="shared" si="83"/>
        <v>1409.6617148852804</v>
      </c>
      <c r="AY88" s="77">
        <f t="shared" si="83"/>
        <v>1418.4425939639548</v>
      </c>
      <c r="AZ88" s="77">
        <f t="shared" si="84"/>
        <v>1427.3603284661494</v>
      </c>
      <c r="BA88" s="77">
        <f t="shared" si="84"/>
        <v>1436.0401504059953</v>
      </c>
      <c r="BB88" s="77">
        <f t="shared" si="84"/>
        <v>1444.7579408292459</v>
      </c>
      <c r="BC88" s="77">
        <f t="shared" si="84"/>
        <v>1453.5383949505276</v>
      </c>
      <c r="BD88" s="77">
        <f t="shared" si="84"/>
        <v>1462.2771480588399</v>
      </c>
      <c r="BE88" s="77">
        <f t="shared" si="84"/>
        <v>1471.0529520091059</v>
      </c>
      <c r="BF88" s="77">
        <f t="shared" si="84"/>
        <v>1479.8201208462037</v>
      </c>
    </row>
    <row r="89" spans="1:80">
      <c r="A89" s="69" t="s">
        <v>34</v>
      </c>
      <c r="B89" s="76">
        <f t="shared" si="85"/>
        <v>71.896040648400017</v>
      </c>
      <c r="C89" s="76">
        <f t="shared" si="85"/>
        <v>95.857293952599974</v>
      </c>
      <c r="D89" s="76">
        <f t="shared" si="85"/>
        <v>50.006931869000006</v>
      </c>
      <c r="E89" s="76">
        <f t="shared" si="85"/>
        <v>75.724497112000023</v>
      </c>
      <c r="F89" s="76">
        <f t="shared" si="85"/>
        <v>96.177275325399989</v>
      </c>
      <c r="G89" s="76">
        <f t="shared" si="85"/>
        <v>111.00608470219998</v>
      </c>
      <c r="H89" s="76">
        <f t="shared" si="85"/>
        <v>104.14417952080004</v>
      </c>
      <c r="I89" s="76">
        <f t="shared" si="85"/>
        <v>93.552362663800039</v>
      </c>
      <c r="J89" s="76">
        <f t="shared" si="85"/>
        <v>144.45675491959997</v>
      </c>
      <c r="K89" s="76">
        <f t="shared" si="85"/>
        <v>235.25687176880001</v>
      </c>
      <c r="L89" s="76">
        <f t="shared" ref="L89:AF91" si="89">L104+L41+L57-L73-L105</f>
        <v>302.99325540919995</v>
      </c>
      <c r="M89" s="76">
        <f t="shared" si="89"/>
        <v>402.19889912720009</v>
      </c>
      <c r="N89" s="76">
        <f t="shared" si="89"/>
        <v>483.06681920800008</v>
      </c>
      <c r="O89" s="76">
        <f t="shared" si="89"/>
        <v>568.63657258719991</v>
      </c>
      <c r="P89" s="76">
        <f t="shared" si="89"/>
        <v>755.77450170179986</v>
      </c>
      <c r="Q89" s="76">
        <f t="shared" si="89"/>
        <v>882.79160269990405</v>
      </c>
      <c r="R89" s="76">
        <f t="shared" si="89"/>
        <v>1135.7907506716579</v>
      </c>
      <c r="S89" s="76">
        <f t="shared" si="89"/>
        <v>1214.4792646186277</v>
      </c>
      <c r="T89" s="76">
        <f t="shared" si="89"/>
        <v>1095.8938008194621</v>
      </c>
      <c r="U89" s="76">
        <f t="shared" si="89"/>
        <v>1106.1568158165169</v>
      </c>
      <c r="V89" s="76">
        <f t="shared" si="89"/>
        <v>1134.4803770635147</v>
      </c>
      <c r="W89" s="76">
        <f t="shared" si="89"/>
        <v>1178.0781083687104</v>
      </c>
      <c r="X89" s="76">
        <f t="shared" si="89"/>
        <v>1221.3332546857541</v>
      </c>
      <c r="Y89" s="76">
        <f t="shared" si="89"/>
        <v>1248.6918248961138</v>
      </c>
      <c r="Z89" s="76">
        <f t="shared" si="89"/>
        <v>1242.6036849958127</v>
      </c>
      <c r="AA89" s="76">
        <f t="shared" si="89"/>
        <v>1264.9211327438775</v>
      </c>
      <c r="AB89" s="76">
        <f t="shared" si="89"/>
        <v>1152.1840540232101</v>
      </c>
      <c r="AC89" s="76">
        <f t="shared" si="89"/>
        <v>1227.8329166351864</v>
      </c>
      <c r="AD89" s="76">
        <f t="shared" si="89"/>
        <v>1221.8493335677099</v>
      </c>
      <c r="AE89" s="76">
        <f t="shared" si="89"/>
        <v>1238.9280710876383</v>
      </c>
      <c r="AF89" s="76">
        <f t="shared" si="89"/>
        <v>1182.5964652682453</v>
      </c>
      <c r="AG89" s="77">
        <f t="shared" si="88"/>
        <v>1243.2556383269807</v>
      </c>
      <c r="AH89" s="77">
        <f t="shared" si="81"/>
        <v>1251.8893580375848</v>
      </c>
      <c r="AI89" s="77">
        <f t="shared" si="82"/>
        <v>1261.0314816228117</v>
      </c>
      <c r="AJ89" s="77">
        <f t="shared" si="83"/>
        <v>1258.76379868955</v>
      </c>
      <c r="AK89" s="77">
        <f t="shared" si="83"/>
        <v>1267.9760709169241</v>
      </c>
      <c r="AL89" s="77">
        <f t="shared" si="83"/>
        <v>1272.7278961439049</v>
      </c>
      <c r="AM89" s="77">
        <f t="shared" si="83"/>
        <v>1291.0102084096955</v>
      </c>
      <c r="AN89" s="77">
        <f t="shared" si="83"/>
        <v>1296.8308563496967</v>
      </c>
      <c r="AO89" s="77">
        <f t="shared" si="83"/>
        <v>1304.6343747013495</v>
      </c>
      <c r="AP89" s="77">
        <f t="shared" si="83"/>
        <v>1311.7560417020065</v>
      </c>
      <c r="AQ89" s="77">
        <f t="shared" si="83"/>
        <v>1320.9461714724291</v>
      </c>
      <c r="AR89" s="77">
        <f t="shared" si="83"/>
        <v>1329.7068920298429</v>
      </c>
      <c r="AS89" s="77">
        <f t="shared" si="83"/>
        <v>1339.378570804063</v>
      </c>
      <c r="AT89" s="77">
        <f t="shared" si="83"/>
        <v>1347.0957788131843</v>
      </c>
      <c r="AU89" s="77">
        <f t="shared" si="83"/>
        <v>1355.6034857300403</v>
      </c>
      <c r="AV89" s="77">
        <f t="shared" si="83"/>
        <v>1364.0935087956423</v>
      </c>
      <c r="AW89" s="77">
        <f t="shared" si="83"/>
        <v>1372.8678766870892</v>
      </c>
      <c r="AX89" s="77">
        <f t="shared" si="83"/>
        <v>1381.4985936609125</v>
      </c>
      <c r="AY89" s="77">
        <f t="shared" si="83"/>
        <v>1390.1320933853963</v>
      </c>
      <c r="AZ89" s="77">
        <f t="shared" si="84"/>
        <v>1398.5521468188169</v>
      </c>
      <c r="BA89" s="77">
        <f t="shared" si="84"/>
        <v>1407.1600894431112</v>
      </c>
      <c r="BB89" s="77">
        <f t="shared" si="84"/>
        <v>1415.7500573818591</v>
      </c>
      <c r="BC89" s="77">
        <f t="shared" si="84"/>
        <v>1424.3641886410176</v>
      </c>
      <c r="BD89" s="77">
        <f t="shared" si="84"/>
        <v>1432.9405248776025</v>
      </c>
      <c r="BE89" s="77">
        <f t="shared" si="84"/>
        <v>1441.5134642836508</v>
      </c>
      <c r="BF89" s="77">
        <f t="shared" si="84"/>
        <v>1450.0746960126628</v>
      </c>
    </row>
    <row r="90" spans="1:80">
      <c r="A90" s="69" t="s">
        <v>35</v>
      </c>
      <c r="B90" s="76">
        <f t="shared" ref="B90:Z91" si="90">B105+B42+B58-B74-B106</f>
        <v>76.84486675659997</v>
      </c>
      <c r="C90" s="76">
        <f t="shared" si="90"/>
        <v>72.809534954999975</v>
      </c>
      <c r="D90" s="76">
        <f t="shared" si="90"/>
        <v>50.400879741200008</v>
      </c>
      <c r="E90" s="76">
        <f t="shared" si="90"/>
        <v>101.38281293199998</v>
      </c>
      <c r="F90" s="76">
        <f t="shared" si="90"/>
        <v>103.44217818020002</v>
      </c>
      <c r="G90" s="76">
        <f t="shared" si="90"/>
        <v>95.302466731599964</v>
      </c>
      <c r="H90" s="76">
        <f t="shared" si="90"/>
        <v>124.61495765139998</v>
      </c>
      <c r="I90" s="76">
        <f t="shared" si="90"/>
        <v>168.03129579839995</v>
      </c>
      <c r="J90" s="76">
        <f t="shared" si="90"/>
        <v>167.85377237620003</v>
      </c>
      <c r="K90" s="76">
        <f t="shared" si="90"/>
        <v>232.4937764103999</v>
      </c>
      <c r="L90" s="76">
        <f t="shared" si="90"/>
        <v>257.45822211260008</v>
      </c>
      <c r="M90" s="76">
        <f t="shared" si="90"/>
        <v>445.77501671559997</v>
      </c>
      <c r="N90" s="76">
        <f t="shared" si="90"/>
        <v>429.88225905459996</v>
      </c>
      <c r="O90" s="76">
        <f t="shared" si="90"/>
        <v>568.42531553599997</v>
      </c>
      <c r="P90" s="76">
        <f t="shared" si="90"/>
        <v>821.45928663580003</v>
      </c>
      <c r="Q90" s="76">
        <f t="shared" si="90"/>
        <v>946.0984784807199</v>
      </c>
      <c r="R90" s="76">
        <f t="shared" si="90"/>
        <v>1153.4815921815602</v>
      </c>
      <c r="S90" s="76">
        <f t="shared" si="90"/>
        <v>1132.4214685119973</v>
      </c>
      <c r="T90" s="76">
        <f t="shared" si="90"/>
        <v>1050.2413852819113</v>
      </c>
      <c r="U90" s="76">
        <f t="shared" si="90"/>
        <v>1070.3906040930838</v>
      </c>
      <c r="V90" s="76">
        <f t="shared" si="90"/>
        <v>1197.2392551929645</v>
      </c>
      <c r="W90" s="76">
        <f t="shared" si="90"/>
        <v>1206.5131361516981</v>
      </c>
      <c r="X90" s="76">
        <f t="shared" si="90"/>
        <v>1248.6636765687208</v>
      </c>
      <c r="Y90" s="76">
        <f t="shared" si="90"/>
        <v>1229.8465763180207</v>
      </c>
      <c r="Z90" s="76">
        <f t="shared" si="90"/>
        <v>1285.3886839470492</v>
      </c>
      <c r="AA90" s="76">
        <f t="shared" si="89"/>
        <v>1266.3502841277432</v>
      </c>
      <c r="AB90" s="76">
        <f t="shared" si="89"/>
        <v>1137.9649594416455</v>
      </c>
      <c r="AC90" s="76">
        <f t="shared" si="89"/>
        <v>1258.4784300934375</v>
      </c>
      <c r="AD90" s="76">
        <f t="shared" si="89"/>
        <v>1184.4072664723831</v>
      </c>
      <c r="AE90" s="76">
        <f t="shared" si="89"/>
        <v>1214.0358775699976</v>
      </c>
      <c r="AF90" s="76">
        <f t="shared" si="89"/>
        <v>1263.7887773357302</v>
      </c>
      <c r="AG90" s="77">
        <f t="shared" si="88"/>
        <v>1250.538515670602</v>
      </c>
      <c r="AH90" s="77">
        <f t="shared" si="81"/>
        <v>1259.2228109183145</v>
      </c>
      <c r="AI90" s="77">
        <f t="shared" si="82"/>
        <v>1272.7429758538033</v>
      </c>
      <c r="AJ90" s="77">
        <f t="shared" si="83"/>
        <v>1265.6280505976579</v>
      </c>
      <c r="AK90" s="77">
        <f t="shared" si="83"/>
        <v>1284.9354955113502</v>
      </c>
      <c r="AL90" s="77">
        <f t="shared" si="83"/>
        <v>1296.2179064659283</v>
      </c>
      <c r="AM90" s="77">
        <f t="shared" si="83"/>
        <v>1301.3153113462454</v>
      </c>
      <c r="AN90" s="77">
        <f t="shared" si="83"/>
        <v>1310.4637185597351</v>
      </c>
      <c r="AO90" s="77">
        <f t="shared" si="83"/>
        <v>1318.8751897916184</v>
      </c>
      <c r="AP90" s="77">
        <f t="shared" si="83"/>
        <v>1326.3889313014499</v>
      </c>
      <c r="AQ90" s="77">
        <f t="shared" si="83"/>
        <v>1337.0911649839079</v>
      </c>
      <c r="AR90" s="77">
        <f t="shared" si="83"/>
        <v>1345.3714753736044</v>
      </c>
      <c r="AS90" s="77">
        <f t="shared" si="83"/>
        <v>1353.5328332807121</v>
      </c>
      <c r="AT90" s="77">
        <f t="shared" si="83"/>
        <v>1362.3475887079996</v>
      </c>
      <c r="AU90" s="77">
        <f t="shared" si="83"/>
        <v>1370.9597609968107</v>
      </c>
      <c r="AV90" s="77">
        <f t="shared" si="83"/>
        <v>1379.6546928902969</v>
      </c>
      <c r="AW90" s="77">
        <f t="shared" si="83"/>
        <v>1388.5749381216481</v>
      </c>
      <c r="AX90" s="77">
        <f t="shared" si="83"/>
        <v>1397.0834172626207</v>
      </c>
      <c r="AY90" s="77">
        <f t="shared" si="83"/>
        <v>1405.7231770475819</v>
      </c>
      <c r="AZ90" s="77">
        <f t="shared" si="84"/>
        <v>1414.4341193341363</v>
      </c>
      <c r="BA90" s="77">
        <f t="shared" si="84"/>
        <v>1423.1091771953866</v>
      </c>
      <c r="BB90" s="77">
        <f t="shared" si="84"/>
        <v>1431.8044805817228</v>
      </c>
      <c r="BC90" s="77">
        <f t="shared" si="84"/>
        <v>1440.4957056883802</v>
      </c>
      <c r="BD90" s="77">
        <f t="shared" si="84"/>
        <v>1449.1408343894254</v>
      </c>
      <c r="BE90" s="77">
        <f t="shared" si="84"/>
        <v>1457.8234132369889</v>
      </c>
      <c r="BF90" s="77">
        <f t="shared" si="84"/>
        <v>1466.507090430242</v>
      </c>
    </row>
    <row r="91" spans="1:80">
      <c r="A91" s="69" t="s">
        <v>36</v>
      </c>
      <c r="B91" s="76">
        <f t="shared" si="90"/>
        <v>82.279105220000019</v>
      </c>
      <c r="C91" s="76">
        <f t="shared" si="90"/>
        <v>63.586430317799994</v>
      </c>
      <c r="D91" s="76">
        <f t="shared" si="90"/>
        <v>58.916735936599999</v>
      </c>
      <c r="E91" s="76">
        <f t="shared" si="90"/>
        <v>83.176303485000005</v>
      </c>
      <c r="F91" s="76">
        <f t="shared" si="90"/>
        <v>107.82894380200003</v>
      </c>
      <c r="G91" s="76">
        <f t="shared" si="90"/>
        <v>108.37226109079998</v>
      </c>
      <c r="H91" s="76">
        <f t="shared" si="90"/>
        <v>139.01645658580006</v>
      </c>
      <c r="I91" s="76">
        <f t="shared" si="90"/>
        <v>112.93740378559997</v>
      </c>
      <c r="J91" s="76">
        <f t="shared" si="90"/>
        <v>167.98914319260001</v>
      </c>
      <c r="K91" s="76">
        <f t="shared" si="90"/>
        <v>267.6842726122</v>
      </c>
      <c r="L91" s="76">
        <f t="shared" si="90"/>
        <v>280.75896654840005</v>
      </c>
      <c r="M91" s="76">
        <f t="shared" si="90"/>
        <v>484.81358870559995</v>
      </c>
      <c r="N91" s="76">
        <f t="shared" si="90"/>
        <v>434.48956601679993</v>
      </c>
      <c r="O91" s="76">
        <f t="shared" si="90"/>
        <v>587.31390272580029</v>
      </c>
      <c r="P91" s="76">
        <f t="shared" si="90"/>
        <v>819.00349389799987</v>
      </c>
      <c r="Q91" s="76">
        <f t="shared" si="90"/>
        <v>941.41177610384398</v>
      </c>
      <c r="R91" s="76">
        <f t="shared" si="90"/>
        <v>1170.2632208558648</v>
      </c>
      <c r="S91" s="76">
        <f t="shared" si="90"/>
        <v>1202.5765408502643</v>
      </c>
      <c r="T91" s="76">
        <f t="shared" si="90"/>
        <v>1083.2922519462884</v>
      </c>
      <c r="U91" s="76">
        <f t="shared" si="90"/>
        <v>1071.8088182152001</v>
      </c>
      <c r="V91" s="76">
        <f t="shared" si="90"/>
        <v>1179.4911501316899</v>
      </c>
      <c r="W91" s="76">
        <f t="shared" si="90"/>
        <v>1208.3325733275919</v>
      </c>
      <c r="X91" s="76">
        <f t="shared" si="90"/>
        <v>1265.2500195962918</v>
      </c>
      <c r="Y91" s="76">
        <f t="shared" si="90"/>
        <v>1275.6619104614824</v>
      </c>
      <c r="Z91" s="76">
        <f t="shared" si="90"/>
        <v>1339.9270857687809</v>
      </c>
      <c r="AA91" s="76">
        <f t="shared" si="89"/>
        <v>1245.9536306291789</v>
      </c>
      <c r="AB91" s="76">
        <f t="shared" si="89"/>
        <v>1136.3456995781171</v>
      </c>
      <c r="AC91" s="76">
        <f t="shared" si="89"/>
        <v>1217.2037665034964</v>
      </c>
      <c r="AD91" s="76">
        <f t="shared" si="89"/>
        <v>1248.6528737968001</v>
      </c>
      <c r="AE91" s="76">
        <f t="shared" si="89"/>
        <v>1285.5705358507871</v>
      </c>
      <c r="AF91" s="76">
        <f>AF106+AF43+AF59-AF75-AF107</f>
        <v>1263.292225161224</v>
      </c>
      <c r="AG91" s="77">
        <f t="shared" si="88"/>
        <v>1269.6081942541589</v>
      </c>
      <c r="AH91" s="77">
        <f t="shared" ref="AH91:AL91" si="91">AH92-SUM(AH80:AH90)</f>
        <v>1278.4249178253704</v>
      </c>
      <c r="AI91" s="77">
        <f t="shared" si="91"/>
        <v>1309.1628278048411</v>
      </c>
      <c r="AJ91" s="77">
        <f t="shared" si="91"/>
        <v>1314.2412972019629</v>
      </c>
      <c r="AK91" s="77">
        <f t="shared" si="91"/>
        <v>1327.8826823425043</v>
      </c>
      <c r="AL91" s="77">
        <f t="shared" si="91"/>
        <v>1334.4809220382067</v>
      </c>
      <c r="AM91" s="77">
        <f t="shared" ref="AM91:AY91" si="92">AM92-SUM(AM80:AM90)</f>
        <v>1348.5273264426232</v>
      </c>
      <c r="AN91" s="77">
        <f t="shared" si="92"/>
        <v>1348.5620268423736</v>
      </c>
      <c r="AO91" s="77">
        <f t="shared" si="92"/>
        <v>1362.7200655218658</v>
      </c>
      <c r="AP91" s="77">
        <f t="shared" si="92"/>
        <v>1370.5707664359088</v>
      </c>
      <c r="AQ91" s="77">
        <f t="shared" si="92"/>
        <v>1380.2861940945186</v>
      </c>
      <c r="AR91" s="77">
        <f t="shared" si="92"/>
        <v>1388.8125452033819</v>
      </c>
      <c r="AS91" s="77">
        <f t="shared" si="92"/>
        <v>1397.9788883902838</v>
      </c>
      <c r="AT91" s="77">
        <f t="shared" si="92"/>
        <v>1406.0122887599919</v>
      </c>
      <c r="AU91" s="77">
        <f t="shared" si="92"/>
        <v>1415.9197618494309</v>
      </c>
      <c r="AV91" s="77">
        <f t="shared" si="92"/>
        <v>1424.5703852626684</v>
      </c>
      <c r="AW91" s="77">
        <f t="shared" si="92"/>
        <v>1433.6430109328412</v>
      </c>
      <c r="AX91" s="77">
        <f t="shared" si="92"/>
        <v>1442.4972139923411</v>
      </c>
      <c r="AY91" s="77">
        <f t="shared" si="92"/>
        <v>1451.463471267878</v>
      </c>
      <c r="AZ91" s="77">
        <f t="shared" ref="AZ91:BF91" si="93">AZ92-SUM(AZ80:AZ90)</f>
        <v>1460.3657279370509</v>
      </c>
      <c r="BA91" s="77">
        <f t="shared" si="93"/>
        <v>1469.459237877556</v>
      </c>
      <c r="BB91" s="77">
        <f t="shared" si="93"/>
        <v>1478.346669005974</v>
      </c>
      <c r="BC91" s="77">
        <f t="shared" si="93"/>
        <v>1487.32488628799</v>
      </c>
      <c r="BD91" s="77">
        <f t="shared" si="93"/>
        <v>1496.2651502496865</v>
      </c>
      <c r="BE91" s="77">
        <f t="shared" si="93"/>
        <v>1505.2308277063948</v>
      </c>
      <c r="BF91" s="77">
        <f t="shared" si="93"/>
        <v>1514.1911787388453</v>
      </c>
    </row>
    <row r="92" spans="1:80" ht="12" thickBot="1">
      <c r="A92" s="69" t="s">
        <v>138</v>
      </c>
      <c r="B92" s="76">
        <f t="shared" ref="B92:AD92" si="94">SUM(B80:B91)</f>
        <v>1106.1024129499999</v>
      </c>
      <c r="C92" s="76">
        <f t="shared" si="94"/>
        <v>1144.0791288594</v>
      </c>
      <c r="D92" s="76">
        <f t="shared" si="94"/>
        <v>1075.813065581</v>
      </c>
      <c r="E92" s="76">
        <f t="shared" si="94"/>
        <v>1022.4325755426</v>
      </c>
      <c r="F92" s="76">
        <f t="shared" si="94"/>
        <v>1298.6479416085999</v>
      </c>
      <c r="G92" s="76">
        <f t="shared" si="94"/>
        <v>1369.2829385316002</v>
      </c>
      <c r="H92" s="76">
        <f t="shared" si="94"/>
        <v>1566.4189331445996</v>
      </c>
      <c r="I92" s="76">
        <f t="shared" si="94"/>
        <v>1646.7707852894</v>
      </c>
      <c r="J92" s="76">
        <f t="shared" si="94"/>
        <v>1817.8110041032003</v>
      </c>
      <c r="K92" s="76">
        <f t="shared" si="94"/>
        <v>2652.1134237239999</v>
      </c>
      <c r="L92" s="76">
        <f t="shared" si="94"/>
        <v>3294.6488671002007</v>
      </c>
      <c r="M92" s="76">
        <f t="shared" si="94"/>
        <v>4198.6152284485997</v>
      </c>
      <c r="N92" s="76">
        <f t="shared" si="94"/>
        <v>4929.7337246991992</v>
      </c>
      <c r="O92" s="76">
        <f t="shared" si="94"/>
        <v>6167.3346449990004</v>
      </c>
      <c r="P92" s="76">
        <f t="shared" si="94"/>
        <v>8355.2448906873997</v>
      </c>
      <c r="Q92" s="76">
        <f t="shared" si="94"/>
        <v>10256.858116479352</v>
      </c>
      <c r="R92" s="76">
        <f t="shared" si="94"/>
        <v>12467.851484969358</v>
      </c>
      <c r="S92" s="76">
        <f t="shared" si="94"/>
        <v>13445.797746516229</v>
      </c>
      <c r="T92" s="76">
        <f t="shared" si="94"/>
        <v>13010.927664253013</v>
      </c>
      <c r="U92" s="76">
        <f t="shared" si="94"/>
        <v>12436.192220684154</v>
      </c>
      <c r="V92" s="76">
        <f t="shared" si="94"/>
        <v>13354.467820690494</v>
      </c>
      <c r="W92" s="76">
        <f t="shared" si="94"/>
        <v>13750.381876821799</v>
      </c>
      <c r="X92" s="76">
        <f t="shared" si="94"/>
        <v>14180.707432600431</v>
      </c>
      <c r="Y92" s="76">
        <f t="shared" si="94"/>
        <v>14411.190154429771</v>
      </c>
      <c r="Z92" s="76">
        <f t="shared" si="94"/>
        <v>14703.118444765561</v>
      </c>
      <c r="AA92" s="76">
        <f t="shared" si="94"/>
        <v>14603.627061200767</v>
      </c>
      <c r="AB92" s="76">
        <f t="shared" si="94"/>
        <v>13373.716434383594</v>
      </c>
      <c r="AC92" s="76">
        <f t="shared" si="94"/>
        <v>13605.781305845338</v>
      </c>
      <c r="AD92" s="76">
        <f t="shared" si="94"/>
        <v>14179.3665283847</v>
      </c>
      <c r="AE92" s="76">
        <f t="shared" ref="AE92" si="95">SUM(AE80:AE91)</f>
        <v>14251.606835129915</v>
      </c>
      <c r="AF92" s="76">
        <f t="shared" ref="AF92:BF92" si="96">AF7</f>
        <v>14355.412460718147</v>
      </c>
      <c r="AG92" s="77">
        <f t="shared" si="96"/>
        <v>14400</v>
      </c>
      <c r="AH92" s="77">
        <f t="shared" si="96"/>
        <v>14500</v>
      </c>
      <c r="AI92" s="77">
        <f t="shared" si="96"/>
        <v>14600</v>
      </c>
      <c r="AJ92" s="77">
        <f t="shared" si="96"/>
        <v>14700</v>
      </c>
      <c r="AK92" s="77">
        <f t="shared" si="96"/>
        <v>14800</v>
      </c>
      <c r="AL92" s="77">
        <f t="shared" si="96"/>
        <v>14900</v>
      </c>
      <c r="AM92" s="77">
        <f t="shared" si="96"/>
        <v>15000</v>
      </c>
      <c r="AN92" s="77">
        <f t="shared" si="96"/>
        <v>15100</v>
      </c>
      <c r="AO92" s="77">
        <f t="shared" si="96"/>
        <v>15200</v>
      </c>
      <c r="AP92" s="77">
        <f t="shared" si="96"/>
        <v>15300</v>
      </c>
      <c r="AQ92" s="77">
        <f t="shared" si="96"/>
        <v>15400</v>
      </c>
      <c r="AR92" s="77">
        <f t="shared" si="96"/>
        <v>15500</v>
      </c>
      <c r="AS92" s="77">
        <f t="shared" si="96"/>
        <v>15600</v>
      </c>
      <c r="AT92" s="77">
        <f t="shared" si="96"/>
        <v>15700</v>
      </c>
      <c r="AU92" s="77">
        <f t="shared" si="96"/>
        <v>15800</v>
      </c>
      <c r="AV92" s="77">
        <f t="shared" si="96"/>
        <v>15900</v>
      </c>
      <c r="AW92" s="77">
        <f t="shared" si="96"/>
        <v>16000</v>
      </c>
      <c r="AX92" s="77">
        <f t="shared" si="96"/>
        <v>16100</v>
      </c>
      <c r="AY92" s="77">
        <f t="shared" si="96"/>
        <v>16200</v>
      </c>
      <c r="AZ92" s="77">
        <f t="shared" si="96"/>
        <v>16300</v>
      </c>
      <c r="BA92" s="77">
        <f t="shared" si="96"/>
        <v>16400</v>
      </c>
      <c r="BB92" s="77">
        <f t="shared" si="96"/>
        <v>16500</v>
      </c>
      <c r="BC92" s="77">
        <f t="shared" si="96"/>
        <v>16600</v>
      </c>
      <c r="BD92" s="77">
        <f t="shared" si="96"/>
        <v>16700</v>
      </c>
      <c r="BE92" s="77">
        <f t="shared" si="96"/>
        <v>16800</v>
      </c>
      <c r="BF92" s="77">
        <f t="shared" si="96"/>
        <v>16900</v>
      </c>
    </row>
    <row r="93" spans="1:80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</row>
    <row r="94" spans="1:80" ht="12" thickBot="1">
      <c r="A94" s="83" t="s">
        <v>152</v>
      </c>
    </row>
    <row r="95" spans="1:80" ht="12" thickBot="1">
      <c r="A95" s="84"/>
      <c r="B95" s="85" t="s">
        <v>66</v>
      </c>
      <c r="C95" s="86" t="s">
        <v>67</v>
      </c>
      <c r="D95" s="86" t="s">
        <v>68</v>
      </c>
      <c r="E95" s="86" t="s">
        <v>69</v>
      </c>
      <c r="F95" s="86" t="s">
        <v>70</v>
      </c>
      <c r="G95" s="86" t="s">
        <v>71</v>
      </c>
      <c r="H95" s="86" t="s">
        <v>72</v>
      </c>
      <c r="I95" s="86" t="s">
        <v>73</v>
      </c>
      <c r="J95" s="86" t="s">
        <v>74</v>
      </c>
      <c r="K95" s="86" t="s">
        <v>75</v>
      </c>
      <c r="L95" s="86" t="s">
        <v>76</v>
      </c>
      <c r="M95" s="86" t="s">
        <v>77</v>
      </c>
      <c r="N95" s="86" t="s">
        <v>78</v>
      </c>
      <c r="O95" s="86" t="s">
        <v>79</v>
      </c>
      <c r="P95" s="86" t="s">
        <v>80</v>
      </c>
      <c r="Q95" s="86" t="s">
        <v>81</v>
      </c>
      <c r="R95" s="86" t="s">
        <v>82</v>
      </c>
      <c r="S95" s="86" t="s">
        <v>83</v>
      </c>
      <c r="T95" s="86" t="s">
        <v>84</v>
      </c>
      <c r="U95" s="86" t="s">
        <v>85</v>
      </c>
      <c r="V95" s="86" t="s">
        <v>86</v>
      </c>
      <c r="W95" s="86" t="s">
        <v>87</v>
      </c>
      <c r="X95" s="86" t="s">
        <v>88</v>
      </c>
      <c r="Y95" s="86" t="s">
        <v>89</v>
      </c>
      <c r="Z95" s="86" t="s">
        <v>90</v>
      </c>
      <c r="AA95" s="86" t="s">
        <v>91</v>
      </c>
      <c r="AB95" s="86" t="s">
        <v>92</v>
      </c>
      <c r="AC95" s="86" t="s">
        <v>93</v>
      </c>
      <c r="AD95" s="86" t="str">
        <f>AD2</f>
        <v>21/22</v>
      </c>
      <c r="AE95" s="86" t="str">
        <f t="shared" ref="AE95:BF95" si="97">AE2</f>
        <v>22/23</v>
      </c>
      <c r="AF95" s="86" t="str">
        <f t="shared" si="97"/>
        <v>23/24</v>
      </c>
      <c r="AG95" s="86" t="str">
        <f t="shared" si="97"/>
        <v>24/25</v>
      </c>
      <c r="AH95" s="86" t="str">
        <f t="shared" si="97"/>
        <v>25/26</v>
      </c>
      <c r="AI95" s="86" t="str">
        <f t="shared" si="97"/>
        <v>26/27</v>
      </c>
      <c r="AJ95" s="86" t="str">
        <f t="shared" si="97"/>
        <v>27/28</v>
      </c>
      <c r="AK95" s="86" t="str">
        <f t="shared" si="97"/>
        <v>28/29</v>
      </c>
      <c r="AL95" s="86" t="str">
        <f t="shared" si="97"/>
        <v>29/30</v>
      </c>
      <c r="AM95" s="86" t="str">
        <f t="shared" si="97"/>
        <v>30/31</v>
      </c>
      <c r="AN95" s="86" t="str">
        <f t="shared" si="97"/>
        <v>31/32</v>
      </c>
      <c r="AO95" s="86" t="str">
        <f t="shared" si="97"/>
        <v>32/33</v>
      </c>
      <c r="AP95" s="86" t="str">
        <f t="shared" si="97"/>
        <v>33/34</v>
      </c>
      <c r="AQ95" s="86" t="str">
        <f t="shared" si="97"/>
        <v>34/35</v>
      </c>
      <c r="AR95" s="86" t="str">
        <f t="shared" si="97"/>
        <v>35/36</v>
      </c>
      <c r="AS95" s="86" t="str">
        <f t="shared" si="97"/>
        <v>36/37</v>
      </c>
      <c r="AT95" s="86" t="str">
        <f t="shared" si="97"/>
        <v>37/38</v>
      </c>
      <c r="AU95" s="86" t="str">
        <f t="shared" si="97"/>
        <v>38/39</v>
      </c>
      <c r="AV95" s="86" t="str">
        <f t="shared" si="97"/>
        <v>39/40</v>
      </c>
      <c r="AW95" s="86" t="str">
        <f t="shared" si="97"/>
        <v>40/41</v>
      </c>
      <c r="AX95" s="86" t="str">
        <f t="shared" si="97"/>
        <v>41/42</v>
      </c>
      <c r="AY95" s="86" t="str">
        <f t="shared" si="97"/>
        <v>42/43</v>
      </c>
      <c r="AZ95" s="86" t="str">
        <f t="shared" si="97"/>
        <v>43/44</v>
      </c>
      <c r="BA95" s="86" t="str">
        <f t="shared" si="97"/>
        <v>44/45</v>
      </c>
      <c r="BB95" s="86" t="str">
        <f t="shared" si="97"/>
        <v>45/46</v>
      </c>
      <c r="BC95" s="86" t="str">
        <f t="shared" si="97"/>
        <v>42/47</v>
      </c>
      <c r="BD95" s="86" t="str">
        <f t="shared" si="97"/>
        <v>42/48</v>
      </c>
      <c r="BE95" s="86" t="str">
        <f t="shared" si="97"/>
        <v>42/49</v>
      </c>
      <c r="BF95" s="86" t="str">
        <f t="shared" si="97"/>
        <v>42/50</v>
      </c>
    </row>
    <row r="96" spans="1:80">
      <c r="A96" s="69" t="s">
        <v>37</v>
      </c>
      <c r="B96" s="76">
        <f>'Monthly Ethanol Data'!$I158*42/1000</f>
        <v>117.81</v>
      </c>
      <c r="C96" s="76">
        <f>'Monthly Ethanol Data'!$I170*42/1000</f>
        <v>112.896</v>
      </c>
      <c r="D96" s="76">
        <f>'Monthly Ethanol Data'!$I182*42/1000</f>
        <v>181.10400000000001</v>
      </c>
      <c r="E96" s="76">
        <f>'Monthly Ethanol Data'!$I194*42/1000</f>
        <v>54.054000000000002</v>
      </c>
      <c r="F96" s="76">
        <f>'Monthly Ethanol Data'!$I206*42/1000</f>
        <v>144.14400000000001</v>
      </c>
      <c r="G96" s="76">
        <f>'Monthly Ethanol Data'!$I218*42/1000</f>
        <v>154.13999999999999</v>
      </c>
      <c r="H96" s="76">
        <f>'Monthly Ethanol Data'!$I230*42/1000</f>
        <v>210.37799999999999</v>
      </c>
      <c r="I96" s="76">
        <f>'Monthly Ethanol Data'!$I242*42/1000</f>
        <v>190.76400000000001</v>
      </c>
      <c r="J96" s="76">
        <f>'Monthly Ethanol Data'!$I254*42/1000</f>
        <v>186.39599999999999</v>
      </c>
      <c r="K96" s="76">
        <f>'Monthly Ethanol Data'!$I266*42/1000</f>
        <v>272.37</v>
      </c>
      <c r="L96" s="76">
        <f>'Monthly Ethanol Data'!$I278*42/1000</f>
        <v>304.75200000000001</v>
      </c>
      <c r="M96" s="76">
        <f>'Monthly Ethanol Data'!$I290*42/1000</f>
        <v>278.92200000000003</v>
      </c>
      <c r="N96" s="76">
        <f>'Monthly Ethanol Data'!$I302*42/1000</f>
        <v>223.31399999999999</v>
      </c>
      <c r="O96" s="76">
        <f>'Monthly Ethanol Data'!$I314*42/1000</f>
        <v>408.45</v>
      </c>
      <c r="P96" s="76">
        <f>'Monthly Ethanol Data'!$I326*42/1000</f>
        <v>485.31</v>
      </c>
      <c r="Q96" s="76">
        <f>'Monthly Ethanol Data'!$I338*42/1000</f>
        <v>676.62</v>
      </c>
      <c r="R96" s="76">
        <f>'Monthly Ethanol Data'!$I350*42/1000</f>
        <v>641.88599999999997</v>
      </c>
      <c r="S96" s="76">
        <f>'Monthly Ethanol Data'!$I362*42/1000</f>
        <v>732.35400000000004</v>
      </c>
      <c r="T96" s="76">
        <f>'Monthly Ethanol Data'!$I374*42/1000</f>
        <v>775.53</v>
      </c>
      <c r="U96" s="76">
        <f>'Monthly Ethanol Data'!$I386*42/1000</f>
        <v>836.68200000000002</v>
      </c>
      <c r="V96" s="76">
        <f>'Monthly Ethanol Data'!$I398*42/1000</f>
        <v>671.41200000000003</v>
      </c>
      <c r="W96" s="76">
        <f>'Monthly Ethanol Data'!$I410*42/1000</f>
        <v>786.40800000000002</v>
      </c>
      <c r="X96" s="76">
        <f>'Monthly Ethanol Data'!$I422*42/1000</f>
        <v>795.64800000000002</v>
      </c>
      <c r="Y96" s="76">
        <f>'Monthly Ethanol Data'!$I434*42/1000</f>
        <v>869.94600000000003</v>
      </c>
      <c r="Z96" s="76">
        <f>'Monthly Ethanol Data'!$I446*42/1000</f>
        <v>903.29399999999998</v>
      </c>
      <c r="AA96" s="76">
        <f>'Monthly Ethanol Data'!$I458*42/1000</f>
        <v>1025.3040000000001</v>
      </c>
      <c r="AB96" s="76">
        <f>'Monthly Ethanol Data'!$I470*42/1000</f>
        <v>966.50400000000002</v>
      </c>
      <c r="AC96" s="76">
        <f>'Monthly Ethanol Data'!$I482*42/1000</f>
        <v>840.33600000000001</v>
      </c>
      <c r="AD96" s="76">
        <f>'Monthly Ethanol Data'!$I494*42/1000</f>
        <v>849.87</v>
      </c>
      <c r="AE96" s="76">
        <f>'Monthly Ethanol Data'!$I506*42/1000</f>
        <v>904.68</v>
      </c>
      <c r="AF96" s="76">
        <f>'Monthly Ethanol Data'!$I518*42/1000</f>
        <v>930.678</v>
      </c>
      <c r="AG96" s="76">
        <f>'Monthly Ethanol Data'!$I530*42/1000</f>
        <v>985.90800000000002</v>
      </c>
      <c r="AH96" s="77">
        <f t="shared" ref="AH96:BF96" si="98">AG107+AH32+AH48-AH64-AH80</f>
        <v>660.95109302718765</v>
      </c>
      <c r="AI96" s="77">
        <f t="shared" si="98"/>
        <v>592.61389428234202</v>
      </c>
      <c r="AJ96" s="77">
        <f t="shared" si="98"/>
        <v>657.20725136971714</v>
      </c>
      <c r="AK96" s="77">
        <f t="shared" si="98"/>
        <v>616.8701237760099</v>
      </c>
      <c r="AL96" s="77">
        <f t="shared" si="98"/>
        <v>613.35615448870476</v>
      </c>
      <c r="AM96" s="77">
        <f t="shared" si="98"/>
        <v>637.76381984182035</v>
      </c>
      <c r="AN96" s="77">
        <f t="shared" si="98"/>
        <v>673.80950056648339</v>
      </c>
      <c r="AO96" s="77">
        <f t="shared" si="98"/>
        <v>639.29531876179226</v>
      </c>
      <c r="AP96" s="77">
        <f t="shared" si="98"/>
        <v>668.78646127467027</v>
      </c>
      <c r="AQ96" s="77">
        <f t="shared" si="98"/>
        <v>678.22538306735669</v>
      </c>
      <c r="AR96" s="77">
        <f t="shared" si="98"/>
        <v>707.94504999237756</v>
      </c>
      <c r="AS96" s="77">
        <f t="shared" si="98"/>
        <v>678.48373843659942</v>
      </c>
      <c r="AT96" s="77">
        <f t="shared" si="98"/>
        <v>679.55448637317318</v>
      </c>
      <c r="AU96" s="77">
        <f t="shared" si="98"/>
        <v>710.24068996100891</v>
      </c>
      <c r="AV96" s="77">
        <f t="shared" si="98"/>
        <v>766.89370158531938</v>
      </c>
      <c r="AW96" s="77">
        <f t="shared" si="98"/>
        <v>757.42293109038133</v>
      </c>
      <c r="AX96" s="77">
        <f t="shared" si="98"/>
        <v>662.96178997491143</v>
      </c>
      <c r="AY96" s="77">
        <f t="shared" si="98"/>
        <v>702.01296905879622</v>
      </c>
      <c r="AZ96" s="77">
        <f t="shared" si="98"/>
        <v>750.37462161041185</v>
      </c>
      <c r="BA96" s="77">
        <f t="shared" si="98"/>
        <v>778.91250788797652</v>
      </c>
      <c r="BB96" s="77">
        <f t="shared" si="98"/>
        <v>732.25856100185388</v>
      </c>
      <c r="BC96" s="77">
        <f t="shared" si="98"/>
        <v>801.36896275685126</v>
      </c>
      <c r="BD96" s="77">
        <f t="shared" si="98"/>
        <v>1816.9538015056603</v>
      </c>
      <c r="BE96" s="77">
        <f t="shared" si="98"/>
        <v>3083.7286017575534</v>
      </c>
      <c r="BF96" s="77">
        <f t="shared" si="98"/>
        <v>4591.4738639608477</v>
      </c>
    </row>
    <row r="97" spans="1:77">
      <c r="A97" s="69" t="s">
        <v>38</v>
      </c>
      <c r="B97" s="76">
        <f>'Monthly Ethanol Data'!$I159*42/1000</f>
        <v>118.02</v>
      </c>
      <c r="C97" s="76">
        <f>'Monthly Ethanol Data'!$I171*42/1000</f>
        <v>96.683999999999997</v>
      </c>
      <c r="D97" s="76">
        <f>'Monthly Ethanol Data'!$I183*42/1000</f>
        <v>152.292</v>
      </c>
      <c r="E97" s="76">
        <f>'Monthly Ethanol Data'!$I195*42/1000</f>
        <v>72.534000000000006</v>
      </c>
      <c r="F97" s="76">
        <f>'Monthly Ethanol Data'!$I207*42/1000</f>
        <v>132.30000000000001</v>
      </c>
      <c r="G97" s="76">
        <f>'Monthly Ethanol Data'!$I219*42/1000</f>
        <v>144.18600000000001</v>
      </c>
      <c r="H97" s="76">
        <f>'Monthly Ethanol Data'!$I231*42/1000</f>
        <v>204.20400000000001</v>
      </c>
      <c r="I97" s="76">
        <f>'Monthly Ethanol Data'!$I243*42/1000</f>
        <v>176.4</v>
      </c>
      <c r="J97" s="76">
        <f>'Monthly Ethanol Data'!$I255*42/1000</f>
        <v>158.886</v>
      </c>
      <c r="K97" s="76">
        <f>'Monthly Ethanol Data'!$I267*42/1000</f>
        <v>274.26</v>
      </c>
      <c r="L97" s="76">
        <f>'Monthly Ethanol Data'!$I279*42/1000</f>
        <v>302.44200000000001</v>
      </c>
      <c r="M97" s="76">
        <f>'Monthly Ethanol Data'!$I291*42/1000</f>
        <v>279.88799999999998</v>
      </c>
      <c r="N97" s="76">
        <f>'Monthly Ethanol Data'!$I303*42/1000</f>
        <v>234.822</v>
      </c>
      <c r="O97" s="76">
        <f>'Monthly Ethanol Data'!$I315*42/1000</f>
        <v>408.36599999999999</v>
      </c>
      <c r="P97" s="76">
        <f>'Monthly Ethanol Data'!$I327*42/1000</f>
        <v>480.858</v>
      </c>
      <c r="Q97" s="76">
        <f>'Monthly Ethanol Data'!$I339*42/1000</f>
        <v>638.98800000000006</v>
      </c>
      <c r="R97" s="76">
        <f>'Monthly Ethanol Data'!$I351*42/1000</f>
        <v>627.18600000000004</v>
      </c>
      <c r="S97" s="76">
        <f>'Monthly Ethanol Data'!$I363*42/1000</f>
        <v>725.67600000000004</v>
      </c>
      <c r="T97" s="76">
        <f>'Monthly Ethanol Data'!$I375*42/1000</f>
        <v>757.596</v>
      </c>
      <c r="U97" s="76">
        <f>'Monthly Ethanol Data'!$I387*42/1000</f>
        <v>782.29200000000003</v>
      </c>
      <c r="V97" s="76">
        <f>'Monthly Ethanol Data'!$I399*42/1000</f>
        <v>661.5</v>
      </c>
      <c r="W97" s="76">
        <f>'Monthly Ethanol Data'!$I411*42/1000</f>
        <v>728.322</v>
      </c>
      <c r="X97" s="76">
        <f>'Monthly Ethanol Data'!$I423*42/1000</f>
        <v>797.32799999999997</v>
      </c>
      <c r="Y97" s="76">
        <f>'Monthly Ethanol Data'!$I435*42/1000</f>
        <v>844.74599999999998</v>
      </c>
      <c r="Z97" s="76">
        <f>'Monthly Ethanol Data'!$I447*42/1000</f>
        <v>909.846</v>
      </c>
      <c r="AA97" s="76">
        <f>'Monthly Ethanol Data'!$I459*42/1000</f>
        <v>995.31600000000003</v>
      </c>
      <c r="AB97" s="76">
        <f>'Monthly Ethanol Data'!$I471*42/1000</f>
        <v>914.928</v>
      </c>
      <c r="AC97" s="76">
        <f>'Monthly Ethanol Data'!$I483*42/1000</f>
        <v>912.99599999999998</v>
      </c>
      <c r="AD97" s="76">
        <f>'Monthly Ethanol Data'!$I495*42/1000</f>
        <v>842.81399999999996</v>
      </c>
      <c r="AE97" s="76">
        <f>'Monthly Ethanol Data'!$I507*42/1000</f>
        <v>911.73599999999999</v>
      </c>
      <c r="AF97" s="76">
        <f>'Monthly Ethanol Data'!$I519*42/1000</f>
        <v>890.52599999999995</v>
      </c>
      <c r="AG97" s="76">
        <f>'Monthly Ethanol Data'!$I531*42/1000</f>
        <v>930.55200000000002</v>
      </c>
      <c r="AH97" s="77">
        <f t="shared" ref="AH97:BF107" si="99">AH96+AH33+AH49-AH65-AH81</f>
        <v>655.61349147604028</v>
      </c>
      <c r="AI97" s="77">
        <f t="shared" si="99"/>
        <v>613.92439949243249</v>
      </c>
      <c r="AJ97" s="77">
        <f t="shared" si="99"/>
        <v>646.70812613377097</v>
      </c>
      <c r="AK97" s="77">
        <f t="shared" si="99"/>
        <v>622.77754243077652</v>
      </c>
      <c r="AL97" s="77">
        <f t="shared" si="99"/>
        <v>613.02380800513606</v>
      </c>
      <c r="AM97" s="77">
        <f t="shared" si="99"/>
        <v>636.30463388669205</v>
      </c>
      <c r="AN97" s="77">
        <f t="shared" si="99"/>
        <v>672.17904790567877</v>
      </c>
      <c r="AO97" s="77">
        <f t="shared" si="99"/>
        <v>643.70013511159186</v>
      </c>
      <c r="AP97" s="77">
        <f t="shared" si="99"/>
        <v>668.74569386021426</v>
      </c>
      <c r="AQ97" s="77">
        <f t="shared" si="99"/>
        <v>680.97400577359031</v>
      </c>
      <c r="AR97" s="77">
        <f t="shared" si="99"/>
        <v>705.18706080104675</v>
      </c>
      <c r="AS97" s="77">
        <f t="shared" si="99"/>
        <v>679.06296086257885</v>
      </c>
      <c r="AT97" s="77">
        <f t="shared" si="99"/>
        <v>682.66031888750149</v>
      </c>
      <c r="AU97" s="77">
        <f t="shared" si="99"/>
        <v>715.62943024267543</v>
      </c>
      <c r="AV97" s="77">
        <f t="shared" si="99"/>
        <v>767.26525288337984</v>
      </c>
      <c r="AW97" s="77">
        <f t="shared" si="99"/>
        <v>753.66173274938205</v>
      </c>
      <c r="AX97" s="77">
        <f t="shared" si="99"/>
        <v>633.16561044707669</v>
      </c>
      <c r="AY97" s="77">
        <f t="shared" si="99"/>
        <v>732.20674324078959</v>
      </c>
      <c r="AZ97" s="77">
        <f t="shared" si="99"/>
        <v>784.67075530291982</v>
      </c>
      <c r="BA97" s="77">
        <f t="shared" si="99"/>
        <v>813.28382642336078</v>
      </c>
      <c r="BB97" s="77">
        <f t="shared" si="99"/>
        <v>777.72987794254095</v>
      </c>
      <c r="BC97" s="77">
        <f t="shared" si="99"/>
        <v>926.98555473360534</v>
      </c>
      <c r="BD97" s="77">
        <f t="shared" si="99"/>
        <v>1977.9419254716759</v>
      </c>
      <c r="BE97" s="77">
        <f t="shared" si="99"/>
        <v>3270.8999541405369</v>
      </c>
      <c r="BF97" s="77">
        <f t="shared" si="99"/>
        <v>4806.3500997732908</v>
      </c>
    </row>
    <row r="98" spans="1:77">
      <c r="A98" s="69" t="s">
        <v>39</v>
      </c>
      <c r="B98" s="76">
        <f>'Monthly Ethanol Data'!$I160*42/1000</f>
        <v>98.07</v>
      </c>
      <c r="C98" s="76">
        <f>'Monthly Ethanol Data'!$I172*42/1000</f>
        <v>100.884</v>
      </c>
      <c r="D98" s="76">
        <f>'Monthly Ethanol Data'!$I184*42/1000</f>
        <v>95.843999999999994</v>
      </c>
      <c r="E98" s="76">
        <f>'Monthly Ethanol Data'!$I196*42/1000</f>
        <v>73.668000000000006</v>
      </c>
      <c r="F98" s="76">
        <f>'Monthly Ethanol Data'!$I208*42/1000</f>
        <v>129.36000000000001</v>
      </c>
      <c r="G98" s="76">
        <f>'Monthly Ethanol Data'!$I220*42/1000</f>
        <v>149.77199999999999</v>
      </c>
      <c r="H98" s="76">
        <f>'Monthly Ethanol Data'!$I232*42/1000</f>
        <v>185.76599999999999</v>
      </c>
      <c r="I98" s="76">
        <f>'Monthly Ethanol Data'!$I244*42/1000</f>
        <v>157.91999999999999</v>
      </c>
      <c r="J98" s="76">
        <f>'Monthly Ethanol Data'!$I256*42/1000</f>
        <v>169.596</v>
      </c>
      <c r="K98" s="76">
        <f>'Monthly Ethanol Data'!$I268*42/1000</f>
        <v>252.37799999999999</v>
      </c>
      <c r="L98" s="76">
        <f>'Monthly Ethanol Data'!$I280*42/1000</f>
        <v>271.82400000000001</v>
      </c>
      <c r="M98" s="76">
        <f>'Monthly Ethanol Data'!$I292*42/1000</f>
        <v>269.38799999999998</v>
      </c>
      <c r="N98" s="76">
        <f>'Monthly Ethanol Data'!$I304*42/1000</f>
        <v>240.36600000000001</v>
      </c>
      <c r="O98" s="76">
        <f>'Monthly Ethanol Data'!$I316*42/1000</f>
        <v>387.74400000000003</v>
      </c>
      <c r="P98" s="76">
        <f>'Monthly Ethanol Data'!$I328*42/1000</f>
        <v>471.15600000000001</v>
      </c>
      <c r="Q98" s="76">
        <f>'Monthly Ethanol Data'!$I340*42/1000</f>
        <v>642.01199999999994</v>
      </c>
      <c r="R98" s="76">
        <f>'Monthly Ethanol Data'!$I352*42/1000</f>
        <v>654.27599999999995</v>
      </c>
      <c r="S98" s="76">
        <f>'Monthly Ethanol Data'!$I364*42/1000</f>
        <v>762.3</v>
      </c>
      <c r="T98" s="76">
        <f>'Monthly Ethanol Data'!$I376*42/1000</f>
        <v>768.93600000000004</v>
      </c>
      <c r="U98" s="76">
        <f>'Monthly Ethanol Data'!$I388*42/1000</f>
        <v>839.66399999999999</v>
      </c>
      <c r="V98" s="76">
        <f>'Monthly Ethanol Data'!$I400*42/1000</f>
        <v>653.89800000000002</v>
      </c>
      <c r="W98" s="76">
        <f>'Monthly Ethanol Data'!$I412*42/1000</f>
        <v>715.47</v>
      </c>
      <c r="X98" s="76">
        <f>'Monthly Ethanol Data'!$I424*42/1000</f>
        <v>844.15800000000002</v>
      </c>
      <c r="Y98" s="76">
        <f>'Monthly Ethanol Data'!$I436*42/1000</f>
        <v>817.44600000000003</v>
      </c>
      <c r="Z98" s="76">
        <f>'Monthly Ethanol Data'!$I448*42/1000</f>
        <v>974.52599999999995</v>
      </c>
      <c r="AA98" s="76">
        <f>'Monthly Ethanol Data'!$I460*42/1000</f>
        <v>991.95600000000002</v>
      </c>
      <c r="AB98" s="76">
        <f>'Monthly Ethanol Data'!$I472*42/1000</f>
        <v>909.13199999999995</v>
      </c>
      <c r="AC98" s="76">
        <f>'Monthly Ethanol Data'!$I484*42/1000</f>
        <v>987.08399999999995</v>
      </c>
      <c r="AD98" s="76">
        <f>'Monthly Ethanol Data'!$I496*42/1000</f>
        <v>861.12599999999998</v>
      </c>
      <c r="AE98" s="76">
        <f>'Monthly Ethanol Data'!$I508*42/1000</f>
        <v>990.15</v>
      </c>
      <c r="AF98" s="76">
        <f>'Monthly Ethanol Data'!$I520*42/1000</f>
        <v>915.22199999999998</v>
      </c>
      <c r="AG98" s="76">
        <f>'Monthly Ethanol Data'!$I532*42/1000</f>
        <v>968.60400000000004</v>
      </c>
      <c r="AH98" s="77">
        <f t="shared" si="99"/>
        <v>666.87449352293652</v>
      </c>
      <c r="AI98" s="77">
        <f t="shared" si="99"/>
        <v>658.87828625620909</v>
      </c>
      <c r="AJ98" s="77">
        <f t="shared" si="99"/>
        <v>656.23927612251714</v>
      </c>
      <c r="AK98" s="77">
        <f t="shared" si="99"/>
        <v>641.24554217105197</v>
      </c>
      <c r="AL98" s="77">
        <f t="shared" si="99"/>
        <v>628.34873527178434</v>
      </c>
      <c r="AM98" s="77">
        <f t="shared" si="99"/>
        <v>655.29195549795372</v>
      </c>
      <c r="AN98" s="77">
        <f t="shared" si="99"/>
        <v>685.77288240419966</v>
      </c>
      <c r="AO98" s="77">
        <f t="shared" si="99"/>
        <v>663.86386317454298</v>
      </c>
      <c r="AP98" s="77">
        <f t="shared" si="99"/>
        <v>684.79944921802689</v>
      </c>
      <c r="AQ98" s="77">
        <f t="shared" si="99"/>
        <v>701.358752758842</v>
      </c>
      <c r="AR98" s="77">
        <f t="shared" si="99"/>
        <v>719.46471791361978</v>
      </c>
      <c r="AS98" s="77">
        <f t="shared" si="99"/>
        <v>695.63813460497568</v>
      </c>
      <c r="AT98" s="77">
        <f t="shared" si="99"/>
        <v>701.76167723928711</v>
      </c>
      <c r="AU98" s="77">
        <f t="shared" si="99"/>
        <v>737.79708222434783</v>
      </c>
      <c r="AV98" s="77">
        <f t="shared" si="99"/>
        <v>784.13189270383396</v>
      </c>
      <c r="AW98" s="77">
        <f t="shared" si="99"/>
        <v>765.67845551232176</v>
      </c>
      <c r="AX98" s="77">
        <f t="shared" si="99"/>
        <v>616.11405240813042</v>
      </c>
      <c r="AY98" s="77">
        <f t="shared" si="99"/>
        <v>763.09309687189307</v>
      </c>
      <c r="AZ98" s="77">
        <f t="shared" si="99"/>
        <v>816.51910193337017</v>
      </c>
      <c r="BA98" s="77">
        <f t="shared" si="99"/>
        <v>840.84533033553089</v>
      </c>
      <c r="BB98" s="77">
        <f t="shared" si="99"/>
        <v>812.19285675923743</v>
      </c>
      <c r="BC98" s="77">
        <f t="shared" si="99"/>
        <v>1043.2758004918942</v>
      </c>
      <c r="BD98" s="77">
        <f t="shared" si="99"/>
        <v>2125.6059870968902</v>
      </c>
      <c r="BE98" s="77">
        <f t="shared" si="99"/>
        <v>3441.9532767211722</v>
      </c>
      <c r="BF98" s="77">
        <f t="shared" si="99"/>
        <v>5002.1016655797466</v>
      </c>
    </row>
    <row r="99" spans="1:77">
      <c r="A99" s="69" t="s">
        <v>40</v>
      </c>
      <c r="B99" s="76">
        <f>'Monthly Ethanol Data'!$I161*42/1000</f>
        <v>88.787999999999997</v>
      </c>
      <c r="C99" s="76">
        <f>'Monthly Ethanol Data'!$I173*42/1000</f>
        <v>100.506</v>
      </c>
      <c r="D99" s="76">
        <f>'Monthly Ethanol Data'!$I185*42/1000</f>
        <v>91.811999999999998</v>
      </c>
      <c r="E99" s="76">
        <f>'Monthly Ethanol Data'!$I197*42/1000</f>
        <v>86.73</v>
      </c>
      <c r="F99" s="76">
        <f>'Monthly Ethanol Data'!$I209*42/1000</f>
        <v>122.85</v>
      </c>
      <c r="G99" s="76">
        <f>'Monthly Ethanol Data'!$I221*42/1000</f>
        <v>143.05199999999999</v>
      </c>
      <c r="H99" s="76">
        <f>'Monthly Ethanol Data'!$I233*42/1000</f>
        <v>169.00800000000001</v>
      </c>
      <c r="I99" s="76">
        <f>'Monthly Ethanol Data'!$I245*42/1000</f>
        <v>142.80000000000001</v>
      </c>
      <c r="J99" s="76">
        <f>'Monthly Ethanol Data'!$I257*42/1000</f>
        <v>180.51599999999999</v>
      </c>
      <c r="K99" s="76">
        <f>'Monthly Ethanol Data'!$I269*42/1000</f>
        <v>260.39999999999998</v>
      </c>
      <c r="L99" s="76">
        <f>'Monthly Ethanol Data'!$I281*42/1000</f>
        <v>251.07599999999999</v>
      </c>
      <c r="M99" s="76">
        <f>'Monthly Ethanol Data'!$I293*42/1000</f>
        <v>252.084</v>
      </c>
      <c r="N99" s="76">
        <f>'Monthly Ethanol Data'!$I305*42/1000</f>
        <v>233.64599999999999</v>
      </c>
      <c r="O99" s="76">
        <f>'Monthly Ethanol Data'!$I317*42/1000</f>
        <v>367.92</v>
      </c>
      <c r="P99" s="76">
        <f>'Monthly Ethanol Data'!$I329*42/1000</f>
        <v>442.47</v>
      </c>
      <c r="Q99" s="76">
        <f>'Monthly Ethanol Data'!$I341*42/1000</f>
        <v>597.49199999999996</v>
      </c>
      <c r="R99" s="76">
        <f>'Monthly Ethanol Data'!$I353*42/1000</f>
        <v>696.94799999999998</v>
      </c>
      <c r="S99" s="76">
        <f>'Monthly Ethanol Data'!$I365*42/1000</f>
        <v>753.52200000000005</v>
      </c>
      <c r="T99" s="76">
        <f>'Monthly Ethanol Data'!$I377*42/1000</f>
        <v>765.99599999999998</v>
      </c>
      <c r="U99" s="76">
        <f>'Monthly Ethanol Data'!$I389*42/1000</f>
        <v>854.7</v>
      </c>
      <c r="V99" s="76">
        <f>'Monthly Ethanol Data'!$I401*42/1000</f>
        <v>689.80799999999999</v>
      </c>
      <c r="W99" s="76">
        <f>'Monthly Ethanol Data'!$I413*42/1000</f>
        <v>787.03800000000001</v>
      </c>
      <c r="X99" s="76">
        <f>'Monthly Ethanol Data'!$I425*42/1000</f>
        <v>907.03200000000004</v>
      </c>
      <c r="Y99" s="76">
        <f>'Monthly Ethanol Data'!$I437*42/1000</f>
        <v>829.83600000000001</v>
      </c>
      <c r="Z99" s="76">
        <f>'Monthly Ethanol Data'!$I449*42/1000</f>
        <v>967.80600000000004</v>
      </c>
      <c r="AA99" s="76">
        <f>'Monthly Ethanol Data'!$I461*42/1000</f>
        <v>983.55600000000004</v>
      </c>
      <c r="AB99" s="76">
        <f>'Monthly Ethanol Data'!$I473*42/1000</f>
        <v>938.78399999999999</v>
      </c>
      <c r="AC99" s="76">
        <f>'Monthly Ethanol Data'!$I485*42/1000</f>
        <v>1035.846</v>
      </c>
      <c r="AD99" s="76">
        <f>'Monthly Ethanol Data'!$I497*42/1000</f>
        <v>925.51199999999994</v>
      </c>
      <c r="AE99" s="76">
        <f>'Monthly Ethanol Data'!$I509*42/1000</f>
        <v>1018.29</v>
      </c>
      <c r="AF99" s="76">
        <f>'Monthly Ethanol Data'!$I521*42/1000</f>
        <v>986.91600000000005</v>
      </c>
      <c r="AG99" s="76">
        <f>'Monthly Ethanol Data'!$I533*42/1000</f>
        <v>1023.0359999999999</v>
      </c>
      <c r="AH99" s="77">
        <f t="shared" si="99"/>
        <v>682.48812206608591</v>
      </c>
      <c r="AI99" s="77">
        <f t="shared" si="99"/>
        <v>735.12318755576939</v>
      </c>
      <c r="AJ99" s="77">
        <f t="shared" si="99"/>
        <v>694.88500693737842</v>
      </c>
      <c r="AK99" s="77">
        <f t="shared" si="99"/>
        <v>699.95898635980166</v>
      </c>
      <c r="AL99" s="77">
        <f t="shared" si="99"/>
        <v>684.09258887118244</v>
      </c>
      <c r="AM99" s="77">
        <f t="shared" si="99"/>
        <v>703.9122717532764</v>
      </c>
      <c r="AN99" s="77">
        <f t="shared" si="99"/>
        <v>732.6840192386137</v>
      </c>
      <c r="AO99" s="77">
        <f t="shared" si="99"/>
        <v>719.40744653749425</v>
      </c>
      <c r="AP99" s="77">
        <f t="shared" si="99"/>
        <v>737.80373126597942</v>
      </c>
      <c r="AQ99" s="77">
        <f t="shared" si="99"/>
        <v>757.22433119811649</v>
      </c>
      <c r="AR99" s="77">
        <f t="shared" si="99"/>
        <v>767.30325905611198</v>
      </c>
      <c r="AS99" s="77">
        <f t="shared" si="99"/>
        <v>747.47999690587358</v>
      </c>
      <c r="AT99" s="77">
        <f t="shared" si="99"/>
        <v>756.52072670704706</v>
      </c>
      <c r="AU99" s="77">
        <f t="shared" si="99"/>
        <v>796.08208537451196</v>
      </c>
      <c r="AV99" s="77">
        <f t="shared" si="99"/>
        <v>836.30347110159892</v>
      </c>
      <c r="AW99" s="77">
        <f t="shared" si="99"/>
        <v>812.39629148474614</v>
      </c>
      <c r="AX99" s="77">
        <f t="shared" si="99"/>
        <v>631.48240622484082</v>
      </c>
      <c r="AY99" s="77">
        <f t="shared" si="99"/>
        <v>844.22663341943507</v>
      </c>
      <c r="AZ99" s="77">
        <f t="shared" si="99"/>
        <v>901.28382114895021</v>
      </c>
      <c r="BA99" s="77">
        <f t="shared" si="99"/>
        <v>924.12199884540132</v>
      </c>
      <c r="BB99" s="77">
        <f t="shared" si="99"/>
        <v>906.81228007812661</v>
      </c>
      <c r="BC99" s="77">
        <f t="shared" si="99"/>
        <v>1231.7340600378686</v>
      </c>
      <c r="BD99" s="77">
        <f t="shared" si="99"/>
        <v>2353.8190568686714</v>
      </c>
      <c r="BE99" s="77">
        <f t="shared" si="99"/>
        <v>3699.627893048636</v>
      </c>
      <c r="BF99" s="77">
        <f t="shared" si="99"/>
        <v>5290.9203114048223</v>
      </c>
    </row>
    <row r="100" spans="1:77">
      <c r="A100" s="69" t="s">
        <v>30</v>
      </c>
      <c r="B100" s="76">
        <f>'Monthly Ethanol Data'!$I162*42/1000</f>
        <v>79.968000000000004</v>
      </c>
      <c r="C100" s="76">
        <f>'Monthly Ethanol Data'!$I174*42/1000</f>
        <v>115.374</v>
      </c>
      <c r="D100" s="76">
        <f>'Monthly Ethanol Data'!$I186*42/1000</f>
        <v>80.975999999999999</v>
      </c>
      <c r="E100" s="76">
        <f>'Monthly Ethanol Data'!$I198*42/1000</f>
        <v>94.878</v>
      </c>
      <c r="F100" s="76">
        <f>'Monthly Ethanol Data'!$I210*42/1000</f>
        <v>128.05799999999999</v>
      </c>
      <c r="G100" s="76">
        <f>'Monthly Ethanol Data'!$I222*42/1000</f>
        <v>150.19200000000001</v>
      </c>
      <c r="H100" s="76">
        <f>'Monthly Ethanol Data'!$I234*42/1000</f>
        <v>164.76599999999999</v>
      </c>
      <c r="I100" s="76">
        <f>'Monthly Ethanol Data'!$I246*42/1000</f>
        <v>118.062</v>
      </c>
      <c r="J100" s="76">
        <f>'Monthly Ethanol Data'!$I258*42/1000</f>
        <v>202.77600000000001</v>
      </c>
      <c r="K100" s="76">
        <f>'Monthly Ethanol Data'!$I270*42/1000</f>
        <v>291.18599999999998</v>
      </c>
      <c r="L100" s="76">
        <f>'Monthly Ethanol Data'!$I282*42/1000</f>
        <v>244.86</v>
      </c>
      <c r="M100" s="76">
        <f>'Monthly Ethanol Data'!$I294*42/1000</f>
        <v>257.964</v>
      </c>
      <c r="N100" s="76">
        <f>'Monthly Ethanol Data'!$I306*42/1000</f>
        <v>256.15800000000002</v>
      </c>
      <c r="O100" s="76">
        <f>'Monthly Ethanol Data'!$I318*42/1000</f>
        <v>363.55200000000002</v>
      </c>
      <c r="P100" s="76">
        <f>'Monthly Ethanol Data'!$I330*42/1000</f>
        <v>478.08600000000001</v>
      </c>
      <c r="Q100" s="76">
        <f>'Monthly Ethanol Data'!$I342*42/1000</f>
        <v>609.58799999999997</v>
      </c>
      <c r="R100" s="76">
        <f>'Monthly Ethanol Data'!$I354*42/1000</f>
        <v>766.54200000000003</v>
      </c>
      <c r="S100" s="76">
        <f>'Monthly Ethanol Data'!$I366*42/1000</f>
        <v>874.69200000000001</v>
      </c>
      <c r="T100" s="76">
        <f>'Monthly Ethanol Data'!$I378*42/1000</f>
        <v>901.95</v>
      </c>
      <c r="U100" s="76">
        <f>'Monthly Ethanol Data'!$I390*42/1000</f>
        <v>835.548</v>
      </c>
      <c r="V100" s="76">
        <f>'Monthly Ethanol Data'!$I402*42/1000</f>
        <v>720.42600000000004</v>
      </c>
      <c r="W100" s="76">
        <f>'Monthly Ethanol Data'!$I414*42/1000</f>
        <v>867.17399999999998</v>
      </c>
      <c r="X100" s="76">
        <f>'Monthly Ethanol Data'!$I426*42/1000</f>
        <v>980.57399999999996</v>
      </c>
      <c r="Y100" s="76">
        <f>'Monthly Ethanol Data'!$I438*42/1000</f>
        <v>952.51800000000003</v>
      </c>
      <c r="Z100" s="76">
        <f>'Monthly Ethanol Data'!$I450*42/1000</f>
        <v>1022.364</v>
      </c>
      <c r="AA100" s="76">
        <f>'Monthly Ethanol Data'!$I462*42/1000</f>
        <v>1054.83</v>
      </c>
      <c r="AB100" s="76">
        <f>'Monthly Ethanol Data'!$I474*42/1000</f>
        <v>1003.128</v>
      </c>
      <c r="AC100" s="76">
        <f>'Monthly Ethanol Data'!$I486*42/1000</f>
        <v>1096.914</v>
      </c>
      <c r="AD100" s="76">
        <f>'Monthly Ethanol Data'!$I498*42/1000</f>
        <v>1086.7080000000001</v>
      </c>
      <c r="AE100" s="76">
        <f>'Monthly Ethanol Data'!$I510*42/1000</f>
        <v>1060.08</v>
      </c>
      <c r="AF100" s="76">
        <f>'Monthly Ethanol Data'!$I522*42/1000</f>
        <v>1041.8520000000001</v>
      </c>
      <c r="AG100" s="77">
        <f t="shared" ref="AG100:AL107" si="100">AG99+AG36+AG52-AG68-AG84</f>
        <v>1106.3477223848226</v>
      </c>
      <c r="AH100" s="77">
        <f t="shared" si="99"/>
        <v>705.01253425746472</v>
      </c>
      <c r="AI100" s="77">
        <f t="shared" si="99"/>
        <v>826.32494046656029</v>
      </c>
      <c r="AJ100" s="77">
        <f t="shared" si="99"/>
        <v>767.45042512926079</v>
      </c>
      <c r="AK100" s="77">
        <f t="shared" si="99"/>
        <v>769.03630106108449</v>
      </c>
      <c r="AL100" s="77">
        <f t="shared" si="99"/>
        <v>771.21196280303457</v>
      </c>
      <c r="AM100" s="77">
        <f t="shared" si="99"/>
        <v>775.76913728226305</v>
      </c>
      <c r="AN100" s="77">
        <f t="shared" si="99"/>
        <v>801.84858295141134</v>
      </c>
      <c r="AO100" s="77">
        <f t="shared" si="99"/>
        <v>800.29813433409799</v>
      </c>
      <c r="AP100" s="77">
        <f t="shared" si="99"/>
        <v>813.80309465128016</v>
      </c>
      <c r="AQ100" s="77">
        <f t="shared" si="99"/>
        <v>835.98576470197918</v>
      </c>
      <c r="AR100" s="77">
        <f t="shared" si="99"/>
        <v>839.79708584464652</v>
      </c>
      <c r="AS100" s="77">
        <f t="shared" si="99"/>
        <v>822.13092872566222</v>
      </c>
      <c r="AT100" s="77">
        <f t="shared" si="99"/>
        <v>835.1771863810784</v>
      </c>
      <c r="AU100" s="77">
        <f t="shared" si="99"/>
        <v>878.04715723679624</v>
      </c>
      <c r="AV100" s="77">
        <f t="shared" si="99"/>
        <v>911.5826860938098</v>
      </c>
      <c r="AW100" s="77">
        <f t="shared" si="99"/>
        <v>881.72180809100837</v>
      </c>
      <c r="AX100" s="77">
        <f t="shared" si="99"/>
        <v>756.39373805702894</v>
      </c>
      <c r="AY100" s="77">
        <f t="shared" si="99"/>
        <v>967.76130205147319</v>
      </c>
      <c r="AZ100" s="77">
        <f t="shared" si="99"/>
        <v>1032.2311376012633</v>
      </c>
      <c r="BA100" s="77">
        <f t="shared" si="99"/>
        <v>1057.4442763196707</v>
      </c>
      <c r="BB100" s="77">
        <f t="shared" si="99"/>
        <v>1057.283521571321</v>
      </c>
      <c r="BC100" s="77">
        <f t="shared" si="99"/>
        <v>1489.6468522157766</v>
      </c>
      <c r="BD100" s="77">
        <f t="shared" si="99"/>
        <v>2643.9312082778306</v>
      </c>
      <c r="BE100" s="77">
        <f t="shared" si="99"/>
        <v>4023.0389790126719</v>
      </c>
      <c r="BF100" s="77">
        <f t="shared" si="99"/>
        <v>5649.1417188839714</v>
      </c>
    </row>
    <row r="101" spans="1:77">
      <c r="A101" s="69" t="s">
        <v>31</v>
      </c>
      <c r="B101" s="76">
        <f>'Monthly Ethanol Data'!$I163*42/1000</f>
        <v>72.66</v>
      </c>
      <c r="C101" s="76">
        <f>'Monthly Ethanol Data'!$I175*42/1000</f>
        <v>127.05</v>
      </c>
      <c r="D101" s="76">
        <f>'Monthly Ethanol Data'!$I187*42/1000</f>
        <v>62.622</v>
      </c>
      <c r="E101" s="76">
        <f>'Monthly Ethanol Data'!$I199*42/1000</f>
        <v>93.03</v>
      </c>
      <c r="F101" s="76">
        <f>'Monthly Ethanol Data'!$I211*42/1000</f>
        <v>120.624</v>
      </c>
      <c r="G101" s="76">
        <f>'Monthly Ethanol Data'!$I223*42/1000</f>
        <v>151.70400000000001</v>
      </c>
      <c r="H101" s="76">
        <f>'Monthly Ethanol Data'!$I235*42/1000</f>
        <v>176.73599999999999</v>
      </c>
      <c r="I101" s="76">
        <f>'Monthly Ethanol Data'!$I247*42/1000</f>
        <v>116.38200000000001</v>
      </c>
      <c r="J101" s="76">
        <f>'Monthly Ethanol Data'!$I259*42/1000</f>
        <v>199.79400000000001</v>
      </c>
      <c r="K101" s="76">
        <f>'Monthly Ethanol Data'!$I271*42/1000</f>
        <v>249.60599999999999</v>
      </c>
      <c r="L101" s="76">
        <f>'Monthly Ethanol Data'!$I283*42/1000</f>
        <v>229.69800000000001</v>
      </c>
      <c r="M101" s="76">
        <f>'Monthly Ethanol Data'!$I295*42/1000</f>
        <v>262.96199999999999</v>
      </c>
      <c r="N101" s="76">
        <f>'Monthly Ethanol Data'!$I307*42/1000</f>
        <v>305.25599999999997</v>
      </c>
      <c r="O101" s="76">
        <f>'Monthly Ethanol Data'!$I319*42/1000</f>
        <v>368.13</v>
      </c>
      <c r="P101" s="76">
        <f>'Monthly Ethanol Data'!$I331*42/1000</f>
        <v>469.26600000000002</v>
      </c>
      <c r="Q101" s="76">
        <f>'Monthly Ethanol Data'!$I343*42/1000</f>
        <v>665.02800000000002</v>
      </c>
      <c r="R101" s="76">
        <f>'Monthly Ethanol Data'!$I355*42/1000</f>
        <v>810.47400000000005</v>
      </c>
      <c r="S101" s="76">
        <f>'Monthly Ethanol Data'!$I367*42/1000</f>
        <v>882.67200000000003</v>
      </c>
      <c r="T101" s="76">
        <f>'Monthly Ethanol Data'!$I379*42/1000</f>
        <v>940.50599999999997</v>
      </c>
      <c r="U101" s="76">
        <f>'Monthly Ethanol Data'!$I391*42/1000</f>
        <v>798.37800000000004</v>
      </c>
      <c r="V101" s="76">
        <f>'Monthly Ethanol Data'!$I403*42/1000</f>
        <v>708.33</v>
      </c>
      <c r="W101" s="76">
        <f>'Monthly Ethanol Data'!$I415*42/1000</f>
        <v>884.39400000000001</v>
      </c>
      <c r="X101" s="76">
        <f>'Monthly Ethanol Data'!$I427*42/1000</f>
        <v>973.18200000000002</v>
      </c>
      <c r="Y101" s="76">
        <f>'Monthly Ethanol Data'!$I439*42/1000</f>
        <v>974.19</v>
      </c>
      <c r="Z101" s="76">
        <f>'Monthly Ethanol Data'!$I451*42/1000</f>
        <v>1038.3240000000001</v>
      </c>
      <c r="AA101" s="76">
        <f>'Monthly Ethanol Data'!$I463*42/1000</f>
        <v>1029.252</v>
      </c>
      <c r="AB101" s="76">
        <f>'Monthly Ethanol Data'!$I475*42/1000</f>
        <v>1032.444</v>
      </c>
      <c r="AC101" s="76">
        <f>'Monthly Ethanol Data'!$I487*42/1000</f>
        <v>1037.904</v>
      </c>
      <c r="AD101" s="76">
        <f>'Monthly Ethanol Data'!$I499*42/1000</f>
        <v>1113.8820000000001</v>
      </c>
      <c r="AE101" s="76">
        <f>'Monthly Ethanol Data'!$I511*42/1000</f>
        <v>1103.9280000000001</v>
      </c>
      <c r="AF101" s="76">
        <f>'Monthly Ethanol Data'!$I523*42/1000</f>
        <v>1101.7860000000001</v>
      </c>
      <c r="AG101" s="77">
        <f t="shared" si="100"/>
        <v>1115.5851394509707</v>
      </c>
      <c r="AH101" s="77">
        <f t="shared" si="100"/>
        <v>703.88281185779488</v>
      </c>
      <c r="AI101" s="77">
        <f t="shared" si="100"/>
        <v>897.75052802893629</v>
      </c>
      <c r="AJ101" s="77">
        <f t="shared" si="100"/>
        <v>822.61004545940068</v>
      </c>
      <c r="AK101" s="77">
        <f t="shared" si="100"/>
        <v>827.50099534296032</v>
      </c>
      <c r="AL101" s="77">
        <f t="shared" si="100"/>
        <v>815.44965083150078</v>
      </c>
      <c r="AM101" s="77">
        <f t="shared" si="99"/>
        <v>825.61219810705256</v>
      </c>
      <c r="AN101" s="77">
        <f t="shared" si="99"/>
        <v>850.57602388423652</v>
      </c>
      <c r="AO101" s="77">
        <f t="shared" si="99"/>
        <v>858.23829186299531</v>
      </c>
      <c r="AP101" s="77">
        <f t="shared" si="99"/>
        <v>864.70186539439442</v>
      </c>
      <c r="AQ101" s="77">
        <f t="shared" si="99"/>
        <v>888.09093367397372</v>
      </c>
      <c r="AR101" s="77">
        <f t="shared" si="99"/>
        <v>886.02465039119124</v>
      </c>
      <c r="AS101" s="77">
        <f t="shared" si="99"/>
        <v>872.83696703413898</v>
      </c>
      <c r="AT101" s="77">
        <f t="shared" si="99"/>
        <v>888.24779995556128</v>
      </c>
      <c r="AU101" s="77">
        <f t="shared" si="99"/>
        <v>933.45586910487941</v>
      </c>
      <c r="AV101" s="77">
        <f t="shared" si="99"/>
        <v>960.22267966137883</v>
      </c>
      <c r="AW101" s="77">
        <f t="shared" si="99"/>
        <v>924.75699968612048</v>
      </c>
      <c r="AX101" s="77">
        <f t="shared" si="99"/>
        <v>864.19267309295378</v>
      </c>
      <c r="AY101" s="77">
        <f t="shared" si="99"/>
        <v>1058.5578510394419</v>
      </c>
      <c r="AZ101" s="77">
        <f t="shared" si="99"/>
        <v>1128.7891933422877</v>
      </c>
      <c r="BA101" s="77">
        <f t="shared" si="99"/>
        <v>1155.095052223518</v>
      </c>
      <c r="BB101" s="77">
        <f t="shared" si="99"/>
        <v>1170.0432856745608</v>
      </c>
      <c r="BC101" s="77">
        <f t="shared" si="99"/>
        <v>1703.8319683785051</v>
      </c>
      <c r="BD101" s="77">
        <f t="shared" si="99"/>
        <v>2884.7516379795552</v>
      </c>
      <c r="BE101" s="77">
        <f t="shared" si="99"/>
        <v>4293.8928863009342</v>
      </c>
      <c r="BF101" s="77">
        <f t="shared" si="99"/>
        <v>5951.2720934060335</v>
      </c>
    </row>
    <row r="102" spans="1:77">
      <c r="A102" s="69" t="s">
        <v>32</v>
      </c>
      <c r="B102" s="76">
        <f>'Monthly Ethanol Data'!$I164*42/1000</f>
        <v>70.224000000000004</v>
      </c>
      <c r="C102" s="76">
        <f>'Monthly Ethanol Data'!$I176*42/1000</f>
        <v>126.714</v>
      </c>
      <c r="D102" s="76">
        <f>'Monthly Ethanol Data'!$I188*42/1000</f>
        <v>56.28</v>
      </c>
      <c r="E102" s="76">
        <f>'Monthly Ethanol Data'!$I200*42/1000</f>
        <v>98.322000000000003</v>
      </c>
      <c r="F102" s="76">
        <f>'Monthly Ethanol Data'!$I212*42/1000</f>
        <v>108.318</v>
      </c>
      <c r="G102" s="76">
        <f>'Monthly Ethanol Data'!$I224*42/1000</f>
        <v>162.078</v>
      </c>
      <c r="H102" s="76">
        <f>'Monthly Ethanol Data'!$I236*42/1000</f>
        <v>171.44399999999999</v>
      </c>
      <c r="I102" s="76">
        <f>'Monthly Ethanol Data'!$I248*42/1000</f>
        <v>113.02200000000001</v>
      </c>
      <c r="J102" s="76">
        <f>'Monthly Ethanol Data'!$I260*42/1000</f>
        <v>239.02199999999999</v>
      </c>
      <c r="K102" s="76">
        <f>'Monthly Ethanol Data'!$I272*42/1000</f>
        <v>275.05799999999999</v>
      </c>
      <c r="L102" s="76">
        <f>'Monthly Ethanol Data'!$I284*42/1000</f>
        <v>234.27600000000001</v>
      </c>
      <c r="M102" s="76">
        <f>'Monthly Ethanol Data'!$I296*42/1000</f>
        <v>277.41000000000003</v>
      </c>
      <c r="N102" s="76">
        <f>'Monthly Ethanol Data'!$I308*42/1000</f>
        <v>362.29199999999997</v>
      </c>
      <c r="O102" s="76">
        <f>'Monthly Ethanol Data'!$I320*42/1000</f>
        <v>358.63799999999998</v>
      </c>
      <c r="P102" s="76">
        <f>'Monthly Ethanol Data'!$I332*42/1000</f>
        <v>516.096</v>
      </c>
      <c r="Q102" s="76">
        <f>'Monthly Ethanol Data'!$I344*42/1000</f>
        <v>689.26199999999994</v>
      </c>
      <c r="R102" s="76">
        <f>'Monthly Ethanol Data'!$I356*42/1000</f>
        <v>849.32399999999996</v>
      </c>
      <c r="S102" s="76">
        <f>'Monthly Ethanol Data'!$I368*42/1000</f>
        <v>906.90599999999995</v>
      </c>
      <c r="T102" s="76">
        <f>'Monthly Ethanol Data'!$I380*42/1000</f>
        <v>948.48599999999999</v>
      </c>
      <c r="U102" s="76">
        <f>'Monthly Ethanol Data'!$I392*42/1000</f>
        <v>773.22</v>
      </c>
      <c r="V102" s="76">
        <f>'Monthly Ethanol Data'!$I404*42/1000</f>
        <v>727.02</v>
      </c>
      <c r="W102" s="76">
        <f>'Monthly Ethanol Data'!$I416*42/1000</f>
        <v>876.87599999999998</v>
      </c>
      <c r="X102" s="76">
        <f>'Monthly Ethanol Data'!$I428*42/1000</f>
        <v>954.66</v>
      </c>
      <c r="Y102" s="76">
        <f>'Monthly Ethanol Data'!$I440*42/1000</f>
        <v>1007.202</v>
      </c>
      <c r="Z102" s="76">
        <f>'Monthly Ethanol Data'!$I452*42/1000</f>
        <v>969.52800000000002</v>
      </c>
      <c r="AA102" s="76">
        <f>'Monthly Ethanol Data'!$I464*42/1000</f>
        <v>982.63199999999995</v>
      </c>
      <c r="AB102" s="76">
        <f>'Monthly Ethanol Data'!$I476*42/1000</f>
        <v>1155.21</v>
      </c>
      <c r="AC102" s="76">
        <f>'Monthly Ethanol Data'!$I488*42/1000</f>
        <v>960.49800000000005</v>
      </c>
      <c r="AD102" s="76">
        <f>'Monthly Ethanol Data'!$I500*42/1000</f>
        <v>1121.4000000000001</v>
      </c>
      <c r="AE102" s="76">
        <f>'Monthly Ethanol Data'!$I512*42/1000</f>
        <v>1048.5719999999999</v>
      </c>
      <c r="AF102" s="76">
        <f>'Monthly Ethanol Data'!$I524*42/1000</f>
        <v>1141.9380000000001</v>
      </c>
      <c r="AG102" s="77">
        <f t="shared" si="100"/>
        <v>1095.724310385094</v>
      </c>
      <c r="AH102" s="77">
        <f t="shared" si="100"/>
        <v>689.91638201042792</v>
      </c>
      <c r="AI102" s="77">
        <f t="shared" si="100"/>
        <v>875.05868959283248</v>
      </c>
      <c r="AJ102" s="77">
        <f t="shared" si="100"/>
        <v>795.85498925934894</v>
      </c>
      <c r="AK102" s="77">
        <f t="shared" si="100"/>
        <v>798.93852305455971</v>
      </c>
      <c r="AL102" s="77">
        <f t="shared" si="100"/>
        <v>805.87791606877613</v>
      </c>
      <c r="AM102" s="77">
        <f t="shared" si="99"/>
        <v>811.56121426271784</v>
      </c>
      <c r="AN102" s="77">
        <f t="shared" si="99"/>
        <v>824.74018578454752</v>
      </c>
      <c r="AO102" s="77">
        <f t="shared" si="99"/>
        <v>836.63710968909004</v>
      </c>
      <c r="AP102" s="77">
        <f t="shared" si="99"/>
        <v>843.71971951783189</v>
      </c>
      <c r="AQ102" s="77">
        <f t="shared" si="99"/>
        <v>869.7121310603552</v>
      </c>
      <c r="AR102" s="77">
        <f t="shared" si="99"/>
        <v>860.85846607013605</v>
      </c>
      <c r="AS102" s="77">
        <f t="shared" si="99"/>
        <v>848.72482908134907</v>
      </c>
      <c r="AT102" s="77">
        <f t="shared" si="99"/>
        <v>866.51800235266523</v>
      </c>
      <c r="AU102" s="77">
        <f t="shared" si="99"/>
        <v>914.59106878926445</v>
      </c>
      <c r="AV102" s="77">
        <f t="shared" si="99"/>
        <v>934.83989619717727</v>
      </c>
      <c r="AW102" s="77">
        <f t="shared" si="99"/>
        <v>892.24296310116779</v>
      </c>
      <c r="AX102" s="77">
        <f t="shared" si="99"/>
        <v>878.33251374711631</v>
      </c>
      <c r="AY102" s="77">
        <f t="shared" si="99"/>
        <v>1048.231453326887</v>
      </c>
      <c r="AZ102" s="77">
        <f t="shared" si="99"/>
        <v>1118.9030100462933</v>
      </c>
      <c r="BA102" s="77">
        <f t="shared" si="99"/>
        <v>1139.3097962085744</v>
      </c>
      <c r="BB102" s="77">
        <f t="shared" si="99"/>
        <v>1162.0787019140071</v>
      </c>
      <c r="BC102" s="77">
        <f t="shared" si="99"/>
        <v>1795.1373279899665</v>
      </c>
      <c r="BD102" s="77">
        <f t="shared" si="99"/>
        <v>2997.2960282699805</v>
      </c>
      <c r="BE102" s="77">
        <f t="shared" si="99"/>
        <v>4430.9832348163982</v>
      </c>
      <c r="BF102" s="77">
        <f t="shared" si="99"/>
        <v>6113.9254873555092</v>
      </c>
    </row>
    <row r="103" spans="1:77">
      <c r="A103" s="69" t="s">
        <v>33</v>
      </c>
      <c r="B103" s="76">
        <f>'Monthly Ethanol Data'!$I165*42/1000</f>
        <v>62.201999999999998</v>
      </c>
      <c r="C103" s="76">
        <f>'Monthly Ethanol Data'!$I177*42/1000</f>
        <v>131.25</v>
      </c>
      <c r="D103" s="76">
        <f>'Monthly Ethanol Data'!$I189*42/1000</f>
        <v>56.826000000000001</v>
      </c>
      <c r="E103" s="76">
        <f>'Monthly Ethanol Data'!$I201*42/1000</f>
        <v>99.918000000000006</v>
      </c>
      <c r="F103" s="76">
        <f>'Monthly Ethanol Data'!$I213*42/1000</f>
        <v>125.244</v>
      </c>
      <c r="G103" s="76">
        <f>'Monthly Ethanol Data'!$I225*42/1000</f>
        <v>191.226</v>
      </c>
      <c r="H103" s="76">
        <f>'Monthly Ethanol Data'!$I237*42/1000</f>
        <v>188.45400000000001</v>
      </c>
      <c r="I103" s="76">
        <f>'Monthly Ethanol Data'!$I249*42/1000</f>
        <v>123.312</v>
      </c>
      <c r="J103" s="76">
        <f>'Monthly Ethanol Data'!$I261*42/1000</f>
        <v>245.82599999999999</v>
      </c>
      <c r="K103" s="76">
        <f>'Monthly Ethanol Data'!$I273*42/1000</f>
        <v>274.17599999999999</v>
      </c>
      <c r="L103" s="76">
        <f>'Monthly Ethanol Data'!$I285*42/1000</f>
        <v>228.18600000000001</v>
      </c>
      <c r="M103" s="76">
        <f>'Monthly Ethanol Data'!$I297*42/1000</f>
        <v>288.16199999999998</v>
      </c>
      <c r="N103" s="76">
        <f>'Monthly Ethanol Data'!$I309*42/1000</f>
        <v>377.58</v>
      </c>
      <c r="O103" s="76">
        <f>'Monthly Ethanol Data'!$I321*42/1000</f>
        <v>369.89400000000001</v>
      </c>
      <c r="P103" s="76">
        <f>'Monthly Ethanol Data'!$I333*42/1000</f>
        <v>528.024</v>
      </c>
      <c r="Q103" s="76">
        <f>'Monthly Ethanol Data'!$I345*42/1000</f>
        <v>643.524</v>
      </c>
      <c r="R103" s="76">
        <f>'Monthly Ethanol Data'!$I357*42/1000</f>
        <v>841.76400000000001</v>
      </c>
      <c r="S103" s="76">
        <f>'Monthly Ethanol Data'!$I369*42/1000</f>
        <v>884.73</v>
      </c>
      <c r="T103" s="76">
        <f>'Monthly Ethanol Data'!$I381*42/1000</f>
        <v>926.1</v>
      </c>
      <c r="U103" s="76">
        <f>'Monthly Ethanol Data'!$I393*42/1000</f>
        <v>729.54</v>
      </c>
      <c r="V103" s="76">
        <f>'Monthly Ethanol Data'!$I405*42/1000</f>
        <v>739.62</v>
      </c>
      <c r="W103" s="76">
        <f>'Monthly Ethanol Data'!$I417*42/1000</f>
        <v>875.86800000000005</v>
      </c>
      <c r="X103" s="76">
        <f>'Monthly Ethanol Data'!$I429*42/1000</f>
        <v>896.11199999999997</v>
      </c>
      <c r="Y103" s="76">
        <f>'Monthly Ethanol Data'!$I441*42/1000</f>
        <v>994.18200000000002</v>
      </c>
      <c r="Z103" s="76">
        <f>'Monthly Ethanol Data'!$I453*42/1000</f>
        <v>981.91800000000001</v>
      </c>
      <c r="AA103" s="76">
        <f>'Monthly Ethanol Data'!$I465*42/1000</f>
        <v>979.90200000000004</v>
      </c>
      <c r="AB103" s="76">
        <f>'Monthly Ethanol Data'!$I477*42/1000</f>
        <v>1097.2080000000001</v>
      </c>
      <c r="AC103" s="76">
        <f>'Monthly Ethanol Data'!$I489*42/1000</f>
        <v>939.45600000000002</v>
      </c>
      <c r="AD103" s="76">
        <f>'Monthly Ethanol Data'!$I501*42/1000</f>
        <v>1019.928</v>
      </c>
      <c r="AE103" s="76">
        <f>'Monthly Ethanol Data'!$I513*42/1000</f>
        <v>1014.93</v>
      </c>
      <c r="AF103" s="76">
        <f>'Monthly Ethanol Data'!$I525*42/1000</f>
        <v>1071.672</v>
      </c>
      <c r="AG103" s="77">
        <f t="shared" si="100"/>
        <v>989.92499132830835</v>
      </c>
      <c r="AH103" s="77">
        <f t="shared" si="100"/>
        <v>697.9979893241798</v>
      </c>
      <c r="AI103" s="77">
        <f t="shared" si="100"/>
        <v>826.61613050644291</v>
      </c>
      <c r="AJ103" s="77">
        <f t="shared" si="100"/>
        <v>755.24053091959649</v>
      </c>
      <c r="AK103" s="77">
        <f t="shared" si="100"/>
        <v>768.1727732495583</v>
      </c>
      <c r="AL103" s="77">
        <f t="shared" si="100"/>
        <v>778.31976874684074</v>
      </c>
      <c r="AM103" s="77">
        <f t="shared" si="99"/>
        <v>796.92209094562099</v>
      </c>
      <c r="AN103" s="77">
        <f t="shared" si="99"/>
        <v>789.93611071205987</v>
      </c>
      <c r="AO103" s="77">
        <f t="shared" si="99"/>
        <v>802.49760832846709</v>
      </c>
      <c r="AP103" s="77">
        <f t="shared" si="99"/>
        <v>811.63544936259314</v>
      </c>
      <c r="AQ103" s="77">
        <f t="shared" si="99"/>
        <v>840.6734152860729</v>
      </c>
      <c r="AR103" s="77">
        <f t="shared" si="99"/>
        <v>825.11633699124286</v>
      </c>
      <c r="AS103" s="77">
        <f t="shared" si="99"/>
        <v>814.15734492647493</v>
      </c>
      <c r="AT103" s="77">
        <f t="shared" si="99"/>
        <v>832.75581508409846</v>
      </c>
      <c r="AU103" s="77">
        <f t="shared" si="99"/>
        <v>883.4863784639258</v>
      </c>
      <c r="AV103" s="77">
        <f t="shared" si="99"/>
        <v>896.65115019349491</v>
      </c>
      <c r="AW103" s="77">
        <f t="shared" si="99"/>
        <v>845.9426213269021</v>
      </c>
      <c r="AX103" s="77">
        <f t="shared" si="99"/>
        <v>861.18261670850711</v>
      </c>
      <c r="AY103" s="77">
        <f t="shared" si="99"/>
        <v>997.63278192332882</v>
      </c>
      <c r="AZ103" s="77">
        <f t="shared" si="99"/>
        <v>1062.5061118635203</v>
      </c>
      <c r="BA103" s="77">
        <f t="shared" si="99"/>
        <v>1069.2427951987186</v>
      </c>
      <c r="BB103" s="77">
        <f t="shared" si="99"/>
        <v>1092.4218122454497</v>
      </c>
      <c r="BC103" s="77">
        <f t="shared" si="99"/>
        <v>1827.4245241587244</v>
      </c>
      <c r="BD103" s="77">
        <f t="shared" si="99"/>
        <v>3046.0056855869807</v>
      </c>
      <c r="BE103" s="77">
        <f t="shared" si="99"/>
        <v>4499.5214924084685</v>
      </c>
      <c r="BF103" s="77">
        <f t="shared" si="99"/>
        <v>6203.0799942048561</v>
      </c>
    </row>
    <row r="104" spans="1:77">
      <c r="A104" s="69" t="s">
        <v>14</v>
      </c>
      <c r="B104" s="76">
        <f>'Monthly Ethanol Data'!$I166*42/1000</f>
        <v>64.176000000000002</v>
      </c>
      <c r="C104" s="76">
        <f>'Monthly Ethanol Data'!$I178*42/1000</f>
        <v>151.95599999999999</v>
      </c>
      <c r="D104" s="76">
        <f>'Monthly Ethanol Data'!$I190*42/1000</f>
        <v>47.628</v>
      </c>
      <c r="E104" s="76">
        <f>'Monthly Ethanol Data'!$I202*42/1000</f>
        <v>124.488</v>
      </c>
      <c r="F104" s="76">
        <f>'Monthly Ethanol Data'!$I214*42/1000</f>
        <v>134.61000000000001</v>
      </c>
      <c r="G104" s="76">
        <f>'Monthly Ethanol Data'!$I226*42/1000</f>
        <v>207.39599999999999</v>
      </c>
      <c r="H104" s="76">
        <f>'Monthly Ethanol Data'!$I238*42/1000</f>
        <v>187.572</v>
      </c>
      <c r="I104" s="76">
        <f>'Monthly Ethanol Data'!$I250*42/1000</f>
        <v>133.22399999999999</v>
      </c>
      <c r="J104" s="76">
        <f>'Monthly Ethanol Data'!$I262*42/1000</f>
        <v>251.74799999999999</v>
      </c>
      <c r="K104" s="76">
        <f>'Monthly Ethanol Data'!$I274*42/1000</f>
        <v>273.29399999999998</v>
      </c>
      <c r="L104" s="76">
        <f>'Monthly Ethanol Data'!$I286*42/1000</f>
        <v>243.43199999999999</v>
      </c>
      <c r="M104" s="76">
        <f>'Monthly Ethanol Data'!$I298*42/1000</f>
        <v>286.02</v>
      </c>
      <c r="N104" s="76">
        <f>'Monthly Ethanol Data'!$I310*42/1000</f>
        <v>326.214</v>
      </c>
      <c r="O104" s="76">
        <f>'Monthly Ethanol Data'!$I322*42/1000</f>
        <v>376.572</v>
      </c>
      <c r="P104" s="76">
        <f>'Monthly Ethanol Data'!$I334*42/1000</f>
        <v>558.47400000000005</v>
      </c>
      <c r="Q104" s="76">
        <f>'Monthly Ethanol Data'!$I346*42/1000</f>
        <v>595.26599999999996</v>
      </c>
      <c r="R104" s="76">
        <f>'Monthly Ethanol Data'!$I358*42/1000</f>
        <v>833.74199999999996</v>
      </c>
      <c r="S104" s="76">
        <f>'Monthly Ethanol Data'!$I370*42/1000</f>
        <v>865.57799999999997</v>
      </c>
      <c r="T104" s="76">
        <f>'Monthly Ethanol Data'!$I382*42/1000</f>
        <v>908.67</v>
      </c>
      <c r="U104" s="76">
        <f>'Monthly Ethanol Data'!$I394*42/1000</f>
        <v>705.76800000000003</v>
      </c>
      <c r="V104" s="76">
        <f>'Monthly Ethanol Data'!$I406*42/1000</f>
        <v>769.86</v>
      </c>
      <c r="W104" s="76">
        <f>'Monthly Ethanol Data'!$I418*42/1000</f>
        <v>846.46799999999996</v>
      </c>
      <c r="X104" s="76">
        <f>'Monthly Ethanol Data'!$I430*42/1000</f>
        <v>880.404</v>
      </c>
      <c r="Y104" s="76">
        <f>'Monthly Ethanol Data'!$I442*42/1000</f>
        <v>959.91</v>
      </c>
      <c r="Z104" s="76">
        <f>'Monthly Ethanol Data'!$I454*42/1000</f>
        <v>951.46799999999996</v>
      </c>
      <c r="AA104" s="76">
        <f>'Monthly Ethanol Data'!$I466*42/1000</f>
        <v>959.40599999999995</v>
      </c>
      <c r="AB104" s="76">
        <f>'Monthly Ethanol Data'!$I478*42/1000</f>
        <v>931.98</v>
      </c>
      <c r="AC104" s="76">
        <f>'Monthly Ethanol Data'!$I490*42/1000</f>
        <v>926.39400000000001</v>
      </c>
      <c r="AD104" s="76">
        <f>'Monthly Ethanol Data'!$I502*42/1000</f>
        <v>983.89200000000005</v>
      </c>
      <c r="AE104" s="76">
        <f>'Monthly Ethanol Data'!$I514*42/1000</f>
        <v>970.53599999999994</v>
      </c>
      <c r="AF104" s="76">
        <f>'Monthly Ethanol Data'!$I526*42/1000</f>
        <v>952.51800000000003</v>
      </c>
      <c r="AG104" s="77">
        <f t="shared" si="100"/>
        <v>874.98650238556502</v>
      </c>
      <c r="AH104" s="77">
        <f t="shared" si="100"/>
        <v>666.28350665989501</v>
      </c>
      <c r="AI104" s="77">
        <f t="shared" si="100"/>
        <v>760.57491446058293</v>
      </c>
      <c r="AJ104" s="77">
        <f t="shared" si="100"/>
        <v>698.84844192150604</v>
      </c>
      <c r="AK104" s="77">
        <f t="shared" si="100"/>
        <v>704.40905674970395</v>
      </c>
      <c r="AL104" s="77">
        <f t="shared" si="100"/>
        <v>715.50770424663051</v>
      </c>
      <c r="AM104" s="77">
        <f t="shared" si="99"/>
        <v>752.05172049995667</v>
      </c>
      <c r="AN104" s="77">
        <f t="shared" si="99"/>
        <v>728.41250589264155</v>
      </c>
      <c r="AO104" s="77">
        <f t="shared" si="99"/>
        <v>743.82756330807115</v>
      </c>
      <c r="AP104" s="77">
        <f t="shared" si="99"/>
        <v>753.09909397378351</v>
      </c>
      <c r="AQ104" s="77">
        <f t="shared" si="99"/>
        <v>783.55239771767469</v>
      </c>
      <c r="AR104" s="77">
        <f t="shared" si="99"/>
        <v>763.63684615480497</v>
      </c>
      <c r="AS104" s="77">
        <f t="shared" si="99"/>
        <v>755.10449023979641</v>
      </c>
      <c r="AT104" s="77">
        <f t="shared" si="99"/>
        <v>774.53759899089005</v>
      </c>
      <c r="AU104" s="77">
        <f t="shared" si="99"/>
        <v>827.82910194683518</v>
      </c>
      <c r="AV104" s="77">
        <f t="shared" si="99"/>
        <v>835.70211670848084</v>
      </c>
      <c r="AW104" s="77">
        <f t="shared" si="99"/>
        <v>779.22571068508205</v>
      </c>
      <c r="AX104" s="77">
        <f t="shared" si="99"/>
        <v>813.82182786732733</v>
      </c>
      <c r="AY104" s="77">
        <f t="shared" si="99"/>
        <v>918.06463786880909</v>
      </c>
      <c r="AZ104" s="77">
        <f t="shared" si="99"/>
        <v>976.76227338068475</v>
      </c>
      <c r="BA104" s="77">
        <f t="shared" si="99"/>
        <v>970.9095458381355</v>
      </c>
      <c r="BB104" s="77">
        <f t="shared" si="99"/>
        <v>991.76001439192123</v>
      </c>
      <c r="BC104" s="77">
        <f t="shared" si="99"/>
        <v>1801.7920886982974</v>
      </c>
      <c r="BD104" s="77">
        <f t="shared" si="99"/>
        <v>3029.779560947004</v>
      </c>
      <c r="BE104" s="77">
        <f t="shared" si="99"/>
        <v>4495.9488603744021</v>
      </c>
      <c r="BF104" s="77">
        <f t="shared" si="99"/>
        <v>6212.5704353875826</v>
      </c>
    </row>
    <row r="105" spans="1:77">
      <c r="A105" s="69" t="s">
        <v>34</v>
      </c>
      <c r="B105" s="76">
        <f>'Monthly Ethanol Data'!$I167*42/1000</f>
        <v>71.483999999999995</v>
      </c>
      <c r="C105" s="76">
        <f>'Monthly Ethanol Data'!$I179*42/1000</f>
        <v>142.25399999999999</v>
      </c>
      <c r="D105" s="76">
        <f>'Monthly Ethanol Data'!$I191*42/1000</f>
        <v>41.076000000000001</v>
      </c>
      <c r="E105" s="76">
        <f>'Monthly Ethanol Data'!$I203*42/1000</f>
        <v>134.19</v>
      </c>
      <c r="F105" s="76">
        <f>'Monthly Ethanol Data'!$I215*42/1000</f>
        <v>145.572</v>
      </c>
      <c r="G105" s="76">
        <f>'Monthly Ethanol Data'!$I227*42/1000</f>
        <v>192.024</v>
      </c>
      <c r="H105" s="76">
        <f>'Monthly Ethanol Data'!$I239*42/1000</f>
        <v>204.49799999999999</v>
      </c>
      <c r="I105" s="76">
        <f>'Monthly Ethanol Data'!$I251*42/1000</f>
        <v>174.38399999999999</v>
      </c>
      <c r="J105" s="76">
        <f>'Monthly Ethanol Data'!$I263*42/1000</f>
        <v>259.89600000000002</v>
      </c>
      <c r="K105" s="76">
        <f>'Monthly Ethanol Data'!$I275*42/1000</f>
        <v>283.62599999999998</v>
      </c>
      <c r="L105" s="76">
        <f>'Monthly Ethanol Data'!$I287*42/1000</f>
        <v>224.49</v>
      </c>
      <c r="M105" s="76">
        <f>'Monthly Ethanol Data'!$I299*42/1000</f>
        <v>254.68799999999999</v>
      </c>
      <c r="N105" s="76">
        <f>'Monthly Ethanol Data'!$I311*42/1000</f>
        <v>280.35000000000002</v>
      </c>
      <c r="O105" s="76">
        <f>'Monthly Ethanol Data'!$I323*42/1000</f>
        <v>385.18200000000002</v>
      </c>
      <c r="P105" s="76">
        <f>'Monthly Ethanol Data'!$I335*42/1000</f>
        <v>559.56600000000003</v>
      </c>
      <c r="Q105" s="76">
        <f>'Monthly Ethanol Data'!$I347*42/1000</f>
        <v>586.90800000000002</v>
      </c>
      <c r="R105" s="76">
        <f>'Monthly Ethanol Data'!$I359*42/1000</f>
        <v>779.73</v>
      </c>
      <c r="S105" s="76">
        <f>'Monthly Ethanol Data'!$I371*42/1000</f>
        <v>807.11400000000003</v>
      </c>
      <c r="T105" s="76">
        <f>'Monthly Ethanol Data'!$I383*42/1000</f>
        <v>892.03800000000001</v>
      </c>
      <c r="U105" s="76">
        <f>'Monthly Ethanol Data'!$I395*42/1000</f>
        <v>689.976</v>
      </c>
      <c r="V105" s="76">
        <f>'Monthly Ethanol Data'!$I407*42/1000</f>
        <v>788.97</v>
      </c>
      <c r="W105" s="76">
        <f>'Monthly Ethanol Data'!$I419*42/1000</f>
        <v>845.37599999999998</v>
      </c>
      <c r="X105" s="76">
        <f>'Monthly Ethanol Data'!$I431*42/1000</f>
        <v>893.928</v>
      </c>
      <c r="Y105" s="76">
        <f>'Monthly Ethanol Data'!$I443*42/1000</f>
        <v>914.34</v>
      </c>
      <c r="Z105" s="76">
        <f>'Monthly Ethanol Data'!$I455*42/1000</f>
        <v>918.83399999999995</v>
      </c>
      <c r="AA105" s="76">
        <f>'Monthly Ethanol Data'!$I467*42/1000</f>
        <v>948.48599999999999</v>
      </c>
      <c r="AB105" s="76">
        <f>'Monthly Ethanol Data'!$I479*42/1000</f>
        <v>817.82399999999996</v>
      </c>
      <c r="AC105" s="76">
        <f>'Monthly Ethanol Data'!$I491*42/1000</f>
        <v>923.16</v>
      </c>
      <c r="AD105" s="76">
        <f>'Monthly Ethanol Data'!$I503*42/1000</f>
        <v>982.12800000000004</v>
      </c>
      <c r="AE105" s="76">
        <f>'Monthly Ethanol Data'!$I515*42/1000</f>
        <v>937.18799999999999</v>
      </c>
      <c r="AF105" s="76">
        <f>'Monthly Ethanol Data'!$I527*42/1000</f>
        <v>949.70399999999995</v>
      </c>
      <c r="AG105" s="77">
        <f t="shared" si="100"/>
        <v>800.91545256335417</v>
      </c>
      <c r="AH105" s="77">
        <f t="shared" si="100"/>
        <v>645.17398563909887</v>
      </c>
      <c r="AI105" s="77">
        <f t="shared" si="100"/>
        <v>737.404497396235</v>
      </c>
      <c r="AJ105" s="77">
        <f t="shared" si="100"/>
        <v>670.6730206068994</v>
      </c>
      <c r="AK105" s="77">
        <f t="shared" si="100"/>
        <v>670.74378068878264</v>
      </c>
      <c r="AL105" s="77">
        <f t="shared" si="100"/>
        <v>702.79681920677558</v>
      </c>
      <c r="AM105" s="77">
        <f t="shared" si="99"/>
        <v>731.84922292985175</v>
      </c>
      <c r="AN105" s="77">
        <f t="shared" si="99"/>
        <v>700.77471071762648</v>
      </c>
      <c r="AO105" s="77">
        <f t="shared" si="99"/>
        <v>721.25223197391938</v>
      </c>
      <c r="AP105" s="77">
        <f t="shared" si="99"/>
        <v>730.52692065503993</v>
      </c>
      <c r="AQ105" s="77">
        <f t="shared" si="99"/>
        <v>764.45040100472374</v>
      </c>
      <c r="AR105" s="77">
        <f t="shared" si="99"/>
        <v>739.41621186134216</v>
      </c>
      <c r="AS105" s="77">
        <f t="shared" si="99"/>
        <v>731.7231451670134</v>
      </c>
      <c r="AT105" s="77">
        <f t="shared" si="99"/>
        <v>754.38164061567909</v>
      </c>
      <c r="AU105" s="77">
        <f t="shared" si="99"/>
        <v>810.65291226941804</v>
      </c>
      <c r="AV105" s="77">
        <f t="shared" si="99"/>
        <v>813.93534093154994</v>
      </c>
      <c r="AW105" s="77">
        <f t="shared" si="99"/>
        <v>752.43353445005209</v>
      </c>
      <c r="AX105" s="77">
        <f t="shared" si="99"/>
        <v>789.08122574568984</v>
      </c>
      <c r="AY105" s="77">
        <f t="shared" si="99"/>
        <v>845.81983452178474</v>
      </c>
      <c r="AZ105" s="77">
        <f t="shared" si="99"/>
        <v>892.76178680169755</v>
      </c>
      <c r="BA105" s="77">
        <f t="shared" si="99"/>
        <v>867.38653583843143</v>
      </c>
      <c r="BB105" s="77">
        <f t="shared" si="99"/>
        <v>876.62943647381803</v>
      </c>
      <c r="BC105" s="77">
        <f t="shared" si="99"/>
        <v>1744.777425788018</v>
      </c>
      <c r="BD105" s="77">
        <f t="shared" si="99"/>
        <v>2970.9734307164304</v>
      </c>
      <c r="BE105" s="77">
        <f t="shared" si="99"/>
        <v>4439.8091447969273</v>
      </c>
      <c r="BF105" s="77">
        <f t="shared" si="99"/>
        <v>6158.9375965605404</v>
      </c>
    </row>
    <row r="106" spans="1:77">
      <c r="A106" s="69" t="s">
        <v>35</v>
      </c>
      <c r="B106" s="76">
        <f>'Monthly Ethanol Data'!$I168*42/1000</f>
        <v>76.524000000000001</v>
      </c>
      <c r="C106" s="76">
        <f>'Monthly Ethanol Data'!$I180*42/1000</f>
        <v>156.828</v>
      </c>
      <c r="D106" s="76">
        <f>'Monthly Ethanol Data'!$I192*42/1000</f>
        <v>42.21</v>
      </c>
      <c r="E106" s="76">
        <f>'Monthly Ethanol Data'!$I204*42/1000</f>
        <v>136.08000000000001</v>
      </c>
      <c r="F106" s="76">
        <f>'Monthly Ethanol Data'!$I216*42/1000</f>
        <v>148.97399999999999</v>
      </c>
      <c r="G106" s="76">
        <f>'Monthly Ethanol Data'!$I228*42/1000</f>
        <v>192.90600000000001</v>
      </c>
      <c r="H106" s="76">
        <f>'Monthly Ethanol Data'!$I240*42/1000</f>
        <v>212.982</v>
      </c>
      <c r="I106" s="76">
        <f>'Monthly Ethanol Data'!$I252*42/1000</f>
        <v>147.126</v>
      </c>
      <c r="J106" s="76">
        <f>'Monthly Ethanol Data'!$I264*42/1000</f>
        <v>254.94</v>
      </c>
      <c r="K106" s="76">
        <f>'Monthly Ethanol Data'!$I276*42/1000</f>
        <v>292.95</v>
      </c>
      <c r="L106" s="76">
        <f>'Monthly Ethanol Data'!$I288*42/1000</f>
        <v>250.78200000000001</v>
      </c>
      <c r="M106" s="76">
        <f>'Monthly Ethanol Data'!$I300*42/1000</f>
        <v>248.892</v>
      </c>
      <c r="N106" s="76">
        <f>'Monthly Ethanol Data'!$I312*42/1000</f>
        <v>323.65199999999999</v>
      </c>
      <c r="O106" s="76">
        <f>'Monthly Ethanol Data'!$I324*42/1000</f>
        <v>414.37200000000001</v>
      </c>
      <c r="P106" s="76">
        <f>'Monthly Ethanol Data'!$I336*42/1000</f>
        <v>564.81600000000003</v>
      </c>
      <c r="Q106" s="76">
        <f>'Monthly Ethanol Data'!$I348*42/1000</f>
        <v>597.36599999999999</v>
      </c>
      <c r="R106" s="76">
        <f>'Monthly Ethanol Data'!$I360*42/1000</f>
        <v>747.97799999999995</v>
      </c>
      <c r="S106" s="76">
        <f>'Monthly Ethanol Data'!$I372*42/1000</f>
        <v>789.096</v>
      </c>
      <c r="T106" s="76">
        <f>'Monthly Ethanol Data'!$I384*42/1000</f>
        <v>849.40800000000002</v>
      </c>
      <c r="U106" s="76">
        <f>'Monthly Ethanol Data'!$I396*42/1000</f>
        <v>717.024</v>
      </c>
      <c r="V106" s="76">
        <f>'Monthly Ethanol Data'!$I408*42/1000</f>
        <v>785.23199999999997</v>
      </c>
      <c r="W106" s="76">
        <f>'Monthly Ethanol Data'!$I420*42/1000</f>
        <v>827.44200000000001</v>
      </c>
      <c r="X106" s="76">
        <f>'Monthly Ethanol Data'!$I432*42/1000</f>
        <v>898.00199999999995</v>
      </c>
      <c r="Y106" s="76">
        <f>'Monthly Ethanol Data'!$I444*42/1000</f>
        <v>889.01400000000001</v>
      </c>
      <c r="Z106" s="76">
        <f>'Monthly Ethanol Data'!$I456*42/1000</f>
        <v>952.05600000000004</v>
      </c>
      <c r="AA106" s="76">
        <f>'Monthly Ethanol Data'!$I468*42/1000</f>
        <v>961.46400000000006</v>
      </c>
      <c r="AB106" s="76">
        <f>'Monthly Ethanol Data'!$I480*42/1000</f>
        <v>830.928</v>
      </c>
      <c r="AC106" s="76">
        <f>'Monthly Ethanol Data'!$I492*42/1000</f>
        <v>951.55200000000002</v>
      </c>
      <c r="AD106" s="76">
        <f>'Monthly Ethanol Data'!$I504*42/1000</f>
        <v>1016.274</v>
      </c>
      <c r="AE106" s="76">
        <f>'Monthly Ethanol Data'!$I516*42/1000</f>
        <v>968.39400000000001</v>
      </c>
      <c r="AF106" s="76">
        <f>'Monthly Ethanol Data'!$I528*42/1000</f>
        <v>980.65800000000002</v>
      </c>
      <c r="AG106" s="77">
        <f t="shared" si="100"/>
        <v>728.77972229038323</v>
      </c>
      <c r="AH106" s="77">
        <f t="shared" si="100"/>
        <v>606.70402673874628</v>
      </c>
      <c r="AI106" s="77">
        <f t="shared" si="100"/>
        <v>693.10050751415088</v>
      </c>
      <c r="AJ106" s="77">
        <f t="shared" si="100"/>
        <v>641.94038427164287</v>
      </c>
      <c r="AK106" s="77">
        <f t="shared" si="100"/>
        <v>637.9580193717029</v>
      </c>
      <c r="AL106" s="77">
        <f t="shared" si="100"/>
        <v>669.44129299744804</v>
      </c>
      <c r="AM106" s="77">
        <f t="shared" si="99"/>
        <v>703.734845181217</v>
      </c>
      <c r="AN106" s="77">
        <f t="shared" si="99"/>
        <v>664.8294091704779</v>
      </c>
      <c r="AO106" s="77">
        <f t="shared" si="99"/>
        <v>692.787449899291</v>
      </c>
      <c r="AP106" s="77">
        <f t="shared" si="99"/>
        <v>701.31833509059538</v>
      </c>
      <c r="AQ106" s="77">
        <f t="shared" si="99"/>
        <v>735.84952352448886</v>
      </c>
      <c r="AR106" s="77">
        <f t="shared" si="99"/>
        <v>707.14411928993604</v>
      </c>
      <c r="AS106" s="77">
        <f t="shared" si="99"/>
        <v>702.63835397267621</v>
      </c>
      <c r="AT106" s="77">
        <f t="shared" si="99"/>
        <v>727.96467419610531</v>
      </c>
      <c r="AU106" s="77">
        <f t="shared" si="99"/>
        <v>787.11442663233561</v>
      </c>
      <c r="AV106" s="77">
        <f t="shared" si="99"/>
        <v>786.07582771706188</v>
      </c>
      <c r="AW106" s="77">
        <f t="shared" si="99"/>
        <v>720.36754727441826</v>
      </c>
      <c r="AX106" s="77">
        <f t="shared" si="99"/>
        <v>727.37127699481312</v>
      </c>
      <c r="AY106" s="77">
        <f t="shared" si="99"/>
        <v>817.6331547604691</v>
      </c>
      <c r="AZ106" s="77">
        <f t="shared" si="99"/>
        <v>862.74016925045703</v>
      </c>
      <c r="BA106" s="77">
        <f t="shared" si="99"/>
        <v>830.29663741304512</v>
      </c>
      <c r="BB106" s="77">
        <f t="shared" si="99"/>
        <v>842.14493056715696</v>
      </c>
      <c r="BC106" s="77">
        <f t="shared" si="99"/>
        <v>1781.3257656377898</v>
      </c>
      <c r="BD106" s="77">
        <f t="shared" si="99"/>
        <v>3031.603127664981</v>
      </c>
      <c r="BE106" s="77">
        <f t="shared" si="99"/>
        <v>4518.1940245289197</v>
      </c>
      <c r="BF106" s="77">
        <f t="shared" si="99"/>
        <v>6256.0752928427419</v>
      </c>
    </row>
    <row r="107" spans="1:77" ht="12" thickBot="1">
      <c r="A107" s="69" t="s">
        <v>36</v>
      </c>
      <c r="B107" s="76">
        <f>'Monthly Ethanol Data'!$I169*42/1000</f>
        <v>76.397999999999996</v>
      </c>
      <c r="C107" s="76">
        <f>'Monthly Ethanol Data'!$I181*42/1000</f>
        <v>181.608</v>
      </c>
      <c r="D107" s="76">
        <f>'Monthly Ethanol Data'!$I193*42/1000</f>
        <v>43.68</v>
      </c>
      <c r="E107" s="76">
        <f>'Monthly Ethanol Data'!$I205*42/1000</f>
        <v>135.114</v>
      </c>
      <c r="F107" s="76">
        <f>'Monthly Ethanol Data'!$I217*42/1000</f>
        <v>149.77199999999999</v>
      </c>
      <c r="G107" s="76">
        <f>'Monthly Ethanol Data'!$I229*42/1000</f>
        <v>199.08</v>
      </c>
      <c r="H107" s="76">
        <f>'Monthly Ethanol Data'!$I241*42/1000</f>
        <v>192.44399999999999</v>
      </c>
      <c r="I107" s="76">
        <f>'Monthly Ethanol Data'!$I253*42/1000</f>
        <v>177.49199999999999</v>
      </c>
      <c r="J107" s="76">
        <f>'Monthly Ethanol Data'!$I265*42/1000</f>
        <v>260.904</v>
      </c>
      <c r="K107" s="76">
        <f>'Monthly Ethanol Data'!$I277*42/1000</f>
        <v>283.24799999999999</v>
      </c>
      <c r="L107" s="76">
        <f>'Monthly Ethanol Data'!$I289*42/1000</f>
        <v>267.41399999999999</v>
      </c>
      <c r="M107" s="76">
        <f>'Monthly Ethanol Data'!$I301*42/1000</f>
        <v>226.71600000000001</v>
      </c>
      <c r="N107" s="76">
        <f>'Monthly Ethanol Data'!$I313*42/1000</f>
        <v>383.58600000000001</v>
      </c>
      <c r="O107" s="76">
        <f>'Monthly Ethanol Data'!$I325*42/1000</f>
        <v>462.46199999999999</v>
      </c>
      <c r="P107" s="76">
        <f>'Monthly Ethanol Data'!$I337*42/1000</f>
        <v>620.38199999999995</v>
      </c>
      <c r="Q107" s="76">
        <f>'Monthly Ethanol Data'!$I349*42/1000</f>
        <v>616.18200000000002</v>
      </c>
      <c r="R107" s="76">
        <f>'Monthly Ethanol Data'!$I361*42/1000</f>
        <v>729.96</v>
      </c>
      <c r="S107" s="76">
        <f>'Monthly Ethanol Data'!$I373*42/1000</f>
        <v>761.16600000000005</v>
      </c>
      <c r="T107" s="76">
        <f>'Monthly Ethanol Data'!$I385*42/1000</f>
        <v>805.56</v>
      </c>
      <c r="U107" s="76">
        <f>'Monthly Ethanol Data'!$I397*42/1000</f>
        <v>711.69</v>
      </c>
      <c r="V107" s="76">
        <f>'Monthly Ethanol Data'!$I409*42/1000</f>
        <v>765.15599999999995</v>
      </c>
      <c r="W107" s="76">
        <f>'Monthly Ethanol Data'!$I421*42/1000</f>
        <v>814.38</v>
      </c>
      <c r="X107" s="76">
        <f>'Monthly Ethanol Data'!$I433*42/1000</f>
        <v>890.31600000000003</v>
      </c>
      <c r="Y107" s="76">
        <f>'Monthly Ethanol Data'!$I445*42/1000</f>
        <v>889.81200000000001</v>
      </c>
      <c r="Z107" s="76">
        <f>'Monthly Ethanol Data'!$I457*42/1000</f>
        <v>958.60799999999995</v>
      </c>
      <c r="AA107" s="76">
        <f>'Monthly Ethanol Data'!$I469*42/1000</f>
        <v>954.53399999999999</v>
      </c>
      <c r="AB107" s="76">
        <f>'Monthly Ethanol Data'!$I481*42/1000</f>
        <v>845.96400000000006</v>
      </c>
      <c r="AC107" s="76">
        <f>'Monthly Ethanol Data'!$I493*42/1000</f>
        <v>887.67</v>
      </c>
      <c r="AD107" s="76">
        <f>'Monthly Ethanol Data'!$I505*42/1000</f>
        <v>987.37800000000004</v>
      </c>
      <c r="AE107" s="76">
        <f>'Monthly Ethanol Data'!$I517*42/1000</f>
        <v>915.6</v>
      </c>
      <c r="AF107" s="76">
        <f>'Monthly Ethanol Data'!I529*42/1000</f>
        <v>999.47400000000005</v>
      </c>
      <c r="AG107" s="77">
        <f t="shared" si="100"/>
        <v>681.35056917102293</v>
      </c>
      <c r="AH107" s="77">
        <f t="shared" si="100"/>
        <v>608.81760288595956</v>
      </c>
      <c r="AI107" s="77">
        <f t="shared" si="100"/>
        <v>687.31884041394324</v>
      </c>
      <c r="AJ107" s="77">
        <f t="shared" si="100"/>
        <v>639.76955506088461</v>
      </c>
      <c r="AK107" s="77">
        <f t="shared" si="100"/>
        <v>630.03838911642697</v>
      </c>
      <c r="AL107" s="77">
        <f t="shared" si="100"/>
        <v>664.78594614769622</v>
      </c>
      <c r="AM107" s="77">
        <f t="shared" si="99"/>
        <v>699.64650308791079</v>
      </c>
      <c r="AN107" s="77">
        <f t="shared" si="99"/>
        <v>660.32414022473017</v>
      </c>
      <c r="AO107" s="77">
        <f t="shared" si="99"/>
        <v>690.16602842218708</v>
      </c>
      <c r="AP107" s="77">
        <f t="shared" si="99"/>
        <v>698.49030520199722</v>
      </c>
      <c r="AQ107" s="77">
        <f t="shared" si="99"/>
        <v>733.37309845352365</v>
      </c>
      <c r="AR107" s="77">
        <f t="shared" si="99"/>
        <v>701.48194341779617</v>
      </c>
      <c r="AS107" s="77">
        <f t="shared" si="99"/>
        <v>699.29383582392256</v>
      </c>
      <c r="AT107" s="77">
        <f t="shared" si="99"/>
        <v>727.59047264284163</v>
      </c>
      <c r="AU107" s="77">
        <f t="shared" si="99"/>
        <v>788.70390660452904</v>
      </c>
      <c r="AV107" s="77">
        <f t="shared" si="99"/>
        <v>783.52616369228372</v>
      </c>
      <c r="AW107" s="77">
        <f t="shared" si="99"/>
        <v>713.52934748907774</v>
      </c>
      <c r="AX107" s="77">
        <f t="shared" si="99"/>
        <v>744.96640643609999</v>
      </c>
      <c r="AY107" s="77">
        <f t="shared" si="99"/>
        <v>799.08278675853808</v>
      </c>
      <c r="AZ107" s="77">
        <f t="shared" si="99"/>
        <v>839.36311578167624</v>
      </c>
      <c r="BA107" s="77">
        <f t="shared" si="99"/>
        <v>796.27682381710883</v>
      </c>
      <c r="BB107" s="77">
        <f t="shared" si="99"/>
        <v>806.20882204207055</v>
      </c>
      <c r="BC107" s="77">
        <f t="shared" si="99"/>
        <v>1808.5265831526685</v>
      </c>
      <c r="BD107" s="77">
        <f t="shared" si="99"/>
        <v>3065.0204846959814</v>
      </c>
      <c r="BE107" s="77">
        <f t="shared" si="99"/>
        <v>4561.9898904834745</v>
      </c>
      <c r="BF107" s="77">
        <f t="shared" si="99"/>
        <v>6310.4971116238366</v>
      </c>
    </row>
    <row r="108" spans="1:77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</row>
    <row r="109" spans="1:77">
      <c r="Z109" s="76"/>
      <c r="AA109" s="76"/>
      <c r="AB109" s="76"/>
      <c r="AC109" s="76"/>
    </row>
    <row r="110" spans="1:77">
      <c r="A110" s="69" t="s">
        <v>153</v>
      </c>
      <c r="Z110" s="76"/>
      <c r="AA110" s="76"/>
      <c r="AB110" s="76"/>
      <c r="AC110" s="76"/>
    </row>
    <row r="111" spans="1:77" ht="12" thickBot="1">
      <c r="A111" s="69" t="s">
        <v>154</v>
      </c>
      <c r="Z111" s="76"/>
      <c r="AA111" s="76"/>
      <c r="AB111" s="76"/>
      <c r="AC111" s="76"/>
      <c r="BW111" s="292" t="s">
        <v>155</v>
      </c>
      <c r="BX111" s="293" t="s">
        <v>156</v>
      </c>
      <c r="BY111" s="293"/>
    </row>
    <row r="112" spans="1:77" ht="12" thickBot="1">
      <c r="A112" s="84"/>
      <c r="B112" s="85" t="s">
        <v>66</v>
      </c>
      <c r="C112" s="86" t="s">
        <v>67</v>
      </c>
      <c r="D112" s="86" t="s">
        <v>68</v>
      </c>
      <c r="E112" s="86" t="s">
        <v>69</v>
      </c>
      <c r="F112" s="86" t="s">
        <v>70</v>
      </c>
      <c r="G112" s="86" t="s">
        <v>71</v>
      </c>
      <c r="H112" s="86" t="s">
        <v>72</v>
      </c>
      <c r="I112" s="86" t="s">
        <v>73</v>
      </c>
      <c r="J112" s="86" t="s">
        <v>74</v>
      </c>
      <c r="K112" s="86" t="s">
        <v>75</v>
      </c>
      <c r="L112" s="86" t="s">
        <v>76</v>
      </c>
      <c r="M112" s="86" t="s">
        <v>77</v>
      </c>
      <c r="N112" s="86" t="s">
        <v>78</v>
      </c>
      <c r="O112" s="86" t="s">
        <v>79</v>
      </c>
      <c r="P112" s="86" t="s">
        <v>80</v>
      </c>
      <c r="Q112" s="86" t="s">
        <v>81</v>
      </c>
      <c r="R112" s="86" t="s">
        <v>82</v>
      </c>
      <c r="S112" s="86" t="s">
        <v>83</v>
      </c>
      <c r="T112" s="86" t="s">
        <v>84</v>
      </c>
      <c r="U112" s="86" t="s">
        <v>85</v>
      </c>
      <c r="V112" s="86" t="s">
        <v>86</v>
      </c>
      <c r="W112" s="86" t="s">
        <v>87</v>
      </c>
      <c r="X112" s="86" t="s">
        <v>88</v>
      </c>
      <c r="Y112" s="86" t="s">
        <v>89</v>
      </c>
      <c r="Z112" s="86" t="s">
        <v>90</v>
      </c>
      <c r="AA112" s="86" t="s">
        <v>91</v>
      </c>
      <c r="AB112" s="86" t="s">
        <v>92</v>
      </c>
      <c r="AC112" s="86" t="s">
        <v>93</v>
      </c>
      <c r="AD112" s="86" t="s">
        <v>94</v>
      </c>
      <c r="AE112" s="86" t="str">
        <f>AE2</f>
        <v>22/23</v>
      </c>
      <c r="AF112" s="86" t="str">
        <f t="shared" ref="AF112:BF112" si="101">AF2</f>
        <v>23/24</v>
      </c>
      <c r="AG112" s="86" t="str">
        <f t="shared" si="101"/>
        <v>24/25</v>
      </c>
      <c r="AH112" s="86" t="str">
        <f t="shared" si="101"/>
        <v>25/26</v>
      </c>
      <c r="AI112" s="86" t="str">
        <f t="shared" si="101"/>
        <v>26/27</v>
      </c>
      <c r="AJ112" s="86" t="str">
        <f t="shared" si="101"/>
        <v>27/28</v>
      </c>
      <c r="AK112" s="86" t="str">
        <f t="shared" si="101"/>
        <v>28/29</v>
      </c>
      <c r="AL112" s="86" t="str">
        <f t="shared" si="101"/>
        <v>29/30</v>
      </c>
      <c r="AM112" s="86" t="str">
        <f t="shared" si="101"/>
        <v>30/31</v>
      </c>
      <c r="AN112" s="86" t="str">
        <f t="shared" si="101"/>
        <v>31/32</v>
      </c>
      <c r="AO112" s="86" t="str">
        <f t="shared" si="101"/>
        <v>32/33</v>
      </c>
      <c r="AP112" s="86" t="str">
        <f t="shared" si="101"/>
        <v>33/34</v>
      </c>
      <c r="AQ112" s="86" t="str">
        <f t="shared" si="101"/>
        <v>34/35</v>
      </c>
      <c r="AR112" s="86" t="str">
        <f t="shared" si="101"/>
        <v>35/36</v>
      </c>
      <c r="AS112" s="86" t="str">
        <f t="shared" si="101"/>
        <v>36/37</v>
      </c>
      <c r="AT112" s="86" t="str">
        <f t="shared" si="101"/>
        <v>37/38</v>
      </c>
      <c r="AU112" s="86" t="str">
        <f t="shared" si="101"/>
        <v>38/39</v>
      </c>
      <c r="AV112" s="86" t="str">
        <f t="shared" si="101"/>
        <v>39/40</v>
      </c>
      <c r="AW112" s="86" t="str">
        <f t="shared" si="101"/>
        <v>40/41</v>
      </c>
      <c r="AX112" s="86" t="str">
        <f t="shared" si="101"/>
        <v>41/42</v>
      </c>
      <c r="AY112" s="86" t="str">
        <f t="shared" si="101"/>
        <v>42/43</v>
      </c>
      <c r="AZ112" s="86" t="str">
        <f t="shared" si="101"/>
        <v>43/44</v>
      </c>
      <c r="BA112" s="86" t="str">
        <f t="shared" si="101"/>
        <v>44/45</v>
      </c>
      <c r="BB112" s="86" t="str">
        <f t="shared" si="101"/>
        <v>45/46</v>
      </c>
      <c r="BC112" s="86" t="str">
        <f t="shared" si="101"/>
        <v>42/47</v>
      </c>
      <c r="BD112" s="86" t="str">
        <f t="shared" si="101"/>
        <v>42/48</v>
      </c>
      <c r="BE112" s="86" t="str">
        <f t="shared" si="101"/>
        <v>42/49</v>
      </c>
      <c r="BF112" s="86" t="str">
        <f t="shared" si="101"/>
        <v>42/50</v>
      </c>
      <c r="BV112" s="102" t="s">
        <v>157</v>
      </c>
      <c r="BW112" s="292"/>
      <c r="BX112" s="101" t="s">
        <v>157</v>
      </c>
      <c r="BY112" s="101" t="s">
        <v>158</v>
      </c>
    </row>
    <row r="113" spans="1:77">
      <c r="A113" s="69" t="s">
        <v>37</v>
      </c>
      <c r="W113" s="76"/>
      <c r="X113" s="76">
        <f t="shared" ref="X113:AG124" si="102">X129+X145</f>
        <v>427.29300000000001</v>
      </c>
      <c r="Y113" s="76">
        <f t="shared" si="102"/>
        <v>436.79999999999995</v>
      </c>
      <c r="Z113" s="76">
        <f t="shared" si="102"/>
        <v>451.05599999999998</v>
      </c>
      <c r="AA113" s="76">
        <f t="shared" si="102"/>
        <v>454.20400000000001</v>
      </c>
      <c r="AB113" s="76">
        <f t="shared" si="102"/>
        <v>407.96299999999997</v>
      </c>
      <c r="AC113" s="76">
        <f t="shared" si="102"/>
        <v>406.30600000000004</v>
      </c>
      <c r="AD113" s="76">
        <f t="shared" si="102"/>
        <v>412.15800000000002</v>
      </c>
      <c r="AE113" s="76">
        <f t="shared" si="102"/>
        <v>383.27299999999997</v>
      </c>
      <c r="AF113" s="76">
        <f t="shared" si="102"/>
        <v>430.15100000000001</v>
      </c>
      <c r="AG113" s="76">
        <f>AG129+AG145</f>
        <v>445.53000000000003</v>
      </c>
      <c r="AH113" s="77">
        <f t="shared" ref="AH113:BF124" si="103">(AH32/AH193)-AH161-AH$190</f>
        <v>421.01486133052555</v>
      </c>
      <c r="AI113" s="77">
        <f t="shared" si="103"/>
        <v>415.83663691057984</v>
      </c>
      <c r="AJ113" s="77">
        <f t="shared" si="103"/>
        <v>412.6132827706237</v>
      </c>
      <c r="AK113" s="77">
        <f t="shared" si="103"/>
        <v>418.5779733948437</v>
      </c>
      <c r="AL113" s="77">
        <f t="shared" si="103"/>
        <v>420.78943988749381</v>
      </c>
      <c r="AM113" s="77">
        <f t="shared" si="103"/>
        <v>420.77135339299429</v>
      </c>
      <c r="AN113" s="77">
        <f t="shared" si="103"/>
        <v>422.18880199821871</v>
      </c>
      <c r="AO113" s="77">
        <f t="shared" si="103"/>
        <v>423.57235704327638</v>
      </c>
      <c r="AP113" s="77">
        <f t="shared" si="103"/>
        <v>425.84718345167045</v>
      </c>
      <c r="AQ113" s="77">
        <f t="shared" si="103"/>
        <v>427.32185337420793</v>
      </c>
      <c r="AR113" s="77">
        <f t="shared" si="103"/>
        <v>428.6896232592909</v>
      </c>
      <c r="AS113" s="77">
        <f t="shared" si="103"/>
        <v>430.32322682422773</v>
      </c>
      <c r="AT113" s="77">
        <f t="shared" si="103"/>
        <v>432.03507111766999</v>
      </c>
      <c r="AU113" s="77">
        <f t="shared" si="103"/>
        <v>433.78948977963421</v>
      </c>
      <c r="AV113" s="77">
        <f t="shared" si="103"/>
        <v>435.43714373796507</v>
      </c>
      <c r="AW113" s="77">
        <f t="shared" si="103"/>
        <v>437.12671499335869</v>
      </c>
      <c r="AX113" s="77">
        <f t="shared" si="103"/>
        <v>438.87869201471847</v>
      </c>
      <c r="AY113" s="77">
        <f t="shared" si="103"/>
        <v>448.90337224412571</v>
      </c>
      <c r="AZ113" s="77">
        <f t="shared" si="103"/>
        <v>452.22779566281764</v>
      </c>
      <c r="BA113" s="77">
        <f t="shared" si="103"/>
        <v>455.86277050638387</v>
      </c>
      <c r="BB113" s="77">
        <f t="shared" si="103"/>
        <v>459.8897103460402</v>
      </c>
      <c r="BC113" s="77">
        <f t="shared" si="103"/>
        <v>464.3761491392716</v>
      </c>
      <c r="BD113" s="77">
        <f t="shared" si="103"/>
        <v>469.40112197672829</v>
      </c>
      <c r="BE113" s="77">
        <f t="shared" si="103"/>
        <v>473.4418928049929</v>
      </c>
      <c r="BF113" s="77">
        <f t="shared" si="103"/>
        <v>477.62444589994942</v>
      </c>
      <c r="BV113" s="103">
        <f t="shared" ref="BV113:BV124" si="104">AE113/AD113-1</f>
        <v>-7.0082347061078631E-2</v>
      </c>
      <c r="BW113" s="103">
        <f t="shared" ref="BW113:BW124" si="105">AE113/AVERAGE(Z113:AD113)-1</f>
        <v>-0.10101013891814337</v>
      </c>
      <c r="BX113" s="103">
        <f>SUM($AE$113:AE113)/SUM($AD$113:AD113)-1</f>
        <v>-7.0082347061078631E-2</v>
      </c>
      <c r="BY113" s="103">
        <f>SUM(AE$113)/(SUM(Z$113:AD113)/5)-1</f>
        <v>-0.10101013891814337</v>
      </c>
    </row>
    <row r="114" spans="1:77">
      <c r="A114" s="69" t="s">
        <v>38</v>
      </c>
      <c r="W114" s="76"/>
      <c r="X114" s="76">
        <f t="shared" si="102"/>
        <v>441.42399999999998</v>
      </c>
      <c r="Y114" s="76">
        <f t="shared" si="102"/>
        <v>451.67199999999997</v>
      </c>
      <c r="Z114" s="76">
        <f t="shared" si="102"/>
        <v>465.55100000000004</v>
      </c>
      <c r="AA114" s="76">
        <f t="shared" si="102"/>
        <v>459.98699999999997</v>
      </c>
      <c r="AB114" s="76">
        <f t="shared" si="102"/>
        <v>433.83</v>
      </c>
      <c r="AC114" s="76">
        <f t="shared" si="102"/>
        <v>431.99099999999999</v>
      </c>
      <c r="AD114" s="76">
        <f t="shared" si="102"/>
        <v>464.66099999999994</v>
      </c>
      <c r="AE114" s="76">
        <f t="shared" si="102"/>
        <v>448.61599999999999</v>
      </c>
      <c r="AF114" s="76">
        <f t="shared" si="102"/>
        <v>460.03000000000003</v>
      </c>
      <c r="AG114" s="76">
        <f t="shared" si="102"/>
        <v>466.66300000000001</v>
      </c>
      <c r="AH114" s="77">
        <f t="shared" si="103"/>
        <v>461.73251203148749</v>
      </c>
      <c r="AI114" s="77">
        <f t="shared" si="103"/>
        <v>460.30187619842445</v>
      </c>
      <c r="AJ114" s="77">
        <f t="shared" si="103"/>
        <v>461.4679135383401</v>
      </c>
      <c r="AK114" s="77">
        <f t="shared" si="103"/>
        <v>465.91369791387785</v>
      </c>
      <c r="AL114" s="77">
        <f t="shared" si="103"/>
        <v>464.91942987026812</v>
      </c>
      <c r="AM114" s="77">
        <f t="shared" si="103"/>
        <v>465.93198937807546</v>
      </c>
      <c r="AN114" s="77">
        <f t="shared" si="103"/>
        <v>468.55137289084422</v>
      </c>
      <c r="AO114" s="77">
        <f t="shared" si="103"/>
        <v>470.23872493923437</v>
      </c>
      <c r="AP114" s="77">
        <f t="shared" si="103"/>
        <v>472.01249781117235</v>
      </c>
      <c r="AQ114" s="77">
        <f t="shared" si="103"/>
        <v>473.27967309326897</v>
      </c>
      <c r="AR114" s="77">
        <f t="shared" si="103"/>
        <v>475.02952485186751</v>
      </c>
      <c r="AS114" s="77">
        <f t="shared" si="103"/>
        <v>476.92607967466597</v>
      </c>
      <c r="AT114" s="77">
        <f t="shared" si="103"/>
        <v>478.6623789144457</v>
      </c>
      <c r="AU114" s="77">
        <f t="shared" si="103"/>
        <v>480.41091238814039</v>
      </c>
      <c r="AV114" s="77">
        <f t="shared" si="103"/>
        <v>482.16136655466437</v>
      </c>
      <c r="AW114" s="77">
        <f t="shared" si="103"/>
        <v>484.00963959337486</v>
      </c>
      <c r="AX114" s="77">
        <f t="shared" si="103"/>
        <v>485.8745534441901</v>
      </c>
      <c r="AY114" s="77">
        <f t="shared" si="103"/>
        <v>513.49288505799836</v>
      </c>
      <c r="AZ114" s="77">
        <f t="shared" si="103"/>
        <v>520.35099767922975</v>
      </c>
      <c r="BA114" s="77">
        <f t="shared" si="103"/>
        <v>528.21540881835358</v>
      </c>
      <c r="BB114" s="77">
        <f t="shared" si="103"/>
        <v>537.28204492754344</v>
      </c>
      <c r="BC114" s="77">
        <f t="shared" si="103"/>
        <v>547.76811281339315</v>
      </c>
      <c r="BD114" s="77">
        <f t="shared" si="103"/>
        <v>559.95037008679367</v>
      </c>
      <c r="BE114" s="77">
        <f t="shared" si="103"/>
        <v>569.09751796747048</v>
      </c>
      <c r="BF114" s="77">
        <f t="shared" si="103"/>
        <v>578.69540621341457</v>
      </c>
      <c r="BV114" s="103">
        <f t="shared" si="104"/>
        <v>-3.4530550229091683E-2</v>
      </c>
      <c r="BW114" s="103">
        <f t="shared" si="105"/>
        <v>-5.7357647538586187E-3</v>
      </c>
      <c r="BX114" s="103">
        <f>SUM($AE$113:AE114)/SUM($AD$113:AD114)-1</f>
        <v>-5.1242046534119456E-2</v>
      </c>
      <c r="BY114" s="103">
        <f>SUM(AE$113:AE114)/(SUM(Z$113:AD114)/5)-1</f>
        <v>-5.2023072643638146E-2</v>
      </c>
    </row>
    <row r="115" spans="1:77">
      <c r="A115" s="69" t="s">
        <v>39</v>
      </c>
      <c r="W115" s="76"/>
      <c r="X115" s="76">
        <f t="shared" si="102"/>
        <v>437.84100000000001</v>
      </c>
      <c r="Y115" s="76">
        <f t="shared" si="102"/>
        <v>456.96199999999999</v>
      </c>
      <c r="Z115" s="76">
        <f t="shared" si="102"/>
        <v>476.90699999999998</v>
      </c>
      <c r="AA115" s="76">
        <f t="shared" si="102"/>
        <v>456.80599999999998</v>
      </c>
      <c r="AB115" s="76">
        <f t="shared" si="102"/>
        <v>461.17699999999996</v>
      </c>
      <c r="AC115" s="76">
        <f t="shared" si="102"/>
        <v>432.51900000000001</v>
      </c>
      <c r="AD115" s="76">
        <f t="shared" si="102"/>
        <v>467.91300000000001</v>
      </c>
      <c r="AE115" s="76">
        <f t="shared" si="102"/>
        <v>450.53500000000003</v>
      </c>
      <c r="AF115" s="76">
        <f t="shared" si="102"/>
        <v>457.28500000000003</v>
      </c>
      <c r="AG115" s="76">
        <f t="shared" si="102"/>
        <v>471.56299999999999</v>
      </c>
      <c r="AH115" s="77">
        <f t="shared" si="103"/>
        <v>453.80761520657563</v>
      </c>
      <c r="AI115" s="77">
        <f t="shared" si="103"/>
        <v>451.53088401697119</v>
      </c>
      <c r="AJ115" s="77">
        <f t="shared" si="103"/>
        <v>447.50651892241473</v>
      </c>
      <c r="AK115" s="77">
        <f t="shared" si="103"/>
        <v>447.50961150811395</v>
      </c>
      <c r="AL115" s="77">
        <f t="shared" si="103"/>
        <v>447.55917775924053</v>
      </c>
      <c r="AM115" s="77">
        <f t="shared" si="103"/>
        <v>452.7845147644835</v>
      </c>
      <c r="AN115" s="77">
        <f t="shared" si="103"/>
        <v>454.01158848266471</v>
      </c>
      <c r="AO115" s="77">
        <f t="shared" si="103"/>
        <v>454.60605145116682</v>
      </c>
      <c r="AP115" s="77">
        <f t="shared" si="103"/>
        <v>456.0655609181411</v>
      </c>
      <c r="AQ115" s="77">
        <f t="shared" si="103"/>
        <v>457.82279290600945</v>
      </c>
      <c r="AR115" s="77">
        <f t="shared" si="103"/>
        <v>459.98008747351832</v>
      </c>
      <c r="AS115" s="77">
        <f t="shared" si="103"/>
        <v>461.44123015191764</v>
      </c>
      <c r="AT115" s="77">
        <f t="shared" si="103"/>
        <v>463.01493280722104</v>
      </c>
      <c r="AU115" s="77">
        <f t="shared" si="103"/>
        <v>464.75796081970969</v>
      </c>
      <c r="AV115" s="77">
        <f t="shared" si="103"/>
        <v>466.56628401705598</v>
      </c>
      <c r="AW115" s="77">
        <f t="shared" si="103"/>
        <v>468.38578074583529</v>
      </c>
      <c r="AX115" s="77">
        <f t="shared" si="103"/>
        <v>470.12773665527783</v>
      </c>
      <c r="AY115" s="77">
        <f t="shared" si="103"/>
        <v>494.32987481153845</v>
      </c>
      <c r="AZ115" s="77">
        <f t="shared" si="103"/>
        <v>500.49511642311285</v>
      </c>
      <c r="BA115" s="77">
        <f t="shared" si="103"/>
        <v>507.53358594650905</v>
      </c>
      <c r="BB115" s="77">
        <f t="shared" si="103"/>
        <v>515.59989504178384</v>
      </c>
      <c r="BC115" s="77">
        <f t="shared" si="103"/>
        <v>524.89435270666741</v>
      </c>
      <c r="BD115" s="77">
        <f t="shared" si="103"/>
        <v>535.67700176926326</v>
      </c>
      <c r="BE115" s="77">
        <f t="shared" si="103"/>
        <v>543.81872964421586</v>
      </c>
      <c r="BF115" s="77">
        <f t="shared" si="103"/>
        <v>552.35056298440861</v>
      </c>
      <c r="BV115" s="103">
        <f t="shared" si="104"/>
        <v>-3.713938274850237E-2</v>
      </c>
      <c r="BW115" s="103">
        <f t="shared" si="105"/>
        <v>-1.8579963944056699E-2</v>
      </c>
      <c r="BX115" s="103">
        <f>SUM($AE$113:AE115)/SUM($AD$113:AD115)-1</f>
        <v>-4.6334883084510503E-2</v>
      </c>
      <c r="BY115" s="103">
        <f>SUM(AE$113:AE115)/(SUM(Z$113:AD115)/5)-1</f>
        <v>-4.0536858361679862E-2</v>
      </c>
    </row>
    <row r="116" spans="1:77">
      <c r="A116" s="69" t="s">
        <v>40</v>
      </c>
      <c r="W116" s="76"/>
      <c r="X116" s="76">
        <f t="shared" si="102"/>
        <v>448.25</v>
      </c>
      <c r="Y116" s="76">
        <f t="shared" si="102"/>
        <v>474.26499999999999</v>
      </c>
      <c r="Z116" s="76">
        <f t="shared" si="102"/>
        <v>484.58399999999995</v>
      </c>
      <c r="AA116" s="76">
        <f t="shared" si="102"/>
        <v>456.59100000000001</v>
      </c>
      <c r="AB116" s="76">
        <f t="shared" si="102"/>
        <v>478.41300000000001</v>
      </c>
      <c r="AC116" s="76">
        <f t="shared" si="102"/>
        <v>429.49799999999999</v>
      </c>
      <c r="AD116" s="76">
        <f t="shared" si="102"/>
        <v>474.88</v>
      </c>
      <c r="AE116" s="76">
        <f t="shared" si="102"/>
        <v>425.78800000000001</v>
      </c>
      <c r="AF116" s="76">
        <f t="shared" si="102"/>
        <v>483.99900000000002</v>
      </c>
      <c r="AG116" s="76">
        <f t="shared" si="102"/>
        <v>479.66300000000001</v>
      </c>
      <c r="AH116" s="77">
        <f t="shared" si="103"/>
        <v>458.6032729229857</v>
      </c>
      <c r="AI116" s="77">
        <f t="shared" si="103"/>
        <v>464.64410962960324</v>
      </c>
      <c r="AJ116" s="77">
        <f t="shared" si="103"/>
        <v>458.87906245398852</v>
      </c>
      <c r="AK116" s="77">
        <f t="shared" si="103"/>
        <v>464.24625526524238</v>
      </c>
      <c r="AL116" s="77">
        <f t="shared" si="103"/>
        <v>464.83129830008477</v>
      </c>
      <c r="AM116" s="77">
        <f t="shared" si="103"/>
        <v>465.46957455293733</v>
      </c>
      <c r="AN116" s="77">
        <f t="shared" si="103"/>
        <v>468.39460095057137</v>
      </c>
      <c r="AO116" s="77">
        <f t="shared" si="103"/>
        <v>469.17766734323351</v>
      </c>
      <c r="AP116" s="77">
        <f t="shared" si="103"/>
        <v>471.29291927244253</v>
      </c>
      <c r="AQ116" s="77">
        <f t="shared" si="103"/>
        <v>472.74484306507537</v>
      </c>
      <c r="AR116" s="77">
        <f t="shared" si="103"/>
        <v>474.43489999655066</v>
      </c>
      <c r="AS116" s="77">
        <f t="shared" si="103"/>
        <v>476.26133136976097</v>
      </c>
      <c r="AT116" s="77">
        <f t="shared" si="103"/>
        <v>477.9105583407715</v>
      </c>
      <c r="AU116" s="77">
        <f t="shared" si="103"/>
        <v>479.72536390906703</v>
      </c>
      <c r="AV116" s="77">
        <f t="shared" si="103"/>
        <v>481.48174126844361</v>
      </c>
      <c r="AW116" s="77">
        <f t="shared" si="103"/>
        <v>483.30232328365747</v>
      </c>
      <c r="AX116" s="77">
        <f t="shared" si="103"/>
        <v>485.13809584916845</v>
      </c>
      <c r="AY116" s="77">
        <f t="shared" si="103"/>
        <v>515.62234854028463</v>
      </c>
      <c r="AZ116" s="77">
        <f t="shared" si="103"/>
        <v>523.04779940229582</v>
      </c>
      <c r="BA116" s="77">
        <f t="shared" si="103"/>
        <v>531.57845601494739</v>
      </c>
      <c r="BB116" s="77">
        <f t="shared" si="103"/>
        <v>541.44143131081182</v>
      </c>
      <c r="BC116" s="77">
        <f t="shared" si="103"/>
        <v>552.88525375892982</v>
      </c>
      <c r="BD116" s="77">
        <f t="shared" si="103"/>
        <v>566.22195758545968</v>
      </c>
      <c r="BE116" s="77">
        <f t="shared" si="103"/>
        <v>576.18482498041124</v>
      </c>
      <c r="BF116" s="77">
        <f t="shared" si="103"/>
        <v>586.64778493484221</v>
      </c>
      <c r="BV116" s="104">
        <f t="shared" si="104"/>
        <v>-0.10337769541778974</v>
      </c>
      <c r="BW116" s="104">
        <f t="shared" si="105"/>
        <v>-8.3919472143740403E-2</v>
      </c>
      <c r="BX116" s="104">
        <f>SUM($AE$113:AE116)/SUM($AD$113:AD116)-1</f>
        <v>-6.1221842898376178E-2</v>
      </c>
      <c r="BY116" s="104">
        <f>SUM(AE$113:AE116)/(SUM(Z$113:AD116)/5)-1</f>
        <v>-5.1730349578299695E-2</v>
      </c>
    </row>
    <row r="117" spans="1:77">
      <c r="A117" s="69" t="s">
        <v>30</v>
      </c>
      <c r="W117" s="76">
        <f t="shared" ref="W117:W124" si="106">W133+W148</f>
        <v>443.89</v>
      </c>
      <c r="X117" s="76">
        <f t="shared" si="102"/>
        <v>440.435</v>
      </c>
      <c r="Y117" s="76">
        <f t="shared" si="102"/>
        <v>465.38299999999998</v>
      </c>
      <c r="Z117" s="76">
        <f t="shared" si="102"/>
        <v>471.77800000000002</v>
      </c>
      <c r="AA117" s="76">
        <f t="shared" si="102"/>
        <v>441.07499999999999</v>
      </c>
      <c r="AB117" s="76">
        <f t="shared" si="102"/>
        <v>465.96800000000002</v>
      </c>
      <c r="AC117" s="76">
        <f t="shared" si="102"/>
        <v>403.82599999999996</v>
      </c>
      <c r="AD117" s="76">
        <f t="shared" si="102"/>
        <v>455.42499999999995</v>
      </c>
      <c r="AE117" s="76">
        <f t="shared" si="102"/>
        <v>440.96100000000001</v>
      </c>
      <c r="AF117" s="76">
        <f t="shared" si="102"/>
        <v>441.07600000000002</v>
      </c>
      <c r="AG117" s="76">
        <f t="shared" si="102"/>
        <v>467.92700000000002</v>
      </c>
      <c r="AH117" s="77">
        <f t="shared" si="103"/>
        <v>436.84466446467263</v>
      </c>
      <c r="AI117" s="77">
        <f t="shared" si="103"/>
        <v>443.79878507256331</v>
      </c>
      <c r="AJ117" s="77">
        <f t="shared" si="103"/>
        <v>445.4526482472279</v>
      </c>
      <c r="AK117" s="77">
        <f t="shared" si="103"/>
        <v>446.81063121040546</v>
      </c>
      <c r="AL117" s="77">
        <f t="shared" si="103"/>
        <v>448.24847235826195</v>
      </c>
      <c r="AM117" s="77">
        <f t="shared" si="103"/>
        <v>449.06989483470693</v>
      </c>
      <c r="AN117" s="77">
        <f t="shared" si="103"/>
        <v>451.2587901305705</v>
      </c>
      <c r="AO117" s="77">
        <f t="shared" si="103"/>
        <v>452.73237143956942</v>
      </c>
      <c r="AP117" s="77">
        <f t="shared" si="103"/>
        <v>454.22880959734408</v>
      </c>
      <c r="AQ117" s="77">
        <f t="shared" si="103"/>
        <v>455.78795080535303</v>
      </c>
      <c r="AR117" s="77">
        <f t="shared" si="103"/>
        <v>457.39016680043392</v>
      </c>
      <c r="AS117" s="77">
        <f t="shared" si="103"/>
        <v>459.09164657738114</v>
      </c>
      <c r="AT117" s="77">
        <f t="shared" si="103"/>
        <v>460.72073431047869</v>
      </c>
      <c r="AU117" s="77">
        <f t="shared" si="103"/>
        <v>462.38950059290875</v>
      </c>
      <c r="AV117" s="77">
        <f t="shared" si="103"/>
        <v>464.09390818311959</v>
      </c>
      <c r="AW117" s="77">
        <f t="shared" si="103"/>
        <v>465.82343369758547</v>
      </c>
      <c r="AX117" s="77">
        <f t="shared" si="103"/>
        <v>496.5288206133622</v>
      </c>
      <c r="AY117" s="77">
        <f t="shared" si="103"/>
        <v>505.71337371229652</v>
      </c>
      <c r="AZ117" s="77">
        <f t="shared" si="103"/>
        <v>514.57379108286727</v>
      </c>
      <c r="BA117" s="77">
        <f t="shared" si="103"/>
        <v>524.8488014944744</v>
      </c>
      <c r="BB117" s="77">
        <f t="shared" si="103"/>
        <v>536.80886928664165</v>
      </c>
      <c r="BC117" s="77">
        <f t="shared" si="103"/>
        <v>550.78131876162001</v>
      </c>
      <c r="BD117" s="77">
        <f t="shared" si="103"/>
        <v>561.46452587518388</v>
      </c>
      <c r="BE117" s="77">
        <f t="shared" si="103"/>
        <v>572.44253825368423</v>
      </c>
      <c r="BF117" s="77">
        <f t="shared" si="103"/>
        <v>583.83751386618815</v>
      </c>
      <c r="BV117" s="104">
        <f t="shared" si="104"/>
        <v>-3.1759345666135919E-2</v>
      </c>
      <c r="BW117" s="104">
        <f t="shared" si="105"/>
        <v>-1.4864133057381657E-2</v>
      </c>
      <c r="BX117" s="104">
        <f>SUM($AE$113:AE117)/SUM($AD$113:AD117)-1</f>
        <v>-5.5323935390941048E-2</v>
      </c>
      <c r="BY117" s="104">
        <f>SUM(AE$113:AE117)/(SUM(Z$113:AD117)/5)-1</f>
        <v>-4.4392976938243067E-2</v>
      </c>
    </row>
    <row r="118" spans="1:77">
      <c r="A118" s="69" t="s">
        <v>31</v>
      </c>
      <c r="W118" s="76">
        <f t="shared" si="106"/>
        <v>394.08299999999997</v>
      </c>
      <c r="X118" s="76">
        <f t="shared" si="102"/>
        <v>424.99299999999999</v>
      </c>
      <c r="Y118" s="76">
        <f t="shared" si="102"/>
        <v>429.03299999999996</v>
      </c>
      <c r="Z118" s="76">
        <f>Z134+Z150</f>
        <v>437.31399999999996</v>
      </c>
      <c r="AA118" s="76">
        <f t="shared" si="102"/>
        <v>406.39000000000004</v>
      </c>
      <c r="AB118" s="76">
        <f t="shared" si="102"/>
        <v>429.57900000000001</v>
      </c>
      <c r="AC118" s="76">
        <f t="shared" si="102"/>
        <v>336.02199999999999</v>
      </c>
      <c r="AD118" s="76">
        <f t="shared" si="102"/>
        <v>412.06100000000004</v>
      </c>
      <c r="AE118" s="76">
        <f t="shared" si="102"/>
        <v>398.75299999999999</v>
      </c>
      <c r="AF118" s="76">
        <f t="shared" si="102"/>
        <v>445.48400000000004</v>
      </c>
      <c r="AG118" s="77">
        <f t="shared" ref="AG118:AL121" si="107">(AG37/AG198)-AG166-AG$190</f>
        <v>427.75508835794142</v>
      </c>
      <c r="AH118" s="77">
        <f t="shared" si="107"/>
        <v>411.29909954950256</v>
      </c>
      <c r="AI118" s="77">
        <f t="shared" si="107"/>
        <v>420.15444884481497</v>
      </c>
      <c r="AJ118" s="77">
        <f t="shared" si="107"/>
        <v>424.14470018152178</v>
      </c>
      <c r="AK118" s="77">
        <f t="shared" si="107"/>
        <v>426.29413903199764</v>
      </c>
      <c r="AL118" s="77">
        <f t="shared" si="107"/>
        <v>422.89368560700507</v>
      </c>
      <c r="AM118" s="77">
        <f t="shared" si="103"/>
        <v>425.2752480230443</v>
      </c>
      <c r="AN118" s="77">
        <f t="shared" si="103"/>
        <v>427.71108727526587</v>
      </c>
      <c r="AO118" s="77">
        <f t="shared" si="103"/>
        <v>429.37847387343129</v>
      </c>
      <c r="AP118" s="77">
        <f t="shared" si="103"/>
        <v>430.47685107760918</v>
      </c>
      <c r="AQ118" s="77">
        <f t="shared" si="103"/>
        <v>431.34360349100604</v>
      </c>
      <c r="AR118" s="77">
        <f t="shared" si="103"/>
        <v>433.08974347006836</v>
      </c>
      <c r="AS118" s="77">
        <f t="shared" si="103"/>
        <v>434.70212352079432</v>
      </c>
      <c r="AT118" s="77">
        <f t="shared" si="103"/>
        <v>436.18933631097576</v>
      </c>
      <c r="AU118" s="77">
        <f t="shared" si="103"/>
        <v>437.60770131797528</v>
      </c>
      <c r="AV118" s="77">
        <f t="shared" si="103"/>
        <v>439.09461839598356</v>
      </c>
      <c r="AW118" s="77">
        <f t="shared" si="103"/>
        <v>440.70920626171903</v>
      </c>
      <c r="AX118" s="77">
        <f t="shared" si="103"/>
        <v>474.23267703630751</v>
      </c>
      <c r="AY118" s="77">
        <f t="shared" si="103"/>
        <v>477.9216741723427</v>
      </c>
      <c r="AZ118" s="77">
        <f t="shared" si="103"/>
        <v>486.13499432180657</v>
      </c>
      <c r="BA118" s="77">
        <f t="shared" si="103"/>
        <v>495.68763101079793</v>
      </c>
      <c r="BB118" s="77">
        <f t="shared" si="103"/>
        <v>506.82721816985674</v>
      </c>
      <c r="BC118" s="77">
        <f t="shared" si="103"/>
        <v>519.84107113845539</v>
      </c>
      <c r="BD118" s="77">
        <f t="shared" si="103"/>
        <v>528.82173097520354</v>
      </c>
      <c r="BE118" s="77">
        <f t="shared" si="103"/>
        <v>538.84244836123992</v>
      </c>
      <c r="BF118" s="77">
        <f t="shared" si="103"/>
        <v>549.22007770532537</v>
      </c>
      <c r="BV118" s="104">
        <f t="shared" si="104"/>
        <v>-3.2296189156459931E-2</v>
      </c>
      <c r="BW118" s="104">
        <f t="shared" si="105"/>
        <v>-1.3654627613208126E-2</v>
      </c>
      <c r="BX118" s="104">
        <f>SUM($AE$113:AE118)/SUM($AD$113:AD118)-1</f>
        <v>-5.1792677453520675E-2</v>
      </c>
      <c r="BY118" s="104">
        <f>SUM(AE$113:AE118)/(SUM(Z$113:AD118)/5)-1</f>
        <v>-3.9709468249679247E-2</v>
      </c>
    </row>
    <row r="119" spans="1:77">
      <c r="A119" s="69" t="s">
        <v>32</v>
      </c>
      <c r="W119" s="76">
        <f t="shared" si="106"/>
        <v>437.82799999999997</v>
      </c>
      <c r="X119" s="76">
        <f t="shared" si="102"/>
        <v>433.25800000000004</v>
      </c>
      <c r="Y119" s="76">
        <f t="shared" si="102"/>
        <v>460.87700000000001</v>
      </c>
      <c r="Z119" s="76">
        <f t="shared" si="102"/>
        <v>468.50700000000001</v>
      </c>
      <c r="AA119" s="76">
        <f t="shared" si="102"/>
        <v>441.685</v>
      </c>
      <c r="AB119" s="76">
        <f t="shared" si="102"/>
        <v>401.15799999999996</v>
      </c>
      <c r="AC119" s="76">
        <f t="shared" si="102"/>
        <v>420.84899999999999</v>
      </c>
      <c r="AD119" s="76">
        <f t="shared" si="102"/>
        <v>448.66299999999995</v>
      </c>
      <c r="AE119" s="76">
        <f t="shared" si="102"/>
        <v>436.13599999999997</v>
      </c>
      <c r="AF119" s="76">
        <f t="shared" si="102"/>
        <v>472.07600000000002</v>
      </c>
      <c r="AG119" s="77">
        <f t="shared" si="107"/>
        <v>453.61269309923773</v>
      </c>
      <c r="AH119" s="77">
        <f t="shared" si="107"/>
        <v>445.67750927693027</v>
      </c>
      <c r="AI119" s="77">
        <f t="shared" si="107"/>
        <v>443.97760083193805</v>
      </c>
      <c r="AJ119" s="77">
        <f t="shared" si="107"/>
        <v>442.72704213667072</v>
      </c>
      <c r="AK119" s="77">
        <f t="shared" si="107"/>
        <v>443.07874876952434</v>
      </c>
      <c r="AL119" s="77">
        <f t="shared" si="107"/>
        <v>445.9908535578063</v>
      </c>
      <c r="AM119" s="77">
        <f t="shared" si="103"/>
        <v>449.25148811755594</v>
      </c>
      <c r="AN119" s="77">
        <f t="shared" si="103"/>
        <v>449.47680141250839</v>
      </c>
      <c r="AO119" s="77">
        <f t="shared" si="103"/>
        <v>450.73035621220379</v>
      </c>
      <c r="AP119" s="77">
        <f t="shared" si="103"/>
        <v>452.31996113694771</v>
      </c>
      <c r="AQ119" s="77">
        <f t="shared" si="103"/>
        <v>454.27846873946567</v>
      </c>
      <c r="AR119" s="77">
        <f t="shared" si="103"/>
        <v>456.00727068593284</v>
      </c>
      <c r="AS119" s="77">
        <f t="shared" si="103"/>
        <v>457.37589979384978</v>
      </c>
      <c r="AT119" s="77">
        <f t="shared" si="103"/>
        <v>459.05122880909437</v>
      </c>
      <c r="AU119" s="77">
        <f t="shared" si="103"/>
        <v>460.77114892802967</v>
      </c>
      <c r="AV119" s="77">
        <f t="shared" si="103"/>
        <v>462.53978585503603</v>
      </c>
      <c r="AW119" s="77">
        <f t="shared" si="103"/>
        <v>464.2539724570658</v>
      </c>
      <c r="AX119" s="77">
        <f t="shared" si="103"/>
        <v>492.68132228355699</v>
      </c>
      <c r="AY119" s="77">
        <f t="shared" si="103"/>
        <v>494.95180257829509</v>
      </c>
      <c r="AZ119" s="77">
        <f t="shared" si="103"/>
        <v>502.01980316426074</v>
      </c>
      <c r="BA119" s="77">
        <f t="shared" si="103"/>
        <v>510.14516405726062</v>
      </c>
      <c r="BB119" s="77">
        <f t="shared" si="103"/>
        <v>519.51712167841322</v>
      </c>
      <c r="BC119" s="77">
        <f t="shared" si="103"/>
        <v>530.39773543458136</v>
      </c>
      <c r="BD119" s="77">
        <f t="shared" si="103"/>
        <v>537.82823996664183</v>
      </c>
      <c r="BE119" s="77">
        <f t="shared" si="103"/>
        <v>546.272478524907</v>
      </c>
      <c r="BF119" s="77">
        <f t="shared" si="103"/>
        <v>554.98892131957336</v>
      </c>
      <c r="BV119" s="104">
        <f t="shared" si="104"/>
        <v>-2.7920733378950291E-2</v>
      </c>
      <c r="BW119" s="104">
        <f t="shared" si="105"/>
        <v>-8.3453240048991795E-5</v>
      </c>
      <c r="BX119" s="104">
        <f>SUM($AE$113:AE119)/SUM($AD$113:AD119)-1</f>
        <v>-4.8377092514385045E-2</v>
      </c>
      <c r="BY119" s="104">
        <f>SUM(AE$113:AE119)/(SUM(Z$113:AD119)/5)-1</f>
        <v>-3.4115034379805453E-2</v>
      </c>
    </row>
    <row r="120" spans="1:77">
      <c r="A120" s="69" t="s">
        <v>33</v>
      </c>
      <c r="W120" s="76">
        <f t="shared" si="106"/>
        <v>407.71900000000005</v>
      </c>
      <c r="X120" s="76">
        <f t="shared" si="102"/>
        <v>404.601</v>
      </c>
      <c r="Y120" s="76">
        <f t="shared" si="102"/>
        <v>440.59499999999997</v>
      </c>
      <c r="Z120" s="76">
        <f t="shared" si="102"/>
        <v>445.81200000000001</v>
      </c>
      <c r="AA120" s="76">
        <f t="shared" si="102"/>
        <v>440.93399999999997</v>
      </c>
      <c r="AB120" s="76">
        <f t="shared" si="102"/>
        <v>258.22199999999998</v>
      </c>
      <c r="AC120" s="76">
        <f t="shared" si="102"/>
        <v>448.22200000000004</v>
      </c>
      <c r="AD120" s="76">
        <f t="shared" si="102"/>
        <v>420.839</v>
      </c>
      <c r="AE120" s="76">
        <f t="shared" si="102"/>
        <v>414.05900000000003</v>
      </c>
      <c r="AF120" s="76">
        <f t="shared" si="102"/>
        <v>422.56700000000001</v>
      </c>
      <c r="AG120" s="77">
        <f>(AG39/AG200)-AG168-AG$190</f>
        <v>405.46457631774575</v>
      </c>
      <c r="AH120" s="77">
        <f t="shared" si="107"/>
        <v>426.87002739948525</v>
      </c>
      <c r="AI120" s="77">
        <f t="shared" si="107"/>
        <v>418.13697045464795</v>
      </c>
      <c r="AJ120" s="77">
        <f t="shared" si="107"/>
        <v>420.89470406731101</v>
      </c>
      <c r="AK120" s="77">
        <f t="shared" si="107"/>
        <v>423.10853719077994</v>
      </c>
      <c r="AL120" s="77">
        <f t="shared" si="107"/>
        <v>422.00440176230154</v>
      </c>
      <c r="AM120" s="77">
        <f t="shared" si="103"/>
        <v>426.33149807460654</v>
      </c>
      <c r="AN120" s="77">
        <f t="shared" si="103"/>
        <v>426.15641829040868</v>
      </c>
      <c r="AO120" s="77">
        <f t="shared" si="103"/>
        <v>428.07335616801521</v>
      </c>
      <c r="AP120" s="77">
        <f t="shared" si="103"/>
        <v>429.45690196791884</v>
      </c>
      <c r="AQ120" s="77">
        <f t="shared" si="103"/>
        <v>430.73228894917645</v>
      </c>
      <c r="AR120" s="77">
        <f t="shared" si="103"/>
        <v>432.49439755899573</v>
      </c>
      <c r="AS120" s="77">
        <f t="shared" si="103"/>
        <v>433.84859392895299</v>
      </c>
      <c r="AT120" s="77">
        <f t="shared" si="103"/>
        <v>435.47234582604045</v>
      </c>
      <c r="AU120" s="77">
        <f t="shared" si="103"/>
        <v>436.98395495025875</v>
      </c>
      <c r="AV120" s="77">
        <f t="shared" si="103"/>
        <v>438.5513618888632</v>
      </c>
      <c r="AW120" s="77">
        <f t="shared" si="103"/>
        <v>440.18104226113468</v>
      </c>
      <c r="AX120" s="77">
        <f t="shared" si="103"/>
        <v>465.11043276991262</v>
      </c>
      <c r="AY120" s="77">
        <f t="shared" si="103"/>
        <v>465.58355882442106</v>
      </c>
      <c r="AZ120" s="77">
        <f t="shared" si="103"/>
        <v>471.50648442690886</v>
      </c>
      <c r="BA120" s="77">
        <f t="shared" si="103"/>
        <v>478.30488041489741</v>
      </c>
      <c r="BB120" s="77">
        <f t="shared" si="103"/>
        <v>486.13191390450919</v>
      </c>
      <c r="BC120" s="77">
        <f t="shared" si="103"/>
        <v>495.17891745520194</v>
      </c>
      <c r="BD120" s="77">
        <f t="shared" si="103"/>
        <v>501.09957412052745</v>
      </c>
      <c r="BE120" s="77">
        <f t="shared" si="103"/>
        <v>508.09278980598225</v>
      </c>
      <c r="BF120" s="77">
        <f t="shared" si="103"/>
        <v>515.29819202018041</v>
      </c>
      <c r="BV120" s="104">
        <f t="shared" si="104"/>
        <v>-1.6110674153298477E-2</v>
      </c>
      <c r="BW120" s="104">
        <f t="shared" si="105"/>
        <v>2.7937035663339715E-2</v>
      </c>
      <c r="BX120" s="104">
        <f>SUM($AE$113:AE120)/SUM($AD$113:AD120)-1</f>
        <v>-4.4559129505707729E-2</v>
      </c>
      <c r="BY120" s="104">
        <f>SUM(AE$113:AE120)/(SUM(Z$113:AD120)/5)-1</f>
        <v>-2.695780686504623E-2</v>
      </c>
    </row>
    <row r="121" spans="1:77">
      <c r="A121" s="69" t="s">
        <v>14</v>
      </c>
      <c r="W121" s="76">
        <f t="shared" si="106"/>
        <v>448.98399999999998</v>
      </c>
      <c r="X121" s="76">
        <f t="shared" si="102"/>
        <v>424.23500000000001</v>
      </c>
      <c r="Y121" s="76">
        <f t="shared" si="102"/>
        <v>451.54699999999997</v>
      </c>
      <c r="Z121" s="76">
        <f t="shared" si="102"/>
        <v>471.601</v>
      </c>
      <c r="AA121" s="76">
        <f t="shared" si="102"/>
        <v>458.94799999999998</v>
      </c>
      <c r="AB121" s="76">
        <f t="shared" si="102"/>
        <v>297.16800000000001</v>
      </c>
      <c r="AC121" s="76">
        <f t="shared" si="102"/>
        <v>442.03800000000001</v>
      </c>
      <c r="AD121" s="76">
        <f t="shared" si="102"/>
        <v>449.072</v>
      </c>
      <c r="AE121" s="76">
        <f t="shared" si="102"/>
        <v>439.01100000000002</v>
      </c>
      <c r="AF121" s="76">
        <f t="shared" si="102"/>
        <v>455.399</v>
      </c>
      <c r="AG121" s="77">
        <f>(AG40/AG201)-AG169-AG$190</f>
        <v>426.54713509297846</v>
      </c>
      <c r="AH121" s="77">
        <f t="shared" si="107"/>
        <v>445.11847120851399</v>
      </c>
      <c r="AI121" s="77">
        <f t="shared" si="107"/>
        <v>442.6553793083491</v>
      </c>
      <c r="AJ121" s="77">
        <f t="shared" si="107"/>
        <v>444.27218303087596</v>
      </c>
      <c r="AK121" s="77">
        <f t="shared" si="107"/>
        <v>444.46288102101119</v>
      </c>
      <c r="AL121" s="77">
        <f t="shared" si="107"/>
        <v>443.85639168918385</v>
      </c>
      <c r="AM121" s="77">
        <f t="shared" si="103"/>
        <v>449.25465410925773</v>
      </c>
      <c r="AN121" s="77">
        <f t="shared" si="103"/>
        <v>449.67812357074826</v>
      </c>
      <c r="AO121" s="77">
        <f t="shared" si="103"/>
        <v>451.11256590910119</v>
      </c>
      <c r="AP121" s="77">
        <f t="shared" si="103"/>
        <v>452.56696218181952</v>
      </c>
      <c r="AQ121" s="77">
        <f t="shared" si="103"/>
        <v>454.24091934864674</v>
      </c>
      <c r="AR121" s="77">
        <f t="shared" si="103"/>
        <v>456.41645764177963</v>
      </c>
      <c r="AS121" s="77">
        <f t="shared" si="103"/>
        <v>457.86684236417642</v>
      </c>
      <c r="AT121" s="77">
        <f t="shared" si="103"/>
        <v>459.58513613959309</v>
      </c>
      <c r="AU121" s="77">
        <f t="shared" si="103"/>
        <v>461.35271184075287</v>
      </c>
      <c r="AV121" s="77">
        <f t="shared" si="103"/>
        <v>463.17704160203158</v>
      </c>
      <c r="AW121" s="77">
        <f t="shared" si="103"/>
        <v>465.03371727960308</v>
      </c>
      <c r="AX121" s="77">
        <f t="shared" si="103"/>
        <v>483.12200033564278</v>
      </c>
      <c r="AY121" s="77">
        <f t="shared" si="103"/>
        <v>481.75828967558664</v>
      </c>
      <c r="AZ121" s="77">
        <f t="shared" si="103"/>
        <v>486.12867910244006</v>
      </c>
      <c r="BA121" s="77">
        <f t="shared" si="103"/>
        <v>491.01090378779247</v>
      </c>
      <c r="BB121" s="77">
        <f t="shared" si="103"/>
        <v>496.4949390437713</v>
      </c>
      <c r="BC121" s="77">
        <f t="shared" si="103"/>
        <v>502.6921436269896</v>
      </c>
      <c r="BD121" s="77">
        <f t="shared" si="103"/>
        <v>506.55257931879248</v>
      </c>
      <c r="BE121" s="77">
        <f t="shared" si="103"/>
        <v>511.43938416897589</v>
      </c>
      <c r="BF121" s="77">
        <f t="shared" si="103"/>
        <v>516.42832359028023</v>
      </c>
      <c r="BG121" s="83"/>
      <c r="BV121" s="104">
        <f t="shared" si="104"/>
        <v>-2.240397976271058E-2</v>
      </c>
      <c r="BW121" s="104">
        <f t="shared" si="105"/>
        <v>3.5976509644251253E-2</v>
      </c>
      <c r="BX121" s="104">
        <f>SUM($AE$113:AE121)/SUM($AD$113:AD121)-1</f>
        <v>-4.2075337171890381E-2</v>
      </c>
      <c r="BY121" s="104">
        <f>SUM(AE$113:AE121)/(SUM(Z$113:AD121)/5)-1</f>
        <v>-2.0147495287446859E-2</v>
      </c>
    </row>
    <row r="122" spans="1:77">
      <c r="A122" s="69" t="s">
        <v>34</v>
      </c>
      <c r="W122" s="76">
        <f t="shared" si="106"/>
        <v>441.27199999999999</v>
      </c>
      <c r="X122" s="76">
        <f t="shared" si="102"/>
        <v>430.71500000000003</v>
      </c>
      <c r="Y122" s="76">
        <f t="shared" si="102"/>
        <v>430.779</v>
      </c>
      <c r="Z122" s="76">
        <f t="shared" si="102"/>
        <v>464.702</v>
      </c>
      <c r="AA122" s="76">
        <f t="shared" si="102"/>
        <v>459.21699999999998</v>
      </c>
      <c r="AB122" s="76">
        <f t="shared" si="102"/>
        <v>382.65600000000001</v>
      </c>
      <c r="AC122" s="76">
        <f t="shared" si="102"/>
        <v>448.702</v>
      </c>
      <c r="AD122" s="76">
        <f t="shared" si="102"/>
        <v>439.94300000000004</v>
      </c>
      <c r="AE122" s="76">
        <f t="shared" si="102"/>
        <v>442.072</v>
      </c>
      <c r="AF122" s="76">
        <f t="shared" si="102"/>
        <v>446.13600000000002</v>
      </c>
      <c r="AG122" s="77">
        <f t="shared" ref="AG122:AL124" si="108">(AG41/AG202)-AG170-AG$190</f>
        <v>441.94673645480526</v>
      </c>
      <c r="AH122" s="77">
        <f t="shared" si="108"/>
        <v>444.1100941926307</v>
      </c>
      <c r="AI122" s="77">
        <f t="shared" si="108"/>
        <v>439.98349391902656</v>
      </c>
      <c r="AJ122" s="77">
        <f t="shared" si="108"/>
        <v>441.10349852125859</v>
      </c>
      <c r="AK122" s="77">
        <f t="shared" si="108"/>
        <v>440.44668722340657</v>
      </c>
      <c r="AL122" s="77">
        <f t="shared" si="108"/>
        <v>445.09516150447689</v>
      </c>
      <c r="AM122" s="77">
        <f t="shared" si="103"/>
        <v>447.29407944912208</v>
      </c>
      <c r="AN122" s="77">
        <f t="shared" si="103"/>
        <v>447.70513906832815</v>
      </c>
      <c r="AO122" s="77">
        <f t="shared" si="103"/>
        <v>449.36513750108139</v>
      </c>
      <c r="AP122" s="77">
        <f t="shared" si="103"/>
        <v>451.0052604584971</v>
      </c>
      <c r="AQ122" s="77">
        <f t="shared" si="103"/>
        <v>453.19489565428819</v>
      </c>
      <c r="AR122" s="77">
        <f t="shared" si="103"/>
        <v>454.87185000622964</v>
      </c>
      <c r="AS122" s="77">
        <f t="shared" si="103"/>
        <v>456.45617260105411</v>
      </c>
      <c r="AT122" s="77">
        <f t="shared" si="103"/>
        <v>458.27989895825101</v>
      </c>
      <c r="AU122" s="77">
        <f t="shared" si="103"/>
        <v>460.11986285773855</v>
      </c>
      <c r="AV122" s="77">
        <f t="shared" si="103"/>
        <v>462.01709208097054</v>
      </c>
      <c r="AW122" s="77">
        <f t="shared" si="103"/>
        <v>463.84782357259911</v>
      </c>
      <c r="AX122" s="77">
        <f t="shared" si="103"/>
        <v>475.53889180892259</v>
      </c>
      <c r="AY122" s="77">
        <f t="shared" si="103"/>
        <v>468.57257145673412</v>
      </c>
      <c r="AZ122" s="77">
        <f t="shared" si="103"/>
        <v>470.60482001965227</v>
      </c>
      <c r="BA122" s="77">
        <f t="shared" si="103"/>
        <v>472.67785030271762</v>
      </c>
      <c r="BB122" s="77">
        <f t="shared" si="103"/>
        <v>474.78372864486573</v>
      </c>
      <c r="BC122" s="77">
        <f t="shared" si="103"/>
        <v>476.9446582492921</v>
      </c>
      <c r="BD122" s="77">
        <f t="shared" si="103"/>
        <v>477.23058508932655</v>
      </c>
      <c r="BE122" s="77">
        <f t="shared" si="103"/>
        <v>478.9432782660603</v>
      </c>
      <c r="BF122" s="77">
        <f t="shared" si="103"/>
        <v>480.59353050013374</v>
      </c>
      <c r="BV122" s="104">
        <f t="shared" si="104"/>
        <v>4.839263268195948E-3</v>
      </c>
      <c r="BW122" s="104">
        <f t="shared" si="105"/>
        <v>6.8968030539080516E-3</v>
      </c>
      <c r="BX122" s="104">
        <f>SUM($AE$113:AE122)/SUM($AD$113:AD122)-1</f>
        <v>-3.7432616184712608E-2</v>
      </c>
      <c r="BY122" s="104">
        <f>SUM(AE$113:AE122)/(SUM(Z$113:AD122)/5)-1</f>
        <v>-1.7421103870055799E-2</v>
      </c>
    </row>
    <row r="123" spans="1:77">
      <c r="A123" s="69" t="s">
        <v>35</v>
      </c>
      <c r="W123" s="76">
        <f t="shared" si="106"/>
        <v>448.4</v>
      </c>
      <c r="X123" s="76">
        <f t="shared" si="102"/>
        <v>455.45500000000004</v>
      </c>
      <c r="Y123" s="76">
        <f t="shared" si="102"/>
        <v>462.57800000000003</v>
      </c>
      <c r="Z123" s="76">
        <f t="shared" si="102"/>
        <v>480.41200000000003</v>
      </c>
      <c r="AA123" s="76">
        <f t="shared" si="102"/>
        <v>451.21199999999999</v>
      </c>
      <c r="AB123" s="76">
        <f t="shared" si="102"/>
        <v>418.87199999999996</v>
      </c>
      <c r="AC123" s="76">
        <f t="shared" si="102"/>
        <v>468.09700000000004</v>
      </c>
      <c r="AD123" s="76">
        <f t="shared" si="102"/>
        <v>441.90899999999999</v>
      </c>
      <c r="AE123" s="76">
        <f t="shared" si="102"/>
        <v>455.24100000000004</v>
      </c>
      <c r="AF123" s="76">
        <f t="shared" si="102"/>
        <v>483.87</v>
      </c>
      <c r="AG123" s="77">
        <f t="shared" si="108"/>
        <v>442.2297038537227</v>
      </c>
      <c r="AH123" s="77">
        <f t="shared" si="108"/>
        <v>440.59164412807519</v>
      </c>
      <c r="AI123" s="77">
        <f t="shared" si="108"/>
        <v>434.69705420014668</v>
      </c>
      <c r="AJ123" s="77">
        <f t="shared" si="108"/>
        <v>443.28380245800861</v>
      </c>
      <c r="AK123" s="77">
        <f t="shared" si="108"/>
        <v>445.53262817164921</v>
      </c>
      <c r="AL123" s="77">
        <f t="shared" si="108"/>
        <v>445.04331416603435</v>
      </c>
      <c r="AM123" s="77">
        <f t="shared" si="103"/>
        <v>447.28194396334271</v>
      </c>
      <c r="AN123" s="77">
        <f t="shared" si="103"/>
        <v>448.3125431521479</v>
      </c>
      <c r="AO123" s="77">
        <f t="shared" si="103"/>
        <v>451.25517064218826</v>
      </c>
      <c r="AP123" s="77">
        <f t="shared" si="103"/>
        <v>452.78840113785657</v>
      </c>
      <c r="AQ123" s="77">
        <f t="shared" si="103"/>
        <v>454.31845106024002</v>
      </c>
      <c r="AR123" s="77">
        <f t="shared" si="103"/>
        <v>456.23840705715509</v>
      </c>
      <c r="AS123" s="77">
        <f t="shared" si="103"/>
        <v>458.09128903376887</v>
      </c>
      <c r="AT123" s="77">
        <f t="shared" si="103"/>
        <v>460.13616234748349</v>
      </c>
      <c r="AU123" s="77">
        <f t="shared" si="103"/>
        <v>461.95778977711279</v>
      </c>
      <c r="AV123" s="77">
        <f t="shared" si="103"/>
        <v>463.87028452629772</v>
      </c>
      <c r="AW123" s="77">
        <f t="shared" si="103"/>
        <v>465.84794063988517</v>
      </c>
      <c r="AX123" s="77">
        <f t="shared" si="103"/>
        <v>466.6134117016199</v>
      </c>
      <c r="AY123" s="77">
        <f t="shared" si="103"/>
        <v>485.62311717008726</v>
      </c>
      <c r="AZ123" s="77">
        <f t="shared" si="103"/>
        <v>490.64088861836814</v>
      </c>
      <c r="BA123" s="77">
        <f t="shared" si="103"/>
        <v>496.29426509214846</v>
      </c>
      <c r="BB123" s="77">
        <f t="shared" si="103"/>
        <v>502.68005922351136</v>
      </c>
      <c r="BC123" s="77">
        <f t="shared" si="103"/>
        <v>509.93445630133294</v>
      </c>
      <c r="BD123" s="77">
        <f t="shared" si="103"/>
        <v>518.46512142031963</v>
      </c>
      <c r="BE123" s="77">
        <f t="shared" si="103"/>
        <v>524.93448916970169</v>
      </c>
      <c r="BF123" s="77">
        <f t="shared" si="103"/>
        <v>531.69079386744511</v>
      </c>
      <c r="BV123" s="104">
        <f t="shared" si="104"/>
        <v>3.0169107214381263E-2</v>
      </c>
      <c r="BW123" s="104">
        <f t="shared" si="105"/>
        <v>6.9466870633161371E-3</v>
      </c>
      <c r="BX123" s="104">
        <f>SUM($AE$113:AE123)/SUM($AD$113:AD123)-1</f>
        <v>-3.132035771077557E-2</v>
      </c>
      <c r="BY123" s="104">
        <f>SUM(AE$113:AE123)/(SUM(Z$113:AD123)/5)-1</f>
        <v>-1.5129385980696575E-2</v>
      </c>
    </row>
    <row r="124" spans="1:77">
      <c r="A124" s="69" t="s">
        <v>36</v>
      </c>
      <c r="W124" s="76">
        <f t="shared" si="106"/>
        <v>445.71799999999996</v>
      </c>
      <c r="X124" s="76">
        <f t="shared" si="102"/>
        <v>458.154</v>
      </c>
      <c r="Y124" s="76">
        <f t="shared" si="102"/>
        <v>476.82799999999997</v>
      </c>
      <c r="Z124" s="76">
        <f t="shared" si="102"/>
        <v>479.36500000000001</v>
      </c>
      <c r="AA124" s="76">
        <f t="shared" si="102"/>
        <v>450.92100000000005</v>
      </c>
      <c r="AB124" s="76">
        <f t="shared" si="102"/>
        <v>411.34699999999998</v>
      </c>
      <c r="AC124" s="76">
        <f t="shared" si="102"/>
        <v>475.23599999999999</v>
      </c>
      <c r="AD124" s="76">
        <f t="shared" si="102"/>
        <v>430.30099999999999</v>
      </c>
      <c r="AE124" s="76">
        <f t="shared" si="102"/>
        <v>441.69600000000003</v>
      </c>
      <c r="AF124" s="76">
        <f>AF140+AF156</f>
        <v>472.697</v>
      </c>
      <c r="AG124" s="77">
        <f t="shared" si="108"/>
        <v>458.48406773521629</v>
      </c>
      <c r="AH124" s="77">
        <f t="shared" si="108"/>
        <v>466.80714753567696</v>
      </c>
      <c r="AI124" s="77">
        <f t="shared" si="108"/>
        <v>455.8888386054814</v>
      </c>
      <c r="AJ124" s="77">
        <f t="shared" si="108"/>
        <v>460.64050103910091</v>
      </c>
      <c r="AK124" s="77">
        <f t="shared" si="108"/>
        <v>463.269747878516</v>
      </c>
      <c r="AL124" s="77">
        <f t="shared" si="108"/>
        <v>464.99858841672506</v>
      </c>
      <c r="AM124" s="77">
        <f t="shared" si="103"/>
        <v>467.43522735146234</v>
      </c>
      <c r="AN124" s="77">
        <f t="shared" si="103"/>
        <v>467.19354315638464</v>
      </c>
      <c r="AO124" s="77">
        <f t="shared" si="103"/>
        <v>470.06111083751495</v>
      </c>
      <c r="AP124" s="77">
        <f t="shared" si="103"/>
        <v>471.74927358454408</v>
      </c>
      <c r="AQ124" s="77">
        <f t="shared" si="103"/>
        <v>473.55077822235489</v>
      </c>
      <c r="AR124" s="77">
        <f t="shared" si="103"/>
        <v>475.21802204160599</v>
      </c>
      <c r="AS124" s="77">
        <f t="shared" si="103"/>
        <v>476.8988298285426</v>
      </c>
      <c r="AT124" s="77">
        <f t="shared" si="103"/>
        <v>478.97329244526264</v>
      </c>
      <c r="AU124" s="77">
        <f t="shared" si="103"/>
        <v>480.76172475234671</v>
      </c>
      <c r="AV124" s="77">
        <f t="shared" si="103"/>
        <v>482.64859775807457</v>
      </c>
      <c r="AW124" s="77">
        <f t="shared" ref="AW124:BF124" si="109">(AW43/AW204)-AW172-AW$190</f>
        <v>484.52472663682636</v>
      </c>
      <c r="AX124" s="77">
        <f t="shared" si="109"/>
        <v>502.76502040156998</v>
      </c>
      <c r="AY124" s="77">
        <f t="shared" si="109"/>
        <v>498.83115161019634</v>
      </c>
      <c r="AZ124" s="77">
        <f t="shared" si="109"/>
        <v>502.73356771098435</v>
      </c>
      <c r="BA124" s="77">
        <f t="shared" si="109"/>
        <v>507.06873916907483</v>
      </c>
      <c r="BB124" s="77">
        <f t="shared" si="109"/>
        <v>511.878815614968</v>
      </c>
      <c r="BC124" s="77">
        <f t="shared" si="109"/>
        <v>517.27162324768722</v>
      </c>
      <c r="BD124" s="77">
        <f t="shared" si="109"/>
        <v>520.13247914216868</v>
      </c>
      <c r="BE124" s="77">
        <f t="shared" si="109"/>
        <v>524.3303727881314</v>
      </c>
      <c r="BF124" s="77">
        <f t="shared" si="109"/>
        <v>528.58922517928841</v>
      </c>
      <c r="BV124" s="104">
        <f t="shared" si="104"/>
        <v>2.6481462975916914E-2</v>
      </c>
      <c r="BW124" s="104">
        <f t="shared" si="105"/>
        <v>-1.7217210980922659E-2</v>
      </c>
      <c r="BX124" s="104">
        <f>SUM($AE$113:AE124)/SUM($AD$113:AD124)-1</f>
        <v>-2.6643223498328927E-2</v>
      </c>
      <c r="BY124" s="104">
        <f>SUM(AE$113:AE124)/(SUM(Z$113:AD124)/5)-1</f>
        <v>-1.5307892621109542E-2</v>
      </c>
    </row>
    <row r="125" spans="1:77" ht="12" thickBot="1">
      <c r="A125" s="69" t="s">
        <v>138</v>
      </c>
      <c r="W125" s="76">
        <f t="shared" ref="W125:AE125" si="110">SUM(W113:W124)</f>
        <v>3467.8939999999998</v>
      </c>
      <c r="X125" s="76">
        <f t="shared" si="110"/>
        <v>5226.6540000000005</v>
      </c>
      <c r="Y125" s="76">
        <f t="shared" si="110"/>
        <v>5437.3189999999995</v>
      </c>
      <c r="Z125" s="76">
        <f t="shared" si="110"/>
        <v>5597.5889999999999</v>
      </c>
      <c r="AA125" s="76">
        <f t="shared" si="110"/>
        <v>5377.9699999999993</v>
      </c>
      <c r="AB125" s="76">
        <f t="shared" si="110"/>
        <v>4846.3529999999992</v>
      </c>
      <c r="AC125" s="76">
        <f t="shared" si="110"/>
        <v>5143.3059999999996</v>
      </c>
      <c r="AD125" s="76">
        <f t="shared" si="110"/>
        <v>5317.8250000000007</v>
      </c>
      <c r="AE125" s="76">
        <f t="shared" si="110"/>
        <v>5176.1409999999996</v>
      </c>
      <c r="AF125" s="76">
        <f>SUM(AF113:AF124)</f>
        <v>5470.77</v>
      </c>
      <c r="AG125" s="77">
        <f>SUM(AG113:AG124)</f>
        <v>5387.386000911647</v>
      </c>
      <c r="AH125" s="77">
        <f t="shared" ref="AH125:BF125" si="111">SUM(AH113:AH124)</f>
        <v>5312.4769192470621</v>
      </c>
      <c r="AI125" s="77">
        <f t="shared" si="111"/>
        <v>5291.6060779925465</v>
      </c>
      <c r="AJ125" s="77">
        <f t="shared" si="111"/>
        <v>5302.9858573673428</v>
      </c>
      <c r="AK125" s="77">
        <f t="shared" si="111"/>
        <v>5329.2515385793677</v>
      </c>
      <c r="AL125" s="77">
        <f t="shared" si="111"/>
        <v>5336.2302148788822</v>
      </c>
      <c r="AM125" s="77">
        <f t="shared" si="111"/>
        <v>5366.1514660115899</v>
      </c>
      <c r="AN125" s="77">
        <f t="shared" si="111"/>
        <v>5380.6388103786603</v>
      </c>
      <c r="AO125" s="77">
        <f t="shared" si="111"/>
        <v>5400.3033433600167</v>
      </c>
      <c r="AP125" s="77">
        <f t="shared" si="111"/>
        <v>5419.8105825959638</v>
      </c>
      <c r="AQ125" s="77">
        <f t="shared" si="111"/>
        <v>5438.6165187090928</v>
      </c>
      <c r="AR125" s="77">
        <f t="shared" si="111"/>
        <v>5459.8604508434282</v>
      </c>
      <c r="AS125" s="77">
        <f t="shared" si="111"/>
        <v>5479.2832656690916</v>
      </c>
      <c r="AT125" s="77">
        <f t="shared" si="111"/>
        <v>5500.0310763272873</v>
      </c>
      <c r="AU125" s="77">
        <f t="shared" si="111"/>
        <v>5520.6281219136745</v>
      </c>
      <c r="AV125" s="77">
        <f t="shared" si="111"/>
        <v>5541.6392258685055</v>
      </c>
      <c r="AW125" s="77">
        <f t="shared" si="111"/>
        <v>5563.0463214226447</v>
      </c>
      <c r="AX125" s="77">
        <f t="shared" si="111"/>
        <v>5736.6116549142498</v>
      </c>
      <c r="AY125" s="77">
        <f t="shared" si="111"/>
        <v>5851.3040198539074</v>
      </c>
      <c r="AZ125" s="77">
        <f t="shared" si="111"/>
        <v>5920.4647376147441</v>
      </c>
      <c r="BA125" s="77">
        <f t="shared" si="111"/>
        <v>5999.2284566153567</v>
      </c>
      <c r="BB125" s="77">
        <f t="shared" si="111"/>
        <v>6089.3357471927166</v>
      </c>
      <c r="BC125" s="77">
        <f t="shared" si="111"/>
        <v>6192.9657926334221</v>
      </c>
      <c r="BD125" s="77">
        <f t="shared" si="111"/>
        <v>6282.8452873264087</v>
      </c>
      <c r="BE125" s="77">
        <f t="shared" si="111"/>
        <v>6367.840744735774</v>
      </c>
      <c r="BF125" s="77">
        <f t="shared" si="111"/>
        <v>6455.9647780810292</v>
      </c>
    </row>
    <row r="126" spans="1:77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</row>
    <row r="127" spans="1:77" ht="12" thickBot="1">
      <c r="A127" s="69" t="s">
        <v>159</v>
      </c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W127" s="292" t="s">
        <v>155</v>
      </c>
      <c r="BX127" s="293" t="s">
        <v>156</v>
      </c>
      <c r="BY127" s="293"/>
    </row>
    <row r="128" spans="1:77" ht="12" thickBot="1">
      <c r="A128" s="84"/>
      <c r="B128" s="85" t="s">
        <v>66</v>
      </c>
      <c r="C128" s="86" t="s">
        <v>67</v>
      </c>
      <c r="D128" s="86" t="s">
        <v>68</v>
      </c>
      <c r="E128" s="86" t="s">
        <v>69</v>
      </c>
      <c r="F128" s="86" t="s">
        <v>70</v>
      </c>
      <c r="G128" s="86" t="s">
        <v>71</v>
      </c>
      <c r="H128" s="86" t="s">
        <v>72</v>
      </c>
      <c r="I128" s="86" t="s">
        <v>73</v>
      </c>
      <c r="J128" s="86" t="s">
        <v>74</v>
      </c>
      <c r="K128" s="86" t="s">
        <v>75</v>
      </c>
      <c r="L128" s="86" t="s">
        <v>76</v>
      </c>
      <c r="M128" s="86" t="s">
        <v>77</v>
      </c>
      <c r="N128" s="86" t="s">
        <v>78</v>
      </c>
      <c r="O128" s="86" t="s">
        <v>79</v>
      </c>
      <c r="P128" s="86" t="s">
        <v>80</v>
      </c>
      <c r="Q128" s="86" t="s">
        <v>81</v>
      </c>
      <c r="R128" s="86" t="s">
        <v>82</v>
      </c>
      <c r="S128" s="86" t="s">
        <v>83</v>
      </c>
      <c r="T128" s="86" t="s">
        <v>84</v>
      </c>
      <c r="U128" s="86" t="s">
        <v>85</v>
      </c>
      <c r="V128" s="86" t="s">
        <v>86</v>
      </c>
      <c r="W128" s="86" t="s">
        <v>87</v>
      </c>
      <c r="X128" s="86" t="s">
        <v>88</v>
      </c>
      <c r="Y128" s="86" t="s">
        <v>89</v>
      </c>
      <c r="Z128" s="86" t="s">
        <v>90</v>
      </c>
      <c r="AA128" s="86" t="s">
        <v>91</v>
      </c>
      <c r="AB128" s="86" t="s">
        <v>92</v>
      </c>
      <c r="AC128" s="86" t="s">
        <v>93</v>
      </c>
      <c r="AD128" s="86" t="str">
        <f>AD112</f>
        <v>21/22</v>
      </c>
      <c r="AE128" s="86" t="str">
        <f t="shared" ref="AE128:BF128" si="112">AE112</f>
        <v>22/23</v>
      </c>
      <c r="AF128" s="86" t="str">
        <f t="shared" si="112"/>
        <v>23/24</v>
      </c>
      <c r="AG128" s="86" t="str">
        <f t="shared" si="112"/>
        <v>24/25</v>
      </c>
      <c r="AH128" s="86" t="str">
        <f t="shared" si="112"/>
        <v>25/26</v>
      </c>
      <c r="AI128" s="86" t="str">
        <f t="shared" si="112"/>
        <v>26/27</v>
      </c>
      <c r="AJ128" s="86" t="str">
        <f t="shared" si="112"/>
        <v>27/28</v>
      </c>
      <c r="AK128" s="86" t="str">
        <f t="shared" si="112"/>
        <v>28/29</v>
      </c>
      <c r="AL128" s="86" t="str">
        <f t="shared" si="112"/>
        <v>29/30</v>
      </c>
      <c r="AM128" s="86" t="str">
        <f t="shared" si="112"/>
        <v>30/31</v>
      </c>
      <c r="AN128" s="86" t="str">
        <f t="shared" si="112"/>
        <v>31/32</v>
      </c>
      <c r="AO128" s="86" t="str">
        <f t="shared" si="112"/>
        <v>32/33</v>
      </c>
      <c r="AP128" s="86" t="str">
        <f t="shared" si="112"/>
        <v>33/34</v>
      </c>
      <c r="AQ128" s="86" t="str">
        <f t="shared" si="112"/>
        <v>34/35</v>
      </c>
      <c r="AR128" s="86" t="str">
        <f t="shared" si="112"/>
        <v>35/36</v>
      </c>
      <c r="AS128" s="86" t="str">
        <f t="shared" si="112"/>
        <v>36/37</v>
      </c>
      <c r="AT128" s="86" t="str">
        <f t="shared" si="112"/>
        <v>37/38</v>
      </c>
      <c r="AU128" s="86" t="str">
        <f t="shared" si="112"/>
        <v>38/39</v>
      </c>
      <c r="AV128" s="86" t="str">
        <f t="shared" si="112"/>
        <v>39/40</v>
      </c>
      <c r="AW128" s="86" t="str">
        <f t="shared" si="112"/>
        <v>40/41</v>
      </c>
      <c r="AX128" s="86" t="str">
        <f t="shared" si="112"/>
        <v>41/42</v>
      </c>
      <c r="AY128" s="86" t="str">
        <f t="shared" si="112"/>
        <v>42/43</v>
      </c>
      <c r="AZ128" s="86" t="str">
        <f t="shared" si="112"/>
        <v>43/44</v>
      </c>
      <c r="BA128" s="86" t="str">
        <f t="shared" si="112"/>
        <v>44/45</v>
      </c>
      <c r="BB128" s="86" t="str">
        <f t="shared" si="112"/>
        <v>45/46</v>
      </c>
      <c r="BC128" s="86" t="str">
        <f t="shared" si="112"/>
        <v>42/47</v>
      </c>
      <c r="BD128" s="86" t="str">
        <f t="shared" si="112"/>
        <v>42/48</v>
      </c>
      <c r="BE128" s="86" t="str">
        <f t="shared" si="112"/>
        <v>42/49</v>
      </c>
      <c r="BF128" s="86" t="str">
        <f t="shared" si="112"/>
        <v>42/50</v>
      </c>
      <c r="BV128" s="102" t="s">
        <v>157</v>
      </c>
      <c r="BW128" s="292"/>
      <c r="BX128" s="101" t="s">
        <v>157</v>
      </c>
      <c r="BY128" s="101" t="s">
        <v>155</v>
      </c>
    </row>
    <row r="129" spans="1:77">
      <c r="A129" s="69" t="s">
        <v>37</v>
      </c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>
        <f>'NASS Data'!$E13</f>
        <v>382.20800000000003</v>
      </c>
      <c r="Y129" s="76">
        <f>'NASS Data'!$E25</f>
        <v>388.47199999999998</v>
      </c>
      <c r="Z129" s="76">
        <f>'NASS Data'!$E37</f>
        <v>399.97399999999999</v>
      </c>
      <c r="AA129" s="76">
        <f>'NASS Data'!$E49</f>
        <v>410.96600000000001</v>
      </c>
      <c r="AB129" s="76">
        <f>'NASS Data'!$E61</f>
        <v>365.51299999999998</v>
      </c>
      <c r="AC129" s="76">
        <f>'NASS Data'!$E73</f>
        <v>361.48500000000001</v>
      </c>
      <c r="AD129" s="76">
        <f>'NASS Data'!$E85</f>
        <v>371.20699999999999</v>
      </c>
      <c r="AE129" s="76">
        <f>'NASS Data'!$E97</f>
        <v>355.29399999999998</v>
      </c>
      <c r="AF129" s="76">
        <f>'NASS Data'!$E109</f>
        <v>395.88200000000001</v>
      </c>
      <c r="AG129" s="76">
        <f>'NASS Data'!E121</f>
        <v>408.19900000000001</v>
      </c>
      <c r="AH129" s="77">
        <f t="shared" ref="AH129:BF139" si="113">AH113*AH225</f>
        <v>389.74254694667559</v>
      </c>
      <c r="AI129" s="77">
        <f t="shared" si="113"/>
        <v>386.63421071166465</v>
      </c>
      <c r="AJ129" s="77">
        <f t="shared" si="113"/>
        <v>386.61092280414402</v>
      </c>
      <c r="AK129" s="77">
        <f t="shared" si="113"/>
        <v>394.63851310712334</v>
      </c>
      <c r="AL129" s="77">
        <f t="shared" si="113"/>
        <v>397.56351985345117</v>
      </c>
      <c r="AM129" s="77">
        <f t="shared" si="113"/>
        <v>399.43780033067236</v>
      </c>
      <c r="AN129" s="77">
        <f t="shared" si="113"/>
        <v>403.19779869980403</v>
      </c>
      <c r="AO129" s="77">
        <f t="shared" si="113"/>
        <v>406.51646115960511</v>
      </c>
      <c r="AP129" s="77">
        <f t="shared" si="113"/>
        <v>410.84965932343607</v>
      </c>
      <c r="AQ129" s="77">
        <f t="shared" si="113"/>
        <v>414.21687402663719</v>
      </c>
      <c r="AR129" s="77">
        <f t="shared" si="113"/>
        <v>417.42672553918959</v>
      </c>
      <c r="AS129" s="77">
        <f t="shared" si="113"/>
        <v>421.12843427533676</v>
      </c>
      <c r="AT129" s="77">
        <f t="shared" si="113"/>
        <v>424.91446995055082</v>
      </c>
      <c r="AU129" s="77">
        <f t="shared" si="113"/>
        <v>428.68876741235664</v>
      </c>
      <c r="AV129" s="77">
        <f t="shared" si="113"/>
        <v>432.38844342278338</v>
      </c>
      <c r="AW129" s="77">
        <f t="shared" si="113"/>
        <v>436.11714609100795</v>
      </c>
      <c r="AX129" s="77">
        <f t="shared" si="113"/>
        <v>439.94239778614286</v>
      </c>
      <c r="AY129" s="77">
        <f t="shared" si="113"/>
        <v>452.14281527686677</v>
      </c>
      <c r="AZ129" s="77">
        <f t="shared" si="113"/>
        <v>457.64300713338145</v>
      </c>
      <c r="BA129" s="77">
        <f t="shared" si="113"/>
        <v>463.48210560212294</v>
      </c>
      <c r="BB129" s="77">
        <f t="shared" si="113"/>
        <v>469.7592684223967</v>
      </c>
      <c r="BC129" s="77">
        <f t="shared" si="113"/>
        <v>476.54457825153344</v>
      </c>
      <c r="BD129" s="77">
        <f t="shared" si="113"/>
        <v>483.93278220613968</v>
      </c>
      <c r="BE129" s="77">
        <f t="shared" si="113"/>
        <v>490.35034870044746</v>
      </c>
      <c r="BF129" s="77">
        <f t="shared" si="113"/>
        <v>496.95018358282084</v>
      </c>
      <c r="BV129" s="103">
        <f t="shared" ref="BV129:BV140" si="114">AE129/AD129-1</f>
        <v>-4.2868264876470552E-2</v>
      </c>
      <c r="BW129" s="103">
        <f t="shared" ref="BW129:BW140" si="115">AE129/AVERAGE(Z129:AD129)-1</f>
        <v>-6.9494459561741051E-2</v>
      </c>
      <c r="BX129" s="103">
        <f>SUM($AE$129:AE129)/SUM($AD$129:AD129)-1</f>
        <v>-4.2868264876470552E-2</v>
      </c>
      <c r="BY129" s="103">
        <f>SUM(AE$129)/(SUM(Z$129:AD129)/5)-1</f>
        <v>-6.9494459561741051E-2</v>
      </c>
    </row>
    <row r="130" spans="1:77">
      <c r="A130" s="69" t="s">
        <v>38</v>
      </c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>
        <f>'NASS Data'!$E14</f>
        <v>395.298</v>
      </c>
      <c r="Y130" s="76">
        <f>'NASS Data'!$E26</f>
        <v>407.49099999999999</v>
      </c>
      <c r="Z130" s="76">
        <f>'NASS Data'!$E38</f>
        <v>419.00900000000001</v>
      </c>
      <c r="AA130" s="76">
        <f>'NASS Data'!$E50</f>
        <v>418.64499999999998</v>
      </c>
      <c r="AB130" s="76">
        <f>'NASS Data'!$E62</f>
        <v>390.64699999999999</v>
      </c>
      <c r="AC130" s="76">
        <f>'NASS Data'!$E74</f>
        <v>389.346</v>
      </c>
      <c r="AD130" s="76">
        <f>'NASS Data'!$E86</f>
        <v>427.00099999999998</v>
      </c>
      <c r="AE130" s="76">
        <f>'NASS Data'!$E98</f>
        <v>414.44400000000002</v>
      </c>
      <c r="AF130" s="76">
        <f>'NASS Data'!$E110</f>
        <v>422.99400000000003</v>
      </c>
      <c r="AG130" s="76">
        <f>'NASS Data'!E122</f>
        <v>431.589</v>
      </c>
      <c r="AH130" s="77">
        <f t="shared" si="113"/>
        <v>430.24378602683038</v>
      </c>
      <c r="AI130" s="77">
        <f t="shared" si="113"/>
        <v>431.15513123324973</v>
      </c>
      <c r="AJ130" s="77">
        <f t="shared" si="113"/>
        <v>435.06417422368304</v>
      </c>
      <c r="AK130" s="77">
        <f t="shared" si="113"/>
        <v>440.90747249552788</v>
      </c>
      <c r="AL130" s="77">
        <f t="shared" si="113"/>
        <v>441.72909647021982</v>
      </c>
      <c r="AM130" s="77">
        <f t="shared" si="113"/>
        <v>445.19193897675655</v>
      </c>
      <c r="AN130" s="77">
        <f t="shared" si="113"/>
        <v>450.06361228349618</v>
      </c>
      <c r="AO130" s="77">
        <f t="shared" si="113"/>
        <v>453.91179942778973</v>
      </c>
      <c r="AP130" s="77">
        <f t="shared" si="113"/>
        <v>457.87677507224345</v>
      </c>
      <c r="AQ130" s="77">
        <f t="shared" si="113"/>
        <v>461.23541371730812</v>
      </c>
      <c r="AR130" s="77">
        <f t="shared" si="113"/>
        <v>465.19461603563832</v>
      </c>
      <c r="AS130" s="77">
        <f t="shared" si="113"/>
        <v>469.38233980799885</v>
      </c>
      <c r="AT130" s="77">
        <f t="shared" si="113"/>
        <v>473.37049449984255</v>
      </c>
      <c r="AU130" s="77">
        <f t="shared" si="113"/>
        <v>477.3710659024722</v>
      </c>
      <c r="AV130" s="77">
        <f t="shared" si="113"/>
        <v>481.39250748644469</v>
      </c>
      <c r="AW130" s="77">
        <f t="shared" si="113"/>
        <v>485.52431177703772</v>
      </c>
      <c r="AX130" s="77">
        <f t="shared" si="113"/>
        <v>489.71306175319461</v>
      </c>
      <c r="AY130" s="77">
        <f t="shared" si="113"/>
        <v>519.99722058082943</v>
      </c>
      <c r="AZ130" s="77">
        <f t="shared" si="113"/>
        <v>529.41050171711925</v>
      </c>
      <c r="BA130" s="77">
        <f t="shared" si="113"/>
        <v>539.91794412768388</v>
      </c>
      <c r="BB130" s="77">
        <f t="shared" si="113"/>
        <v>551.73624702290817</v>
      </c>
      <c r="BC130" s="77">
        <f t="shared" si="113"/>
        <v>565.10625556501554</v>
      </c>
      <c r="BD130" s="77">
        <f t="shared" si="113"/>
        <v>580.33645228666376</v>
      </c>
      <c r="BE130" s="77">
        <f t="shared" si="113"/>
        <v>592.52007619504286</v>
      </c>
      <c r="BF130" s="77">
        <f t="shared" si="113"/>
        <v>605.26064546736779</v>
      </c>
      <c r="BV130" s="103">
        <f t="shared" si="114"/>
        <v>-2.9407425275350563E-2</v>
      </c>
      <c r="BW130" s="103">
        <f t="shared" si="115"/>
        <v>1.3484961714681498E-2</v>
      </c>
      <c r="BX130" s="103">
        <f>SUM($AE$129:AE130)/SUM($AD$129:AD130)-1</f>
        <v>-3.5667394964720822E-2</v>
      </c>
      <c r="BY130" s="103">
        <f>SUM(AE$129:AE130)/(SUM(Z$129:AD130)/5)-1</f>
        <v>-2.6582828185491514E-2</v>
      </c>
    </row>
    <row r="131" spans="1:77">
      <c r="A131" s="69" t="s">
        <v>39</v>
      </c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>
        <f>'NASS Data'!$E15</f>
        <v>387.77699999999999</v>
      </c>
      <c r="Y131" s="76">
        <f>'NASS Data'!$E27</f>
        <v>407.858</v>
      </c>
      <c r="Z131" s="76">
        <f>'NASS Data'!$E39</f>
        <v>429.12299999999999</v>
      </c>
      <c r="AA131" s="76">
        <f>'NASS Data'!$E51</f>
        <v>413.19099999999997</v>
      </c>
      <c r="AB131" s="76">
        <f>'NASS Data'!$E63</f>
        <v>413.47699999999998</v>
      </c>
      <c r="AC131" s="76">
        <f>'NASS Data'!$E75</f>
        <v>389.01600000000002</v>
      </c>
      <c r="AD131" s="76">
        <f>'NASS Data'!$E87</f>
        <v>429.20699999999999</v>
      </c>
      <c r="AE131" s="76">
        <f>'NASS Data'!$E99</f>
        <v>415.85700000000003</v>
      </c>
      <c r="AF131" s="76">
        <f>'NASS Data'!$E111</f>
        <v>421.50200000000001</v>
      </c>
      <c r="AG131" s="76">
        <f>'NASS Data'!E123</f>
        <v>432.45299999999997</v>
      </c>
      <c r="AH131" s="77">
        <f t="shared" si="113"/>
        <v>422.31756389502283</v>
      </c>
      <c r="AI131" s="77">
        <f t="shared" si="113"/>
        <v>422.04955584751622</v>
      </c>
      <c r="AJ131" s="77">
        <f t="shared" si="113"/>
        <v>421.07947724965379</v>
      </c>
      <c r="AK131" s="77">
        <f t="shared" si="113"/>
        <v>422.64227718707934</v>
      </c>
      <c r="AL131" s="77">
        <f t="shared" si="113"/>
        <v>424.29284861841313</v>
      </c>
      <c r="AM131" s="77">
        <f t="shared" si="113"/>
        <v>431.3006230950395</v>
      </c>
      <c r="AN131" s="77">
        <f t="shared" si="113"/>
        <v>435.27999058034317</v>
      </c>
      <c r="AO131" s="77">
        <f t="shared" si="113"/>
        <v>437.84495416532104</v>
      </c>
      <c r="AP131" s="77">
        <f t="shared" si="113"/>
        <v>441.44286532722987</v>
      </c>
      <c r="AQ131" s="77">
        <f t="shared" si="113"/>
        <v>445.1750680628943</v>
      </c>
      <c r="AR131" s="77">
        <f t="shared" si="113"/>
        <v>449.43518385928093</v>
      </c>
      <c r="AS131" s="77">
        <f t="shared" si="113"/>
        <v>453.11089017811605</v>
      </c>
      <c r="AT131" s="77">
        <f t="shared" si="113"/>
        <v>456.92714936122286</v>
      </c>
      <c r="AU131" s="77">
        <f t="shared" si="113"/>
        <v>460.80421079410576</v>
      </c>
      <c r="AV131" s="77">
        <f t="shared" si="113"/>
        <v>464.81066796985436</v>
      </c>
      <c r="AW131" s="77">
        <f t="shared" si="113"/>
        <v>468.82993878755678</v>
      </c>
      <c r="AX131" s="77">
        <f t="shared" si="113"/>
        <v>472.81727487376298</v>
      </c>
      <c r="AY131" s="77">
        <f t="shared" si="113"/>
        <v>499.51809468029001</v>
      </c>
      <c r="AZ131" s="77">
        <f t="shared" si="113"/>
        <v>508.12777150086856</v>
      </c>
      <c r="BA131" s="77">
        <f t="shared" si="113"/>
        <v>517.67356308841931</v>
      </c>
      <c r="BB131" s="77">
        <f t="shared" si="113"/>
        <v>528.35088327107997</v>
      </c>
      <c r="BC131" s="77">
        <f t="shared" si="113"/>
        <v>540.36758095333266</v>
      </c>
      <c r="BD131" s="77">
        <f t="shared" si="113"/>
        <v>554.01599589265322</v>
      </c>
      <c r="BE131" s="77">
        <f t="shared" si="113"/>
        <v>565.02045333899832</v>
      </c>
      <c r="BF131" s="77">
        <f t="shared" si="113"/>
        <v>576.50744363877948</v>
      </c>
      <c r="BV131" s="103">
        <f t="shared" si="114"/>
        <v>-3.1103872956405598E-2</v>
      </c>
      <c r="BW131" s="103">
        <f t="shared" si="115"/>
        <v>2.541448611243613E-3</v>
      </c>
      <c r="BX131" s="103">
        <f>SUM($AE$129:AE131)/SUM($AD$129:AD131)-1</f>
        <v>-3.4071605773108526E-2</v>
      </c>
      <c r="BY131" s="103">
        <f>SUM(AE$129:AE131)/(SUM(Z$129:AD131)/5)-1</f>
        <v>-1.6561910492489007E-2</v>
      </c>
    </row>
    <row r="132" spans="1:77">
      <c r="A132" s="69" t="s">
        <v>40</v>
      </c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>
        <f>'NASS Data'!$E16</f>
        <v>401.24200000000002</v>
      </c>
      <c r="Y132" s="76">
        <f>'NASS Data'!$E28</f>
        <v>424.89299999999997</v>
      </c>
      <c r="Z132" s="76">
        <f>'NASS Data'!$E40</f>
        <v>439.92899999999997</v>
      </c>
      <c r="AA132" s="76">
        <f>'NASS Data'!$E52</f>
        <v>418.029</v>
      </c>
      <c r="AB132" s="76">
        <f>'NASS Data'!$E64</f>
        <v>431.51400000000001</v>
      </c>
      <c r="AC132" s="76">
        <f>'NASS Data'!$E76</f>
        <v>388.22800000000001</v>
      </c>
      <c r="AD132" s="76">
        <f>'NASS Data'!$E88</f>
        <v>439.17200000000003</v>
      </c>
      <c r="AE132" s="76">
        <f>'NASS Data'!$E100</f>
        <v>391.81900000000002</v>
      </c>
      <c r="AF132" s="76">
        <f>'NASS Data'!$E112</f>
        <v>444.899</v>
      </c>
      <c r="AG132" s="76">
        <f>'NASS Data'!E124</f>
        <v>441.62700000000001</v>
      </c>
      <c r="AH132" s="77">
        <f t="shared" si="113"/>
        <v>427.88809416385425</v>
      </c>
      <c r="AI132" s="77">
        <f t="shared" si="113"/>
        <v>435.26518062148421</v>
      </c>
      <c r="AJ132" s="77">
        <f t="shared" si="113"/>
        <v>432.53655989771153</v>
      </c>
      <c r="AK132" s="77">
        <f t="shared" si="113"/>
        <v>438.70656975609353</v>
      </c>
      <c r="AL132" s="77">
        <f t="shared" si="113"/>
        <v>441.33935627051102</v>
      </c>
      <c r="AM132" s="77">
        <f t="shared" si="113"/>
        <v>444.3445970535322</v>
      </c>
      <c r="AN132" s="77">
        <f t="shared" si="113"/>
        <v>449.83095727033913</v>
      </c>
      <c r="AO132" s="77">
        <f t="shared" si="113"/>
        <v>452.60901630783184</v>
      </c>
      <c r="AP132" s="77">
        <f t="shared" si="113"/>
        <v>456.87373264663711</v>
      </c>
      <c r="AQ132" s="77">
        <f t="shared" si="113"/>
        <v>460.37000713093278</v>
      </c>
      <c r="AR132" s="77">
        <f t="shared" si="113"/>
        <v>464.33280025049731</v>
      </c>
      <c r="AS132" s="77">
        <f t="shared" si="113"/>
        <v>468.44088455400089</v>
      </c>
      <c r="AT132" s="77">
        <f t="shared" si="113"/>
        <v>472.36572946622175</v>
      </c>
      <c r="AU132" s="77">
        <f t="shared" si="113"/>
        <v>476.38655565424676</v>
      </c>
      <c r="AV132" s="77">
        <f t="shared" si="113"/>
        <v>480.41408841010156</v>
      </c>
      <c r="AW132" s="77">
        <f t="shared" si="113"/>
        <v>484.51521551556931</v>
      </c>
      <c r="AX132" s="77">
        <f t="shared" si="113"/>
        <v>488.68029275180908</v>
      </c>
      <c r="AY132" s="77">
        <f t="shared" si="113"/>
        <v>521.8417443172458</v>
      </c>
      <c r="AZ132" s="77">
        <f t="shared" si="113"/>
        <v>531.83829944599449</v>
      </c>
      <c r="BA132" s="77">
        <f t="shared" si="113"/>
        <v>543.02819552596316</v>
      </c>
      <c r="BB132" s="77">
        <f t="shared" si="113"/>
        <v>555.67720491872592</v>
      </c>
      <c r="BC132" s="77">
        <f t="shared" si="113"/>
        <v>570.04884342804985</v>
      </c>
      <c r="BD132" s="77">
        <f t="shared" si="113"/>
        <v>586.49283261631945</v>
      </c>
      <c r="BE132" s="77">
        <f t="shared" si="113"/>
        <v>599.54835826735007</v>
      </c>
      <c r="BF132" s="77">
        <f t="shared" si="113"/>
        <v>613.22078249372646</v>
      </c>
      <c r="BV132" s="104">
        <f t="shared" si="114"/>
        <v>-0.10782335850190816</v>
      </c>
      <c r="BW132" s="104">
        <f t="shared" si="115"/>
        <v>-7.4533084664542781E-2</v>
      </c>
      <c r="BX132" s="104">
        <f>SUM($AE$129:AE132)/SUM($AD$129:AD132)-1</f>
        <v>-5.350635760389344E-2</v>
      </c>
      <c r="BY132" s="104">
        <f>SUM(AE$129:AE132)/(SUM(Z$129:AD132)/5)-1</f>
        <v>-3.1629116383837808E-2</v>
      </c>
    </row>
    <row r="133" spans="1:77">
      <c r="A133" s="69" t="s">
        <v>30</v>
      </c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>
        <f>'NASS Data'!$E5</f>
        <v>396.00700000000001</v>
      </c>
      <c r="X133" s="76">
        <f>'NASS Data'!$E17</f>
        <v>397.02800000000002</v>
      </c>
      <c r="Y133" s="76">
        <f>'NASS Data'!$E29</f>
        <v>424.26900000000001</v>
      </c>
      <c r="Z133" s="76">
        <f>'NASS Data'!$E41</f>
        <v>431.47399999999999</v>
      </c>
      <c r="AA133" s="76">
        <f>'NASS Data'!$E53</f>
        <v>405.45400000000001</v>
      </c>
      <c r="AB133" s="76">
        <f>'NASS Data'!$E65</f>
        <v>422.56400000000002</v>
      </c>
      <c r="AC133" s="76">
        <f>'NASS Data'!$E77</f>
        <v>373.56299999999999</v>
      </c>
      <c r="AD133" s="76">
        <f>'NASS Data'!$E89</f>
        <v>427.80399999999997</v>
      </c>
      <c r="AE133" s="76">
        <f>'NASS Data'!$E101</f>
        <v>403.89100000000002</v>
      </c>
      <c r="AF133" s="76">
        <f>'NASS Data'!$E113</f>
        <v>407.964</v>
      </c>
      <c r="AG133" s="76">
        <f>'NASS Data'!E125</f>
        <v>428.99299999999999</v>
      </c>
      <c r="AH133" s="77">
        <f t="shared" si="113"/>
        <v>411.25649538320187</v>
      </c>
      <c r="AI133" s="77">
        <f t="shared" si="113"/>
        <v>418.68579376870343</v>
      </c>
      <c r="AJ133" s="77">
        <f t="shared" si="113"/>
        <v>421.7041003707983</v>
      </c>
      <c r="AK133" s="77">
        <f t="shared" si="113"/>
        <v>423.35271029858978</v>
      </c>
      <c r="AL133" s="77">
        <f t="shared" si="113"/>
        <v>427.47206942574036</v>
      </c>
      <c r="AM133" s="77">
        <f t="shared" si="113"/>
        <v>430.2825338714793</v>
      </c>
      <c r="AN133" s="77">
        <f t="shared" si="113"/>
        <v>435.70609120576188</v>
      </c>
      <c r="AO133" s="77">
        <f t="shared" si="113"/>
        <v>438.64452658945635</v>
      </c>
      <c r="AP133" s="77">
        <f t="shared" si="113"/>
        <v>442.1040251420489</v>
      </c>
      <c r="AQ133" s="77">
        <f t="shared" si="113"/>
        <v>445.64487409069562</v>
      </c>
      <c r="AR133" s="77">
        <f t="shared" si="113"/>
        <v>449.57227130569362</v>
      </c>
      <c r="AS133" s="77">
        <f t="shared" si="113"/>
        <v>453.45714654817039</v>
      </c>
      <c r="AT133" s="77">
        <f t="shared" si="113"/>
        <v>457.3462331429219</v>
      </c>
      <c r="AU133" s="77">
        <f t="shared" si="113"/>
        <v>461.05504579514115</v>
      </c>
      <c r="AV133" s="77">
        <f t="shared" si="113"/>
        <v>464.96297016330334</v>
      </c>
      <c r="AW133" s="77">
        <f t="shared" si="113"/>
        <v>468.91371759367649</v>
      </c>
      <c r="AX133" s="77">
        <f t="shared" si="113"/>
        <v>502.21870900217465</v>
      </c>
      <c r="AY133" s="77">
        <f t="shared" si="113"/>
        <v>513.90826489570975</v>
      </c>
      <c r="AZ133" s="77">
        <f t="shared" si="113"/>
        <v>525.35468439521708</v>
      </c>
      <c r="BA133" s="77">
        <f t="shared" si="113"/>
        <v>538.3148025011709</v>
      </c>
      <c r="BB133" s="77">
        <f t="shared" si="113"/>
        <v>553.14092309832301</v>
      </c>
      <c r="BC133" s="77">
        <f t="shared" si="113"/>
        <v>570.1584664053205</v>
      </c>
      <c r="BD133" s="77">
        <f t="shared" si="113"/>
        <v>583.88900488366232</v>
      </c>
      <c r="BE133" s="77">
        <f t="shared" si="113"/>
        <v>598.02135227592612</v>
      </c>
      <c r="BF133" s="77">
        <f t="shared" si="113"/>
        <v>612.6969321805044</v>
      </c>
      <c r="BV133" s="104">
        <f t="shared" si="114"/>
        <v>-5.5897093061308301E-2</v>
      </c>
      <c r="BW133" s="104">
        <f t="shared" si="115"/>
        <v>-2.0090651519584668E-2</v>
      </c>
      <c r="BX133" s="104">
        <f>SUM($AE$129:AE133)/SUM($AD$129:AD133)-1</f>
        <v>-5.3994693445493236E-2</v>
      </c>
      <c r="BY133" s="104">
        <f>SUM(AE$129:AE133)/(SUM(Z$129:AD133)/5)-1</f>
        <v>-2.9299092316348196E-2</v>
      </c>
    </row>
    <row r="134" spans="1:77">
      <c r="A134" s="69" t="s">
        <v>31</v>
      </c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>
        <f>'NASS Data'!$E6</f>
        <v>353.76299999999998</v>
      </c>
      <c r="X134" s="76">
        <f>'NASS Data'!$E18</f>
        <v>377.53</v>
      </c>
      <c r="Y134" s="76">
        <f>'NASS Data'!$E30</f>
        <v>382.38299999999998</v>
      </c>
      <c r="Z134" s="76">
        <f>'NASS Data'!$E42</f>
        <v>393.31799999999998</v>
      </c>
      <c r="AA134" s="76">
        <f>'NASS Data'!$E54</f>
        <v>367.27300000000002</v>
      </c>
      <c r="AB134" s="76">
        <f>'NASS Data'!$E66</f>
        <v>389.34500000000003</v>
      </c>
      <c r="AC134" s="76">
        <f>'NASS Data'!$E78</f>
        <v>300.49</v>
      </c>
      <c r="AD134" s="76">
        <f>'NASS Data'!$E90</f>
        <v>378.45400000000001</v>
      </c>
      <c r="AE134" s="76">
        <f>'NASS Data'!$E102</f>
        <v>364.75200000000001</v>
      </c>
      <c r="AF134" s="76">
        <f>'NASS Data'!$E114</f>
        <v>411.87700000000001</v>
      </c>
      <c r="AG134" s="77">
        <f t="shared" ref="AG134:AV140" si="116">AG118*AG230</f>
        <v>396.31648528991246</v>
      </c>
      <c r="AH134" s="77">
        <f t="shared" si="116"/>
        <v>382.78223983933526</v>
      </c>
      <c r="AI134" s="77">
        <f t="shared" si="113"/>
        <v>392.71788037440746</v>
      </c>
      <c r="AJ134" s="77">
        <f t="shared" si="113"/>
        <v>399.5361384276531</v>
      </c>
      <c r="AK134" s="77">
        <f t="shared" si="113"/>
        <v>402.9469351281362</v>
      </c>
      <c r="AL134" s="77">
        <f t="shared" si="113"/>
        <v>402.03740854766124</v>
      </c>
      <c r="AM134" s="77">
        <f t="shared" si="113"/>
        <v>406.0597299313585</v>
      </c>
      <c r="AN134" s="77">
        <f t="shared" si="113"/>
        <v>410.45381037992297</v>
      </c>
      <c r="AO134" s="77">
        <f t="shared" si="113"/>
        <v>414.12781155531349</v>
      </c>
      <c r="AP134" s="77">
        <f t="shared" si="113"/>
        <v>417.33552927056417</v>
      </c>
      <c r="AQ134" s="77">
        <f t="shared" si="113"/>
        <v>420.11697742448149</v>
      </c>
      <c r="AR134" s="77">
        <f t="shared" si="113"/>
        <v>423.91733000814475</v>
      </c>
      <c r="AS134" s="77">
        <f t="shared" si="113"/>
        <v>427.52048287008995</v>
      </c>
      <c r="AT134" s="77">
        <f t="shared" si="113"/>
        <v>431.0772451539919</v>
      </c>
      <c r="AU134" s="77">
        <f t="shared" si="113"/>
        <v>434.56437548543749</v>
      </c>
      <c r="AV134" s="77">
        <f t="shared" si="113"/>
        <v>438.13087576466501</v>
      </c>
      <c r="AW134" s="77">
        <f t="shared" si="113"/>
        <v>441.81967856138772</v>
      </c>
      <c r="AX134" s="77">
        <f t="shared" si="113"/>
        <v>477.68802764289899</v>
      </c>
      <c r="AY134" s="77">
        <f t="shared" si="113"/>
        <v>483.66913303004969</v>
      </c>
      <c r="AZ134" s="77">
        <f t="shared" si="113"/>
        <v>494.29591162800511</v>
      </c>
      <c r="BA134" s="77">
        <f t="shared" si="113"/>
        <v>506.36301493016799</v>
      </c>
      <c r="BB134" s="77">
        <f t="shared" si="113"/>
        <v>520.14910900173516</v>
      </c>
      <c r="BC134" s="77">
        <f t="shared" si="113"/>
        <v>535.97233609796888</v>
      </c>
      <c r="BD134" s="77">
        <f t="shared" si="113"/>
        <v>547.74518031381149</v>
      </c>
      <c r="BE134" s="77">
        <f t="shared" si="113"/>
        <v>560.68343873527192</v>
      </c>
      <c r="BF134" s="77">
        <f t="shared" si="113"/>
        <v>574.09140584066654</v>
      </c>
      <c r="BV134" s="104">
        <f t="shared" si="114"/>
        <v>-3.6205192705057954E-2</v>
      </c>
      <c r="BW134" s="104">
        <f t="shared" si="115"/>
        <v>-2.7995275797209063E-3</v>
      </c>
      <c r="BX134" s="104">
        <f>SUM($AE$129:AE134)/SUM($AD$129:AD134)-1</f>
        <v>-5.1272117742923617E-2</v>
      </c>
      <c r="BY134" s="104">
        <f>SUM(AE$129:AE134)/(SUM(Z$129:AD134)/5)-1</f>
        <v>-2.5271932552118237E-2</v>
      </c>
    </row>
    <row r="135" spans="1:77">
      <c r="A135" s="69" t="s">
        <v>32</v>
      </c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>
        <f>'NASS Data'!$E7</f>
        <v>391.73599999999999</v>
      </c>
      <c r="X135" s="76">
        <f>'NASS Data'!$E19</f>
        <v>390.91800000000001</v>
      </c>
      <c r="Y135" s="76">
        <f>'NASS Data'!$E31</f>
        <v>413.733</v>
      </c>
      <c r="Z135" s="76">
        <f>'NASS Data'!$E43</f>
        <v>428.916</v>
      </c>
      <c r="AA135" s="76">
        <f>'NASS Data'!$E55</f>
        <v>400.93700000000001</v>
      </c>
      <c r="AB135" s="76">
        <f>'NASS Data'!$E67</f>
        <v>370.08</v>
      </c>
      <c r="AC135" s="76">
        <f>'NASS Data'!$E79</f>
        <v>383.54399999999998</v>
      </c>
      <c r="AD135" s="76">
        <f>'NASS Data'!$E91</f>
        <v>419.66699999999997</v>
      </c>
      <c r="AE135" s="76">
        <f>'NASS Data'!$E103</f>
        <v>399.12299999999999</v>
      </c>
      <c r="AF135" s="76">
        <f>'NASS Data'!$E115</f>
        <v>435.58800000000002</v>
      </c>
      <c r="AG135" s="77">
        <f t="shared" si="116"/>
        <v>425.22905266690981</v>
      </c>
      <c r="AH135" s="77">
        <f t="shared" si="116"/>
        <v>419.12414066439362</v>
      </c>
      <c r="AI135" s="77">
        <f t="shared" si="113"/>
        <v>418.84841558035498</v>
      </c>
      <c r="AJ135" s="77">
        <f t="shared" si="113"/>
        <v>420.24198632415266</v>
      </c>
      <c r="AK135" s="77">
        <f t="shared" si="113"/>
        <v>421.28718926942861</v>
      </c>
      <c r="AL135" s="77">
        <f t="shared" si="113"/>
        <v>427.09577498086628</v>
      </c>
      <c r="AM135" s="77">
        <f t="shared" si="113"/>
        <v>432.74400486000826</v>
      </c>
      <c r="AN135" s="77">
        <f t="shared" si="113"/>
        <v>434.7774554838046</v>
      </c>
      <c r="AO135" s="77">
        <f t="shared" si="113"/>
        <v>438.0485335305591</v>
      </c>
      <c r="AP135" s="77">
        <f t="shared" si="113"/>
        <v>441.75522055021122</v>
      </c>
      <c r="AQ135" s="77">
        <f t="shared" si="113"/>
        <v>445.72599819016938</v>
      </c>
      <c r="AR135" s="77">
        <f t="shared" si="113"/>
        <v>449.77756236686298</v>
      </c>
      <c r="AS135" s="77">
        <f t="shared" si="113"/>
        <v>453.28082185424273</v>
      </c>
      <c r="AT135" s="77">
        <f t="shared" si="113"/>
        <v>457.06040612336642</v>
      </c>
      <c r="AU135" s="77">
        <f t="shared" si="113"/>
        <v>460.96151338074827</v>
      </c>
      <c r="AV135" s="77">
        <f t="shared" si="113"/>
        <v>464.93250956520643</v>
      </c>
      <c r="AW135" s="77">
        <f t="shared" si="113"/>
        <v>468.86262049334835</v>
      </c>
      <c r="AX135" s="77">
        <f t="shared" si="113"/>
        <v>499.93699012009881</v>
      </c>
      <c r="AY135" s="77">
        <f t="shared" si="113"/>
        <v>504.57593382204493</v>
      </c>
      <c r="AZ135" s="77">
        <f t="shared" si="113"/>
        <v>514.15896636897446</v>
      </c>
      <c r="BA135" s="77">
        <f t="shared" si="113"/>
        <v>524.90719728194642</v>
      </c>
      <c r="BB135" s="77">
        <f t="shared" si="113"/>
        <v>537.01987549825787</v>
      </c>
      <c r="BC135" s="77">
        <f t="shared" si="113"/>
        <v>550.78792712579354</v>
      </c>
      <c r="BD135" s="77">
        <f t="shared" si="113"/>
        <v>561.06021282858399</v>
      </c>
      <c r="BE135" s="77">
        <f t="shared" si="113"/>
        <v>572.4603215241101</v>
      </c>
      <c r="BF135" s="77">
        <f t="shared" si="113"/>
        <v>584.23096643473787</v>
      </c>
      <c r="BV135" s="104">
        <f t="shared" si="114"/>
        <v>-4.8953098528118688E-2</v>
      </c>
      <c r="BW135" s="104">
        <f t="shared" si="115"/>
        <v>-3.7585914941711263E-3</v>
      </c>
      <c r="BX135" s="104">
        <f>SUM($AE$129:AE135)/SUM($AD$129:AD135)-1</f>
        <v>-5.0935657311015459E-2</v>
      </c>
      <c r="BY135" s="104">
        <f>SUM(AE$129:AE135)/(SUM(Z$129:AD135)/5)-1</f>
        <v>-2.2202003453305807E-2</v>
      </c>
    </row>
    <row r="136" spans="1:77">
      <c r="A136" s="69" t="s">
        <v>33</v>
      </c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>
        <f>'NASS Data'!$E8</f>
        <v>365.02800000000002</v>
      </c>
      <c r="X136" s="76">
        <f>'NASS Data'!$E20</f>
        <v>358.39100000000002</v>
      </c>
      <c r="Y136" s="76">
        <f>'NASS Data'!$E32</f>
        <v>393.64499999999998</v>
      </c>
      <c r="Z136" s="76">
        <f>'NASS Data'!$E44</f>
        <v>405.73200000000003</v>
      </c>
      <c r="AA136" s="76">
        <f>'NASS Data'!$E56</f>
        <v>399.72899999999998</v>
      </c>
      <c r="AB136" s="76">
        <f>'NASS Data'!$E68</f>
        <v>213.905</v>
      </c>
      <c r="AC136" s="76">
        <f>'NASS Data'!$E80</f>
        <v>411.55900000000003</v>
      </c>
      <c r="AD136" s="76">
        <f>'NASS Data'!$E92</f>
        <v>386.96600000000001</v>
      </c>
      <c r="AE136" s="76">
        <f>'NASS Data'!$E104</f>
        <v>380.822</v>
      </c>
      <c r="AF136" s="76">
        <f>'NASS Data'!$E116</f>
        <v>389.81700000000001</v>
      </c>
      <c r="AG136" s="77">
        <f t="shared" si="116"/>
        <v>372.00321446009877</v>
      </c>
      <c r="AH136" s="77">
        <f t="shared" si="116"/>
        <v>393.00360677046109</v>
      </c>
      <c r="AI136" s="77">
        <f t="shared" si="113"/>
        <v>392.41440614813433</v>
      </c>
      <c r="AJ136" s="77">
        <f t="shared" si="113"/>
        <v>395.20956475774506</v>
      </c>
      <c r="AK136" s="77">
        <f t="shared" si="113"/>
        <v>398.8937530447825</v>
      </c>
      <c r="AL136" s="77">
        <f t="shared" si="113"/>
        <v>399.47719361853729</v>
      </c>
      <c r="AM136" s="77">
        <f t="shared" si="113"/>
        <v>405.30180757674964</v>
      </c>
      <c r="AN136" s="77">
        <f t="shared" si="113"/>
        <v>407.61938948671906</v>
      </c>
      <c r="AO136" s="77">
        <f t="shared" si="113"/>
        <v>412.02219952883388</v>
      </c>
      <c r="AP136" s="77">
        <f t="shared" si="113"/>
        <v>414.90153542765586</v>
      </c>
      <c r="AQ136" s="77">
        <f t="shared" si="113"/>
        <v>418.16062078925398</v>
      </c>
      <c r="AR136" s="77">
        <f t="shared" si="113"/>
        <v>421.89002487699975</v>
      </c>
      <c r="AS136" s="77">
        <f t="shared" si="113"/>
        <v>425.31038665517121</v>
      </c>
      <c r="AT136" s="77">
        <f t="shared" si="113"/>
        <v>429.06282138298582</v>
      </c>
      <c r="AU136" s="77">
        <f t="shared" si="113"/>
        <v>432.63380085953719</v>
      </c>
      <c r="AV136" s="77">
        <f t="shared" si="113"/>
        <v>436.18344428125943</v>
      </c>
      <c r="AW136" s="77">
        <f t="shared" si="113"/>
        <v>439.91169604225581</v>
      </c>
      <c r="AX136" s="77">
        <f t="shared" si="113"/>
        <v>467.03857888727509</v>
      </c>
      <c r="AY136" s="77">
        <f t="shared" si="113"/>
        <v>469.73982613637918</v>
      </c>
      <c r="AZ136" s="77">
        <f t="shared" si="113"/>
        <v>477.96242208097095</v>
      </c>
      <c r="BA136" s="77">
        <f t="shared" si="113"/>
        <v>487.11586036134906</v>
      </c>
      <c r="BB136" s="77">
        <f t="shared" si="113"/>
        <v>497.38619986709034</v>
      </c>
      <c r="BC136" s="77">
        <f t="shared" si="113"/>
        <v>509.00174650885913</v>
      </c>
      <c r="BD136" s="77">
        <f t="shared" si="113"/>
        <v>517.46916116666102</v>
      </c>
      <c r="BE136" s="77">
        <f t="shared" si="113"/>
        <v>527.10622358624391</v>
      </c>
      <c r="BF136" s="77">
        <f t="shared" si="113"/>
        <v>537.02793005975707</v>
      </c>
      <c r="BV136" s="104">
        <f t="shared" si="114"/>
        <v>-1.5877363902771835E-2</v>
      </c>
      <c r="BW136" s="104">
        <f t="shared" si="115"/>
        <v>4.7428036114376404E-2</v>
      </c>
      <c r="BX136" s="104">
        <f>SUM($AE$129:AE136)/SUM($AD$129:AD136)-1</f>
        <v>-4.6798911290150347E-2</v>
      </c>
      <c r="BY136" s="104">
        <f>SUM(AE$129:AE136)/(SUM(Z$129:AD136)/5)-1</f>
        <v>-1.4218641372150898E-2</v>
      </c>
    </row>
    <row r="137" spans="1:77">
      <c r="A137" s="69" t="s">
        <v>14</v>
      </c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>
        <f>'NASS Data'!$E9</f>
        <v>401.26299999999998</v>
      </c>
      <c r="X137" s="76">
        <f>'NASS Data'!$E21</f>
        <v>379.47399999999999</v>
      </c>
      <c r="Y137" s="76">
        <f>'NASS Data'!$E33</f>
        <v>405.50299999999999</v>
      </c>
      <c r="Z137" s="76">
        <f>'NASS Data'!$E45</f>
        <v>430.32400000000001</v>
      </c>
      <c r="AA137" s="76">
        <f>'NASS Data'!$E57</f>
        <v>418.28</v>
      </c>
      <c r="AB137" s="76">
        <f>'NASS Data'!$E69</f>
        <v>255.61699999999999</v>
      </c>
      <c r="AC137" s="76">
        <f>'NASS Data'!$E81</f>
        <v>402.74299999999999</v>
      </c>
      <c r="AD137" s="76">
        <f>'NASS Data'!$E93</f>
        <v>412.72699999999998</v>
      </c>
      <c r="AE137" s="76">
        <f>'NASS Data'!$E105</f>
        <v>406.45400000000001</v>
      </c>
      <c r="AF137" s="76">
        <f>'NASS Data'!$E117</f>
        <v>420.10300000000001</v>
      </c>
      <c r="AG137" s="77">
        <f t="shared" si="116"/>
        <v>394.34938447620834</v>
      </c>
      <c r="AH137" s="77">
        <f t="shared" si="116"/>
        <v>412.50753944741041</v>
      </c>
      <c r="AI137" s="77">
        <f t="shared" si="113"/>
        <v>415.92087124920329</v>
      </c>
      <c r="AJ137" s="77">
        <f t="shared" si="113"/>
        <v>418.82896250707608</v>
      </c>
      <c r="AK137" s="77">
        <f t="shared" si="113"/>
        <v>420.83439813934285</v>
      </c>
      <c r="AL137" s="77">
        <f t="shared" si="113"/>
        <v>421.75953597073595</v>
      </c>
      <c r="AM137" s="77">
        <f t="shared" si="113"/>
        <v>429.07636357263397</v>
      </c>
      <c r="AN137" s="77">
        <f t="shared" si="113"/>
        <v>431.79223308370075</v>
      </c>
      <c r="AO137" s="77">
        <f t="shared" si="113"/>
        <v>435.72728892500038</v>
      </c>
      <c r="AP137" s="77">
        <f t="shared" si="113"/>
        <v>438.99854913796162</v>
      </c>
      <c r="AQ137" s="77">
        <f t="shared" si="113"/>
        <v>442.72675027371508</v>
      </c>
      <c r="AR137" s="77">
        <f t="shared" si="113"/>
        <v>446.96316922765993</v>
      </c>
      <c r="AS137" s="77">
        <f t="shared" si="113"/>
        <v>450.62116752984707</v>
      </c>
      <c r="AT137" s="77">
        <f t="shared" si="113"/>
        <v>454.53694286649898</v>
      </c>
      <c r="AU137" s="77">
        <f t="shared" si="113"/>
        <v>458.49498460402714</v>
      </c>
      <c r="AV137" s="77">
        <f t="shared" si="113"/>
        <v>462.44983214193132</v>
      </c>
      <c r="AW137" s="77">
        <f t="shared" si="113"/>
        <v>466.51592288434676</v>
      </c>
      <c r="AX137" s="77">
        <f t="shared" si="113"/>
        <v>486.95940430868416</v>
      </c>
      <c r="AY137" s="77">
        <f t="shared" si="113"/>
        <v>487.88759776912343</v>
      </c>
      <c r="AZ137" s="77">
        <f t="shared" si="113"/>
        <v>494.62443073308918</v>
      </c>
      <c r="BA137" s="77">
        <f t="shared" si="113"/>
        <v>501.92006056614707</v>
      </c>
      <c r="BB137" s="77">
        <f t="shared" si="113"/>
        <v>509.87640321962886</v>
      </c>
      <c r="BC137" s="77">
        <f t="shared" si="113"/>
        <v>518.63222154570076</v>
      </c>
      <c r="BD137" s="77">
        <f t="shared" si="113"/>
        <v>525.02266889302587</v>
      </c>
      <c r="BE137" s="77">
        <f t="shared" si="113"/>
        <v>532.51868223920985</v>
      </c>
      <c r="BF137" s="77">
        <f t="shared" si="113"/>
        <v>540.16519890094446</v>
      </c>
      <c r="BV137" s="104">
        <f t="shared" si="114"/>
        <v>-1.5198908721745785E-2</v>
      </c>
      <c r="BW137" s="104">
        <f t="shared" si="115"/>
        <v>5.8644333905821577E-2</v>
      </c>
      <c r="BX137" s="104">
        <f>SUM($AE$129:AE137)/SUM($AD$129:AD137)-1</f>
        <v>-4.3266557517797399E-2</v>
      </c>
      <c r="BY137" s="104">
        <f>SUM(AE$129:AE137)/(SUM(Z$129:AD137)/5)-1</f>
        <v>-6.3495406844518154E-3</v>
      </c>
    </row>
    <row r="138" spans="1:77">
      <c r="A138" s="69" t="s">
        <v>34</v>
      </c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>
        <f>'NASS Data'!$E10</f>
        <v>395.70400000000001</v>
      </c>
      <c r="X138" s="76">
        <f>'NASS Data'!$E22</f>
        <v>382.79700000000003</v>
      </c>
      <c r="Y138" s="76">
        <f>'NASS Data'!$E34</f>
        <v>388.298</v>
      </c>
      <c r="Z138" s="76">
        <f>'NASS Data'!$E46</f>
        <v>421.46300000000002</v>
      </c>
      <c r="AA138" s="76">
        <f>'NASS Data'!$E58</f>
        <v>415.76299999999998</v>
      </c>
      <c r="AB138" s="76">
        <f>'NASS Data'!$E70</f>
        <v>337.66500000000002</v>
      </c>
      <c r="AC138" s="76">
        <f>'NASS Data'!$E82</f>
        <v>411.04199999999997</v>
      </c>
      <c r="AD138" s="76">
        <f>'NASS Data'!$E94</f>
        <v>407.83100000000002</v>
      </c>
      <c r="AE138" s="76">
        <f>'NASS Data'!$E106</f>
        <v>408.28300000000002</v>
      </c>
      <c r="AF138" s="76">
        <f>'NASS Data'!$E118</f>
        <v>409.86</v>
      </c>
      <c r="AG138" s="77">
        <f t="shared" si="116"/>
        <v>410.96119910989216</v>
      </c>
      <c r="AH138" s="77">
        <f t="shared" si="116"/>
        <v>414.15552446301854</v>
      </c>
      <c r="AI138" s="77">
        <f t="shared" si="113"/>
        <v>414.48394161341099</v>
      </c>
      <c r="AJ138" s="77">
        <f t="shared" si="113"/>
        <v>416.99312976394822</v>
      </c>
      <c r="AK138" s="77">
        <f t="shared" si="113"/>
        <v>417.696692807413</v>
      </c>
      <c r="AL138" s="77">
        <f t="shared" si="113"/>
        <v>424.04336768202279</v>
      </c>
      <c r="AM138" s="77">
        <f t="shared" si="113"/>
        <v>428.79158049958323</v>
      </c>
      <c r="AN138" s="77">
        <f t="shared" si="113"/>
        <v>431.22844222506666</v>
      </c>
      <c r="AO138" s="77">
        <f t="shared" si="113"/>
        <v>435.17151756810921</v>
      </c>
      <c r="AP138" s="77">
        <f t="shared" si="113"/>
        <v>438.66787105210267</v>
      </c>
      <c r="AQ138" s="77">
        <f t="shared" si="113"/>
        <v>442.88894580116488</v>
      </c>
      <c r="AR138" s="77">
        <f t="shared" si="113"/>
        <v>446.73814973587093</v>
      </c>
      <c r="AS138" s="77">
        <f t="shared" si="113"/>
        <v>450.53594766135001</v>
      </c>
      <c r="AT138" s="77">
        <f t="shared" si="113"/>
        <v>454.48847856622319</v>
      </c>
      <c r="AU138" s="77">
        <f t="shared" si="113"/>
        <v>458.50638967930274</v>
      </c>
      <c r="AV138" s="77">
        <f t="shared" si="113"/>
        <v>462.55114701573018</v>
      </c>
      <c r="AW138" s="77">
        <f t="shared" si="113"/>
        <v>466.59642587489486</v>
      </c>
      <c r="AX138" s="77">
        <f t="shared" si="113"/>
        <v>480.62952176576437</v>
      </c>
      <c r="AY138" s="77">
        <f t="shared" si="113"/>
        <v>475.81968446116656</v>
      </c>
      <c r="AZ138" s="77">
        <f t="shared" si="113"/>
        <v>480.11167319577925</v>
      </c>
      <c r="BA138" s="77">
        <f t="shared" si="113"/>
        <v>484.47081021144851</v>
      </c>
      <c r="BB138" s="77">
        <f t="shared" si="113"/>
        <v>488.88046200877534</v>
      </c>
      <c r="BC138" s="77">
        <f t="shared" si="113"/>
        <v>493.37517216880195</v>
      </c>
      <c r="BD138" s="77">
        <f t="shared" si="113"/>
        <v>495.93924478736039</v>
      </c>
      <c r="BE138" s="77">
        <f t="shared" si="113"/>
        <v>499.99353823824276</v>
      </c>
      <c r="BF138" s="77">
        <f t="shared" si="113"/>
        <v>503.99781393034647</v>
      </c>
      <c r="BV138" s="104">
        <f t="shared" si="114"/>
        <v>1.1083022134168452E-3</v>
      </c>
      <c r="BW138" s="104">
        <f t="shared" si="115"/>
        <v>2.3900020263180499E-2</v>
      </c>
      <c r="BX138" s="104">
        <f>SUM($AE$129:AE138)/SUM($AD$129:AD138)-1</f>
        <v>-3.8852585684613361E-2</v>
      </c>
      <c r="BY138" s="104">
        <f>SUM(AE$129:AE138)/(SUM(Z$129:AD138)/5)-1</f>
        <v>-3.2987659207068809E-3</v>
      </c>
    </row>
    <row r="139" spans="1:77">
      <c r="A139" s="69" t="s">
        <v>35</v>
      </c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>
        <f>'NASS Data'!$E11</f>
        <v>401.423</v>
      </c>
      <c r="X139" s="76">
        <f>'NASS Data'!$E23</f>
        <v>408.50400000000002</v>
      </c>
      <c r="Y139" s="76">
        <f>'NASS Data'!$E35</f>
        <v>412.30500000000001</v>
      </c>
      <c r="Z139" s="76">
        <f>'NASS Data'!$E47</f>
        <v>438.08100000000002</v>
      </c>
      <c r="AA139" s="76">
        <f>'NASS Data'!$E59</f>
        <v>407.32799999999997</v>
      </c>
      <c r="AB139" s="76">
        <f>'NASS Data'!$E71</f>
        <v>379.06299999999999</v>
      </c>
      <c r="AC139" s="76">
        <f>'NASS Data'!$E83</f>
        <v>429.39100000000002</v>
      </c>
      <c r="AD139" s="76">
        <f>'NASS Data'!$E95</f>
        <v>413.62900000000002</v>
      </c>
      <c r="AE139" s="76">
        <f>'NASS Data'!$E107</f>
        <v>418.36700000000002</v>
      </c>
      <c r="AF139" s="76">
        <f>'NASS Data'!$E119</f>
        <v>446.78800000000001</v>
      </c>
      <c r="AG139" s="77">
        <f t="shared" si="116"/>
        <v>413.48667002142378</v>
      </c>
      <c r="AH139" s="77">
        <f t="shared" si="116"/>
        <v>413.7722326244882</v>
      </c>
      <c r="AI139" s="77">
        <f t="shared" si="113"/>
        <v>410.84836373984638</v>
      </c>
      <c r="AJ139" s="77">
        <f t="shared" si="113"/>
        <v>420.89821103270225</v>
      </c>
      <c r="AK139" s="77">
        <f t="shared" si="113"/>
        <v>423.84721909809343</v>
      </c>
      <c r="AL139" s="77">
        <f t="shared" si="113"/>
        <v>426.09643213380701</v>
      </c>
      <c r="AM139" s="77">
        <f t="shared" si="113"/>
        <v>430.74125122451483</v>
      </c>
      <c r="AN139" s="77">
        <f t="shared" si="113"/>
        <v>433.74420417710598</v>
      </c>
      <c r="AO139" s="77">
        <f t="shared" si="113"/>
        <v>438.74738627981958</v>
      </c>
      <c r="AP139" s="77">
        <f t="shared" si="113"/>
        <v>442.26360823670558</v>
      </c>
      <c r="AQ139" s="77">
        <f t="shared" si="113"/>
        <v>445.82812178162555</v>
      </c>
      <c r="AR139" s="77">
        <f t="shared" si="113"/>
        <v>450.03249857699581</v>
      </c>
      <c r="AS139" s="77">
        <f t="shared" ref="AS139:BF140" si="117">AS123*AS235</f>
        <v>454.04848477480033</v>
      </c>
      <c r="AT139" s="77">
        <f t="shared" si="117"/>
        <v>458.22673553950449</v>
      </c>
      <c r="AU139" s="77">
        <f t="shared" si="117"/>
        <v>462.22776911325525</v>
      </c>
      <c r="AV139" s="77">
        <f t="shared" si="117"/>
        <v>466.32788653474807</v>
      </c>
      <c r="AW139" s="77">
        <f t="shared" si="117"/>
        <v>470.53614171264911</v>
      </c>
      <c r="AX139" s="77">
        <f t="shared" si="117"/>
        <v>473.54776300431769</v>
      </c>
      <c r="AY139" s="77">
        <f t="shared" si="117"/>
        <v>495.13853683289886</v>
      </c>
      <c r="AZ139" s="77">
        <f t="shared" si="117"/>
        <v>502.57892556943915</v>
      </c>
      <c r="BA139" s="77">
        <f t="shared" si="117"/>
        <v>510.72665423663722</v>
      </c>
      <c r="BB139" s="77">
        <f t="shared" si="117"/>
        <v>519.68558717864619</v>
      </c>
      <c r="BC139" s="77">
        <f t="shared" si="117"/>
        <v>529.61087818709962</v>
      </c>
      <c r="BD139" s="77">
        <f t="shared" si="117"/>
        <v>540.93506954012616</v>
      </c>
      <c r="BE139" s="77">
        <f t="shared" si="117"/>
        <v>550.17564633117684</v>
      </c>
      <c r="BF139" s="77">
        <f t="shared" si="117"/>
        <v>559.78183569200485</v>
      </c>
      <c r="BV139" s="104">
        <f t="shared" si="114"/>
        <v>1.1454709413508235E-2</v>
      </c>
      <c r="BW139" s="104">
        <f t="shared" si="115"/>
        <v>1.1774168896421244E-2</v>
      </c>
      <c r="BX139" s="104">
        <f>SUM($AE$129:AE139)/SUM($AD$129:AD139)-1</f>
        <v>-3.4242461503013466E-2</v>
      </c>
      <c r="BY139" s="104">
        <f>SUM(AE$129:AE139)/(SUM(Z$129:AD139)/5)-1</f>
        <v>-1.8716455093323869E-3</v>
      </c>
    </row>
    <row r="140" spans="1:77">
      <c r="A140" s="69" t="s">
        <v>36</v>
      </c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>
        <f>'NASS Data'!$E12</f>
        <v>398.22199999999998</v>
      </c>
      <c r="X140" s="76">
        <f>'NASS Data'!$E24</f>
        <v>411.40600000000001</v>
      </c>
      <c r="Y140" s="76">
        <f>'NASS Data'!$E36</f>
        <v>431.26799999999997</v>
      </c>
      <c r="Z140" s="76">
        <f>'NASS Data'!$E48</f>
        <v>441.04300000000001</v>
      </c>
      <c r="AA140" s="76">
        <f>'NASS Data'!$E60</f>
        <v>410.74900000000002</v>
      </c>
      <c r="AB140" s="76">
        <f>'NASS Data'!$E72</f>
        <v>371.3</v>
      </c>
      <c r="AC140" s="76">
        <f>'NASS Data'!$E84</f>
        <v>439.31200000000001</v>
      </c>
      <c r="AD140" s="76">
        <f>'NASS Data'!$E96</f>
        <v>402.322</v>
      </c>
      <c r="AE140" s="76">
        <f>'NASS Data'!$E108</f>
        <v>405.91</v>
      </c>
      <c r="AF140" s="76">
        <f>'NASS Data'!$E120</f>
        <v>434.02699999999999</v>
      </c>
      <c r="AG140" s="77">
        <f t="shared" si="116"/>
        <v>429.77582152460991</v>
      </c>
      <c r="AH140" s="77">
        <f t="shared" si="116"/>
        <v>438.25756875985024</v>
      </c>
      <c r="AI140" s="77">
        <f t="shared" si="116"/>
        <v>431.17454753026703</v>
      </c>
      <c r="AJ140" s="77">
        <f t="shared" si="116"/>
        <v>436.99826993852679</v>
      </c>
      <c r="AK140" s="77">
        <f t="shared" si="116"/>
        <v>440.49422596087931</v>
      </c>
      <c r="AL140" s="77">
        <f t="shared" si="116"/>
        <v>444.89968350108984</v>
      </c>
      <c r="AM140" s="77">
        <f t="shared" si="116"/>
        <v>450.28285053239637</v>
      </c>
      <c r="AN140" s="77">
        <f t="shared" si="116"/>
        <v>451.86199812667672</v>
      </c>
      <c r="AO140" s="77">
        <f t="shared" si="116"/>
        <v>456.93543416684201</v>
      </c>
      <c r="AP140" s="77">
        <f t="shared" si="116"/>
        <v>460.59506928426191</v>
      </c>
      <c r="AQ140" s="77">
        <f t="shared" si="116"/>
        <v>464.57032396573152</v>
      </c>
      <c r="AR140" s="77">
        <f t="shared" si="116"/>
        <v>468.63129182979361</v>
      </c>
      <c r="AS140" s="77">
        <f t="shared" si="116"/>
        <v>472.60266868617464</v>
      </c>
      <c r="AT140" s="77">
        <f t="shared" si="116"/>
        <v>476.84583988597961</v>
      </c>
      <c r="AU140" s="77">
        <f t="shared" si="116"/>
        <v>480.91549689181227</v>
      </c>
      <c r="AV140" s="77">
        <f t="shared" si="116"/>
        <v>485.06965026000171</v>
      </c>
      <c r="AW140" s="77">
        <f t="shared" si="117"/>
        <v>489.27743960111172</v>
      </c>
      <c r="AX140" s="77">
        <f t="shared" si="117"/>
        <v>510.10793989206007</v>
      </c>
      <c r="AY140" s="77">
        <f t="shared" si="117"/>
        <v>508.47802936721428</v>
      </c>
      <c r="AZ140" s="77">
        <f t="shared" si="117"/>
        <v>514.83018504850463</v>
      </c>
      <c r="BA140" s="77">
        <f t="shared" si="117"/>
        <v>521.6813536597158</v>
      </c>
      <c r="BB140" s="77">
        <f t="shared" si="117"/>
        <v>529.06063450161685</v>
      </c>
      <c r="BC140" s="77">
        <f t="shared" si="117"/>
        <v>537.09684041069727</v>
      </c>
      <c r="BD140" s="77">
        <f t="shared" si="117"/>
        <v>542.53871748216329</v>
      </c>
      <c r="BE140" s="77">
        <f t="shared" si="117"/>
        <v>549.40502203803828</v>
      </c>
      <c r="BF140" s="77">
        <f t="shared" si="117"/>
        <v>556.37717616169357</v>
      </c>
      <c r="BV140" s="104">
        <f t="shared" si="114"/>
        <v>8.9182296767267299E-3</v>
      </c>
      <c r="BW140" s="104">
        <f t="shared" si="115"/>
        <v>-1.7036643118747863E-2</v>
      </c>
      <c r="BX140" s="104">
        <f>SUM($AE$129:AE140)/SUM($AD$129:AD140)-1</f>
        <v>-3.0710211398036535E-2</v>
      </c>
      <c r="BY140" s="104">
        <f>SUM(AE$129:AE140)/(SUM(Z$129:AD140)/5)-1</f>
        <v>-3.1816911052638952E-3</v>
      </c>
    </row>
    <row r="141" spans="1:77" ht="12" thickBot="1">
      <c r="A141" s="69" t="s">
        <v>138</v>
      </c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>
        <f t="shared" ref="W141:BF141" si="118">SUM(W129:W140)</f>
        <v>3103.1459999999997</v>
      </c>
      <c r="X141" s="76">
        <f t="shared" si="118"/>
        <v>4672.5730000000003</v>
      </c>
      <c r="Y141" s="76">
        <f t="shared" si="118"/>
        <v>4880.1180000000004</v>
      </c>
      <c r="Z141" s="76">
        <f t="shared" si="118"/>
        <v>5078.3860000000004</v>
      </c>
      <c r="AA141" s="76">
        <f t="shared" si="118"/>
        <v>4886.3439999999991</v>
      </c>
      <c r="AB141" s="76">
        <f t="shared" si="118"/>
        <v>4340.6900000000005</v>
      </c>
      <c r="AC141" s="76">
        <f t="shared" si="118"/>
        <v>4679.7189999999991</v>
      </c>
      <c r="AD141" s="76">
        <f t="shared" si="118"/>
        <v>4915.9870000000001</v>
      </c>
      <c r="AE141" s="76">
        <f t="shared" si="118"/>
        <v>4765.0160000000005</v>
      </c>
      <c r="AF141" s="76">
        <f t="shared" si="118"/>
        <v>5041.3009999999995</v>
      </c>
      <c r="AG141" s="77">
        <f t="shared" si="118"/>
        <v>4984.9828275490545</v>
      </c>
      <c r="AH141" s="77">
        <f t="shared" si="118"/>
        <v>4955.0513389845419</v>
      </c>
      <c r="AI141" s="77">
        <f t="shared" si="118"/>
        <v>4970.1982984182423</v>
      </c>
      <c r="AJ141" s="77">
        <f t="shared" si="118"/>
        <v>5005.701497297794</v>
      </c>
      <c r="AK141" s="77">
        <f t="shared" si="118"/>
        <v>5046.2479562924909</v>
      </c>
      <c r="AL141" s="77">
        <f t="shared" si="118"/>
        <v>5077.8062870730555</v>
      </c>
      <c r="AM141" s="77">
        <f t="shared" si="118"/>
        <v>5133.5550815247243</v>
      </c>
      <c r="AN141" s="77">
        <f t="shared" si="118"/>
        <v>5175.5559830027414</v>
      </c>
      <c r="AO141" s="77">
        <f t="shared" si="118"/>
        <v>5220.306929204482</v>
      </c>
      <c r="AP141" s="77">
        <f t="shared" si="118"/>
        <v>5263.6644404710578</v>
      </c>
      <c r="AQ141" s="77">
        <f t="shared" si="118"/>
        <v>5306.6599752546099</v>
      </c>
      <c r="AR141" s="77">
        <f t="shared" si="118"/>
        <v>5353.9116236126274</v>
      </c>
      <c r="AS141" s="77">
        <f t="shared" si="118"/>
        <v>5399.4396553952993</v>
      </c>
      <c r="AT141" s="77">
        <f t="shared" si="118"/>
        <v>5446.2225459393103</v>
      </c>
      <c r="AU141" s="77">
        <f t="shared" si="118"/>
        <v>5492.6099755724426</v>
      </c>
      <c r="AV141" s="77">
        <f t="shared" si="118"/>
        <v>5539.6140230160308</v>
      </c>
      <c r="AW141" s="77">
        <f t="shared" si="118"/>
        <v>5587.420254934842</v>
      </c>
      <c r="AX141" s="77">
        <f t="shared" si="118"/>
        <v>5789.2799617881838</v>
      </c>
      <c r="AY141" s="77">
        <f t="shared" si="118"/>
        <v>5932.7168811698193</v>
      </c>
      <c r="AZ141" s="77">
        <f t="shared" si="118"/>
        <v>6030.936778817344</v>
      </c>
      <c r="BA141" s="77">
        <f t="shared" si="118"/>
        <v>6139.6015620927719</v>
      </c>
      <c r="BB141" s="77">
        <f t="shared" si="118"/>
        <v>6260.7227980091848</v>
      </c>
      <c r="BC141" s="77">
        <f t="shared" si="118"/>
        <v>6396.7028466481743</v>
      </c>
      <c r="BD141" s="77">
        <f t="shared" si="118"/>
        <v>6519.3773228971713</v>
      </c>
      <c r="BE141" s="77">
        <f t="shared" si="118"/>
        <v>6637.8034614700582</v>
      </c>
      <c r="BF141" s="77">
        <f t="shared" si="118"/>
        <v>6760.3083143833501</v>
      </c>
    </row>
    <row r="142" spans="1:77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</row>
    <row r="143" spans="1:77" ht="12" thickBot="1">
      <c r="A143" s="105" t="s">
        <v>160</v>
      </c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X143" s="293" t="s">
        <v>156</v>
      </c>
      <c r="BY143" s="293"/>
    </row>
    <row r="144" spans="1:77" ht="12" thickBot="1">
      <c r="A144" s="84"/>
      <c r="B144" s="85" t="s">
        <v>66</v>
      </c>
      <c r="C144" s="86" t="s">
        <v>67</v>
      </c>
      <c r="D144" s="86" t="s">
        <v>68</v>
      </c>
      <c r="E144" s="86" t="s">
        <v>69</v>
      </c>
      <c r="F144" s="86" t="s">
        <v>70</v>
      </c>
      <c r="G144" s="86" t="s">
        <v>71</v>
      </c>
      <c r="H144" s="86" t="s">
        <v>72</v>
      </c>
      <c r="I144" s="86" t="s">
        <v>73</v>
      </c>
      <c r="J144" s="86" t="s">
        <v>74</v>
      </c>
      <c r="K144" s="86" t="s">
        <v>75</v>
      </c>
      <c r="L144" s="86" t="s">
        <v>76</v>
      </c>
      <c r="M144" s="86" t="s">
        <v>77</v>
      </c>
      <c r="N144" s="86" t="s">
        <v>78</v>
      </c>
      <c r="O144" s="86" t="s">
        <v>79</v>
      </c>
      <c r="P144" s="86" t="s">
        <v>80</v>
      </c>
      <c r="Q144" s="86" t="s">
        <v>81</v>
      </c>
      <c r="R144" s="86" t="s">
        <v>82</v>
      </c>
      <c r="S144" s="86" t="s">
        <v>83</v>
      </c>
      <c r="T144" s="86" t="s">
        <v>84</v>
      </c>
      <c r="U144" s="86" t="s">
        <v>85</v>
      </c>
      <c r="V144" s="86" t="s">
        <v>86</v>
      </c>
      <c r="W144" s="86" t="s">
        <v>87</v>
      </c>
      <c r="X144" s="86" t="s">
        <v>88</v>
      </c>
      <c r="Y144" s="86" t="s">
        <v>89</v>
      </c>
      <c r="Z144" s="86" t="s">
        <v>90</v>
      </c>
      <c r="AA144" s="86" t="s">
        <v>91</v>
      </c>
      <c r="AB144" s="86" t="s">
        <v>92</v>
      </c>
      <c r="AC144" s="86" t="s">
        <v>93</v>
      </c>
      <c r="AD144" s="86" t="str">
        <f>AD128</f>
        <v>21/22</v>
      </c>
      <c r="AE144" s="86" t="str">
        <f t="shared" ref="AE144:BF144" si="119">AE128</f>
        <v>22/23</v>
      </c>
      <c r="AF144" s="86" t="str">
        <f t="shared" si="119"/>
        <v>23/24</v>
      </c>
      <c r="AG144" s="86" t="str">
        <f t="shared" si="119"/>
        <v>24/25</v>
      </c>
      <c r="AH144" s="86" t="str">
        <f t="shared" si="119"/>
        <v>25/26</v>
      </c>
      <c r="AI144" s="86" t="str">
        <f t="shared" si="119"/>
        <v>26/27</v>
      </c>
      <c r="AJ144" s="86" t="str">
        <f t="shared" si="119"/>
        <v>27/28</v>
      </c>
      <c r="AK144" s="86" t="str">
        <f t="shared" si="119"/>
        <v>28/29</v>
      </c>
      <c r="AL144" s="86" t="str">
        <f t="shared" si="119"/>
        <v>29/30</v>
      </c>
      <c r="AM144" s="86" t="str">
        <f t="shared" si="119"/>
        <v>30/31</v>
      </c>
      <c r="AN144" s="86" t="str">
        <f t="shared" si="119"/>
        <v>31/32</v>
      </c>
      <c r="AO144" s="86" t="str">
        <f t="shared" si="119"/>
        <v>32/33</v>
      </c>
      <c r="AP144" s="86" t="str">
        <f t="shared" si="119"/>
        <v>33/34</v>
      </c>
      <c r="AQ144" s="86" t="str">
        <f t="shared" si="119"/>
        <v>34/35</v>
      </c>
      <c r="AR144" s="86" t="str">
        <f t="shared" si="119"/>
        <v>35/36</v>
      </c>
      <c r="AS144" s="86" t="str">
        <f t="shared" si="119"/>
        <v>36/37</v>
      </c>
      <c r="AT144" s="86" t="str">
        <f t="shared" si="119"/>
        <v>37/38</v>
      </c>
      <c r="AU144" s="86" t="str">
        <f t="shared" si="119"/>
        <v>38/39</v>
      </c>
      <c r="AV144" s="86" t="str">
        <f t="shared" si="119"/>
        <v>39/40</v>
      </c>
      <c r="AW144" s="86" t="str">
        <f t="shared" si="119"/>
        <v>40/41</v>
      </c>
      <c r="AX144" s="86" t="str">
        <f t="shared" si="119"/>
        <v>41/42</v>
      </c>
      <c r="AY144" s="86" t="str">
        <f t="shared" si="119"/>
        <v>42/43</v>
      </c>
      <c r="AZ144" s="86" t="str">
        <f t="shared" si="119"/>
        <v>43/44</v>
      </c>
      <c r="BA144" s="86" t="str">
        <f t="shared" si="119"/>
        <v>44/45</v>
      </c>
      <c r="BB144" s="86" t="str">
        <f t="shared" si="119"/>
        <v>45/46</v>
      </c>
      <c r="BC144" s="86" t="str">
        <f t="shared" si="119"/>
        <v>42/47</v>
      </c>
      <c r="BD144" s="86" t="str">
        <f t="shared" si="119"/>
        <v>42/48</v>
      </c>
      <c r="BE144" s="86" t="str">
        <f t="shared" si="119"/>
        <v>42/49</v>
      </c>
      <c r="BF144" s="86" t="str">
        <f t="shared" si="119"/>
        <v>42/50</v>
      </c>
      <c r="BV144" s="102" t="s">
        <v>157</v>
      </c>
      <c r="BW144" s="101" t="s">
        <v>158</v>
      </c>
      <c r="BX144" s="101" t="s">
        <v>157</v>
      </c>
      <c r="BY144" s="101" t="s">
        <v>155</v>
      </c>
    </row>
    <row r="145" spans="1:83">
      <c r="A145" s="69" t="s">
        <v>37</v>
      </c>
      <c r="B145" s="107">
        <f>'[1]Corn Oil Balance Sheet'!B38</f>
        <v>70.349999999999994</v>
      </c>
      <c r="C145" s="107">
        <f>'[1]Corn Oil Balance Sheet'!C38</f>
        <v>76.78125</v>
      </c>
      <c r="D145" s="107">
        <f>'[1]Corn Oil Balance Sheet'!D38</f>
        <v>78.487499999999997</v>
      </c>
      <c r="E145" s="107">
        <f>'[1]Corn Oil Balance Sheet'!E38</f>
        <v>83.168749999999989</v>
      </c>
      <c r="F145" s="107">
        <f>'[1]Corn Oil Balance Sheet'!F38</f>
        <v>87.149999999999991</v>
      </c>
      <c r="G145" s="107">
        <f>'[1]Corn Oil Balance Sheet'!G38</f>
        <v>91.524999999999977</v>
      </c>
      <c r="H145" s="107">
        <f>'[1]Corn Oil Balance Sheet'!H38</f>
        <v>89.381249999999994</v>
      </c>
      <c r="I145" s="107">
        <f>'[1]Corn Oil Balance Sheet'!I38</f>
        <v>90.34375</v>
      </c>
      <c r="J145" s="107">
        <f>'[1]Corn Oil Balance Sheet'!J38</f>
        <v>85.75</v>
      </c>
      <c r="K145" s="107">
        <f>'[1]Corn Oil Balance Sheet'!K38</f>
        <v>95.637499999999989</v>
      </c>
      <c r="L145" s="107">
        <f>'[1]Corn Oil Balance Sheet'!L38</f>
        <v>91.481249999999989</v>
      </c>
      <c r="M145" s="107">
        <f>'[1]Corn Oil Balance Sheet'!M38</f>
        <v>91.35</v>
      </c>
      <c r="N145" s="107">
        <f>'[1]Corn Oil Balance Sheet'!N38</f>
        <v>90.78125</v>
      </c>
      <c r="O145" s="107">
        <f>'[1]Corn Oil Balance Sheet'!O38</f>
        <v>100.05624999999998</v>
      </c>
      <c r="P145" s="107">
        <f>'[1]Corn Oil Balance Sheet'!P38</f>
        <v>93.38570937499999</v>
      </c>
      <c r="Q145" s="107">
        <f>'[1]Corn Oil Balance Sheet'!Q38</f>
        <v>90.256249999999994</v>
      </c>
      <c r="R145" s="107">
        <f>'[1]Corn Oil Balance Sheet'!R38</f>
        <v>93.143749999999997</v>
      </c>
      <c r="S145" s="107">
        <f>'[1]Corn Oil Balance Sheet'!S38</f>
        <v>89.752249999999989</v>
      </c>
      <c r="T145" s="107">
        <f>'[1]Corn Oil Balance Sheet'!T38</f>
        <v>136.11968712923493</v>
      </c>
      <c r="U145" s="107">
        <f>'[1]Corn Oil Balance Sheet'!U38</f>
        <v>138.37270264033953</v>
      </c>
      <c r="V145" s="107">
        <f>'[1]Corn Oil Balance Sheet'!V38</f>
        <v>146.07050563661352</v>
      </c>
      <c r="W145" s="107">
        <f>'[1]Corn Oil Balance Sheet'!W38</f>
        <v>146.07050563661352</v>
      </c>
      <c r="X145" s="76">
        <f>'[1]Corn Oil Balance Sheet'!X38</f>
        <v>45.085000000000001</v>
      </c>
      <c r="Y145" s="76">
        <f>'[1]Corn Oil Balance Sheet'!Y38</f>
        <v>48.328000000000003</v>
      </c>
      <c r="Z145" s="76">
        <f>'[1]Corn Oil Balance Sheet'!Z38</f>
        <v>51.082000000000001</v>
      </c>
      <c r="AA145" s="76">
        <f>'[1]Corn Oil Balance Sheet'!AA38</f>
        <v>43.238</v>
      </c>
      <c r="AB145" s="76">
        <f>'[1]Corn Oil Balance Sheet'!AB38</f>
        <v>42.45</v>
      </c>
      <c r="AC145" s="76">
        <f>'[1]Corn Oil Balance Sheet'!AC38</f>
        <v>44.820999999999998</v>
      </c>
      <c r="AD145" s="76">
        <f>'[1]Corn Oil Balance Sheet'!AD38</f>
        <v>40.951000000000001</v>
      </c>
      <c r="AE145" s="76">
        <f>'NASS Data'!F97</f>
        <v>27.978999999999999</v>
      </c>
      <c r="AF145" s="76">
        <f>'NASS Data'!F109</f>
        <v>34.268999999999998</v>
      </c>
      <c r="AG145" s="76">
        <f>'NASS Data'!F121</f>
        <v>37.331000000000003</v>
      </c>
      <c r="AH145" s="77">
        <f t="shared" ref="AH145:BF156" si="120">AH113-AH129</f>
        <v>31.27231438384996</v>
      </c>
      <c r="AI145" s="77">
        <f t="shared" si="120"/>
        <v>29.202426198915191</v>
      </c>
      <c r="AJ145" s="77">
        <f t="shared" si="120"/>
        <v>26.002359966479673</v>
      </c>
      <c r="AK145" s="77">
        <f t="shared" si="120"/>
        <v>23.939460287720351</v>
      </c>
      <c r="AL145" s="77">
        <f t="shared" si="120"/>
        <v>23.225920034042645</v>
      </c>
      <c r="AM145" s="77">
        <f t="shared" si="120"/>
        <v>21.333553062321926</v>
      </c>
      <c r="AN145" s="77">
        <f t="shared" si="120"/>
        <v>18.991003298414682</v>
      </c>
      <c r="AO145" s="77">
        <f t="shared" si="120"/>
        <v>17.055895883671269</v>
      </c>
      <c r="AP145" s="77">
        <f t="shared" si="120"/>
        <v>14.997524128234375</v>
      </c>
      <c r="AQ145" s="77">
        <f t="shared" si="120"/>
        <v>13.104979347570747</v>
      </c>
      <c r="AR145" s="77">
        <f t="shared" si="120"/>
        <v>11.262897720101307</v>
      </c>
      <c r="AS145" s="77">
        <f t="shared" si="120"/>
        <v>9.1947925488909732</v>
      </c>
      <c r="AT145" s="77">
        <f t="shared" si="120"/>
        <v>7.1206011671191618</v>
      </c>
      <c r="AU145" s="77">
        <f t="shared" si="120"/>
        <v>5.1007223672775694</v>
      </c>
      <c r="AV145" s="77">
        <f t="shared" si="120"/>
        <v>3.0487003151816907</v>
      </c>
      <c r="AW145" s="77">
        <f t="shared" si="120"/>
        <v>1.0095689023507362</v>
      </c>
      <c r="AX145" s="77">
        <f t="shared" si="120"/>
        <v>-1.0637057714243952</v>
      </c>
      <c r="AY145" s="77">
        <f t="shared" si="120"/>
        <v>-3.2394430327410646</v>
      </c>
      <c r="AZ145" s="77">
        <f t="shared" si="120"/>
        <v>-5.4152114705638041</v>
      </c>
      <c r="BA145" s="77">
        <f t="shared" si="120"/>
        <v>-7.6193350957390749</v>
      </c>
      <c r="BB145" s="77">
        <f t="shared" si="120"/>
        <v>-9.8695580763564976</v>
      </c>
      <c r="BC145" s="77">
        <f t="shared" si="120"/>
        <v>-12.168429112261833</v>
      </c>
      <c r="BD145" s="77">
        <f t="shared" si="120"/>
        <v>-14.531660229411386</v>
      </c>
      <c r="BE145" s="77">
        <f t="shared" si="120"/>
        <v>-16.908455895454551</v>
      </c>
      <c r="BF145" s="77">
        <f t="shared" si="120"/>
        <v>-19.32573768287142</v>
      </c>
      <c r="BV145" s="103">
        <f t="shared" ref="BV145:BV156" si="121">AE145/AD145-1</f>
        <v>-0.3167688212742058</v>
      </c>
      <c r="BW145" s="103">
        <f t="shared" ref="BW145:BW156" si="122">AE145/AVERAGE(Z145:AD145)-1</f>
        <v>-0.37137708836983574</v>
      </c>
      <c r="BX145" s="103">
        <f>SUM($AE$145:AE145)/SUM($AD$145:AD145)-1</f>
        <v>-0.3167688212742058</v>
      </c>
      <c r="BY145" s="103">
        <f>SUM(AE$145)/(SUM(Z$145:AD145)/5)-1</f>
        <v>-0.37137708836983574</v>
      </c>
    </row>
    <row r="146" spans="1:83">
      <c r="A146" s="69" t="s">
        <v>38</v>
      </c>
      <c r="B146" s="107">
        <f>'[1]Corn Oil Balance Sheet'!B39</f>
        <v>67.112499999999997</v>
      </c>
      <c r="C146" s="107">
        <f>'[1]Corn Oil Balance Sheet'!C39</f>
        <v>72.318749999999994</v>
      </c>
      <c r="D146" s="107">
        <f>'[1]Corn Oil Balance Sheet'!D39</f>
        <v>76.037499999999994</v>
      </c>
      <c r="E146" s="107">
        <f>'[1]Corn Oil Balance Sheet'!E39</f>
        <v>82.206249999999997</v>
      </c>
      <c r="F146" s="107">
        <f>'[1]Corn Oil Balance Sheet'!F39</f>
        <v>90.78125</v>
      </c>
      <c r="G146" s="107">
        <f>'[1]Corn Oil Balance Sheet'!G39</f>
        <v>87.237499999999997</v>
      </c>
      <c r="H146" s="107">
        <f>'[1]Corn Oil Balance Sheet'!H39</f>
        <v>92.881249999999994</v>
      </c>
      <c r="I146" s="107">
        <f>'[1]Corn Oil Balance Sheet'!I39</f>
        <v>83.256249999999994</v>
      </c>
      <c r="J146" s="107">
        <f>'[1]Corn Oil Balance Sheet'!J39</f>
        <v>88.943749999999994</v>
      </c>
      <c r="K146" s="107">
        <f>'[1]Corn Oil Balance Sheet'!K39</f>
        <v>85.3125</v>
      </c>
      <c r="L146" s="107">
        <f>'[1]Corn Oil Balance Sheet'!L39</f>
        <v>85.96875</v>
      </c>
      <c r="M146" s="107">
        <f>'[1]Corn Oil Balance Sheet'!M39</f>
        <v>81.856249999999989</v>
      </c>
      <c r="N146" s="107">
        <f>'[1]Corn Oil Balance Sheet'!N39</f>
        <v>87.456249999999997</v>
      </c>
      <c r="O146" s="107">
        <f>'[1]Corn Oil Balance Sheet'!O39</f>
        <v>94.5</v>
      </c>
      <c r="P146" s="107">
        <f>'[1]Corn Oil Balance Sheet'!P39</f>
        <v>93.193187499999993</v>
      </c>
      <c r="Q146" s="107">
        <f>'[1]Corn Oil Balance Sheet'!Q39</f>
        <v>92.137499999999989</v>
      </c>
      <c r="R146" s="107">
        <f>'[1]Corn Oil Balance Sheet'!R39</f>
        <v>89.774999999999977</v>
      </c>
      <c r="S146" s="107">
        <f>'[1]Corn Oil Balance Sheet'!S39</f>
        <v>92.392562499999997</v>
      </c>
      <c r="T146" s="107">
        <f>'[1]Corn Oil Balance Sheet'!T39</f>
        <v>133.04542350311337</v>
      </c>
      <c r="U146" s="107">
        <f>'[1]Corn Oil Balance Sheet'!U39</f>
        <v>135.24755465075111</v>
      </c>
      <c r="V146" s="107">
        <f>'[1]Corn Oil Balance Sheet'!V39</f>
        <v>142.77150273851336</v>
      </c>
      <c r="W146" s="107">
        <f>'[1]Corn Oil Balance Sheet'!W39</f>
        <v>142.77150273851336</v>
      </c>
      <c r="X146" s="76">
        <f>'[1]Corn Oil Balance Sheet'!X39</f>
        <v>46.125999999999998</v>
      </c>
      <c r="Y146" s="76">
        <f>'[1]Corn Oil Balance Sheet'!Y39</f>
        <v>44.180999999999997</v>
      </c>
      <c r="Z146" s="76">
        <f>'[1]Corn Oil Balance Sheet'!Z39</f>
        <v>46.542000000000002</v>
      </c>
      <c r="AA146" s="76">
        <f>'[1]Corn Oil Balance Sheet'!AA39</f>
        <v>41.341999999999999</v>
      </c>
      <c r="AB146" s="76">
        <f>'[1]Corn Oil Balance Sheet'!AB39</f>
        <v>43.183</v>
      </c>
      <c r="AC146" s="76">
        <f>'[1]Corn Oil Balance Sheet'!AC39</f>
        <v>42.645000000000003</v>
      </c>
      <c r="AD146" s="76">
        <f>'[1]Corn Oil Balance Sheet'!AD39</f>
        <v>37.659999999999997</v>
      </c>
      <c r="AE146" s="76">
        <f>'NASS Data'!F98</f>
        <v>34.171999999999997</v>
      </c>
      <c r="AF146" s="76">
        <f>'NASS Data'!F110</f>
        <v>37.036000000000001</v>
      </c>
      <c r="AG146" s="76">
        <f>'NASS Data'!F122</f>
        <v>35.073999999999998</v>
      </c>
      <c r="AH146" s="77">
        <f t="shared" si="120"/>
        <v>31.48872600465711</v>
      </c>
      <c r="AI146" s="77">
        <f t="shared" si="120"/>
        <v>29.146744965174719</v>
      </c>
      <c r="AJ146" s="77">
        <f t="shared" si="120"/>
        <v>26.403739314657059</v>
      </c>
      <c r="AK146" s="77">
        <f t="shared" si="120"/>
        <v>25.00622541834997</v>
      </c>
      <c r="AL146" s="77">
        <f t="shared" si="120"/>
        <v>23.190333400048303</v>
      </c>
      <c r="AM146" s="77">
        <f t="shared" si="120"/>
        <v>20.740050401318911</v>
      </c>
      <c r="AN146" s="77">
        <f t="shared" si="120"/>
        <v>18.487760607348037</v>
      </c>
      <c r="AO146" s="77">
        <f t="shared" si="120"/>
        <v>16.326925511444642</v>
      </c>
      <c r="AP146" s="77">
        <f t="shared" si="120"/>
        <v>14.135722738928905</v>
      </c>
      <c r="AQ146" s="77">
        <f t="shared" si="120"/>
        <v>12.044259375960849</v>
      </c>
      <c r="AR146" s="77">
        <f t="shared" si="120"/>
        <v>9.8349088162291878</v>
      </c>
      <c r="AS146" s="77">
        <f t="shared" si="120"/>
        <v>7.5437398666671243</v>
      </c>
      <c r="AT146" s="77">
        <f t="shared" si="120"/>
        <v>5.2918844146031461</v>
      </c>
      <c r="AU146" s="77">
        <f t="shared" si="120"/>
        <v>3.0398464856681926</v>
      </c>
      <c r="AV146" s="77">
        <f t="shared" si="120"/>
        <v>0.76885906821968319</v>
      </c>
      <c r="AW146" s="77">
        <f t="shared" si="120"/>
        <v>-1.5146721836628672</v>
      </c>
      <c r="AX146" s="77">
        <f t="shared" si="120"/>
        <v>-3.83850830900451</v>
      </c>
      <c r="AY146" s="77">
        <f t="shared" si="120"/>
        <v>-6.5043355228310702</v>
      </c>
      <c r="AZ146" s="77">
        <f t="shared" si="120"/>
        <v>-9.0595040378894964</v>
      </c>
      <c r="BA146" s="77">
        <f t="shared" si="120"/>
        <v>-11.702535309330301</v>
      </c>
      <c r="BB146" s="77">
        <f t="shared" si="120"/>
        <v>-14.454202095364735</v>
      </c>
      <c r="BC146" s="77">
        <f t="shared" si="120"/>
        <v>-17.338142751622399</v>
      </c>
      <c r="BD146" s="77">
        <f t="shared" si="120"/>
        <v>-20.386082199870089</v>
      </c>
      <c r="BE146" s="77">
        <f t="shared" si="120"/>
        <v>-23.422558227572381</v>
      </c>
      <c r="BF146" s="77">
        <f t="shared" si="120"/>
        <v>-26.565239253953223</v>
      </c>
      <c r="BV146" s="103">
        <f t="shared" si="121"/>
        <v>-9.2618162506638346E-2</v>
      </c>
      <c r="BW146" s="103">
        <f t="shared" si="122"/>
        <v>-0.1916620933709291</v>
      </c>
      <c r="BX146" s="103">
        <f>SUM($AE$145:AE146)/SUM($AD$145:AD146)-1</f>
        <v>-0.20938545496177374</v>
      </c>
      <c r="BY146" s="103">
        <f>SUM(AE$145:AE146)/(SUM(Z$145:AD146)/5)-1</f>
        <v>-0.28383274105006973</v>
      </c>
    </row>
    <row r="147" spans="1:83">
      <c r="A147" s="69" t="s">
        <v>39</v>
      </c>
      <c r="B147" s="107">
        <f>'[1]Corn Oil Balance Sheet'!B40</f>
        <v>71.09375</v>
      </c>
      <c r="C147" s="107">
        <f>'[1]Corn Oil Balance Sheet'!C40</f>
        <v>79.143749999999997</v>
      </c>
      <c r="D147" s="107">
        <f>'[1]Corn Oil Balance Sheet'!D40</f>
        <v>80.71875</v>
      </c>
      <c r="E147" s="107">
        <f>'[1]Corn Oil Balance Sheet'!E40</f>
        <v>91.087499999999977</v>
      </c>
      <c r="F147" s="107">
        <f>'[1]Corn Oil Balance Sheet'!F40</f>
        <v>88.375</v>
      </c>
      <c r="G147" s="107">
        <f>'[1]Corn Oil Balance Sheet'!G40</f>
        <v>82.774999999999991</v>
      </c>
      <c r="H147" s="107">
        <f>'[1]Corn Oil Balance Sheet'!H40</f>
        <v>95.637499999999989</v>
      </c>
      <c r="I147" s="107">
        <f>'[1]Corn Oil Balance Sheet'!I40</f>
        <v>85.09375</v>
      </c>
      <c r="J147" s="107">
        <f>'[1]Corn Oil Balance Sheet'!J40</f>
        <v>90.34375</v>
      </c>
      <c r="K147" s="107">
        <f>'[1]Corn Oil Balance Sheet'!K40</f>
        <v>92.881249999999994</v>
      </c>
      <c r="L147" s="107">
        <f>'[1]Corn Oil Balance Sheet'!L40</f>
        <v>84.524999999999991</v>
      </c>
      <c r="M147" s="107">
        <f>'[1]Corn Oil Balance Sheet'!M40</f>
        <v>83.5625</v>
      </c>
      <c r="N147" s="107">
        <f>'[1]Corn Oil Balance Sheet'!N40</f>
        <v>87.631249999999994</v>
      </c>
      <c r="O147" s="107">
        <f>'[1]Corn Oil Balance Sheet'!O40</f>
        <v>98.918749999999989</v>
      </c>
      <c r="P147" s="107">
        <f>'[1]Corn Oil Balance Sheet'!P40</f>
        <v>93.631999999999991</v>
      </c>
      <c r="Q147" s="107">
        <f>'[1]Corn Oil Balance Sheet'!Q40</f>
        <v>86.931249999999991</v>
      </c>
      <c r="R147" s="107">
        <f>'[1]Corn Oil Balance Sheet'!R40</f>
        <v>88.899999999999991</v>
      </c>
      <c r="S147" s="107">
        <f>'[1]Corn Oil Balance Sheet'!S40</f>
        <v>87.007374999999982</v>
      </c>
      <c r="T147" s="107">
        <f>'[1]Corn Oil Balance Sheet'!T40</f>
        <v>132.74016274715743</v>
      </c>
      <c r="U147" s="107">
        <f>'[1]Corn Oil Balance Sheet'!U40</f>
        <v>134.93724130297247</v>
      </c>
      <c r="V147" s="107">
        <f>'[1]Corn Oil Balance Sheet'!V40</f>
        <v>142.44392636867377</v>
      </c>
      <c r="W147" s="107">
        <f>'[1]Corn Oil Balance Sheet'!W40</f>
        <v>142.44392636867377</v>
      </c>
      <c r="X147" s="76">
        <f>'[1]Corn Oil Balance Sheet'!X40</f>
        <v>50.064</v>
      </c>
      <c r="Y147" s="76">
        <f>'[1]Corn Oil Balance Sheet'!Y40</f>
        <v>49.103999999999999</v>
      </c>
      <c r="Z147" s="76">
        <f>'[1]Corn Oil Balance Sheet'!Z40</f>
        <v>47.783999999999999</v>
      </c>
      <c r="AA147" s="76">
        <f>'[1]Corn Oil Balance Sheet'!AA40</f>
        <v>43.615000000000002</v>
      </c>
      <c r="AB147" s="76">
        <f>'[1]Corn Oil Balance Sheet'!AB40</f>
        <v>47.7</v>
      </c>
      <c r="AC147" s="76">
        <f>'[1]Corn Oil Balance Sheet'!AC40</f>
        <v>43.503</v>
      </c>
      <c r="AD147" s="76">
        <f>'[1]Corn Oil Balance Sheet'!AD40</f>
        <v>38.706000000000003</v>
      </c>
      <c r="AE147" s="76">
        <f>'NASS Data'!F99</f>
        <v>34.677999999999997</v>
      </c>
      <c r="AF147" s="76">
        <f>'NASS Data'!F111</f>
        <v>35.783000000000001</v>
      </c>
      <c r="AG147" s="76">
        <f>'NASS Data'!F123</f>
        <v>39.11</v>
      </c>
      <c r="AH147" s="77">
        <f t="shared" si="120"/>
        <v>31.490051311552804</v>
      </c>
      <c r="AI147" s="77">
        <f t="shared" si="120"/>
        <v>29.481328169454969</v>
      </c>
      <c r="AJ147" s="77">
        <f t="shared" si="120"/>
        <v>26.427041672760936</v>
      </c>
      <c r="AK147" s="77">
        <f t="shared" si="120"/>
        <v>24.867334321034605</v>
      </c>
      <c r="AL147" s="77">
        <f t="shared" si="120"/>
        <v>23.266329140827395</v>
      </c>
      <c r="AM147" s="77">
        <f t="shared" si="120"/>
        <v>21.483891669444006</v>
      </c>
      <c r="AN147" s="77">
        <f t="shared" si="120"/>
        <v>18.731597902321539</v>
      </c>
      <c r="AO147" s="77">
        <f t="shared" si="120"/>
        <v>16.761097285845779</v>
      </c>
      <c r="AP147" s="77">
        <f t="shared" si="120"/>
        <v>14.622695590911235</v>
      </c>
      <c r="AQ147" s="77">
        <f t="shared" si="120"/>
        <v>12.647724843115157</v>
      </c>
      <c r="AR147" s="77">
        <f t="shared" si="120"/>
        <v>10.544903614237398</v>
      </c>
      <c r="AS147" s="77">
        <f t="shared" si="120"/>
        <v>8.3303399738015855</v>
      </c>
      <c r="AT147" s="77">
        <f t="shared" si="120"/>
        <v>6.0877834459981841</v>
      </c>
      <c r="AU147" s="77">
        <f t="shared" si="120"/>
        <v>3.953750025603938</v>
      </c>
      <c r="AV147" s="77">
        <f t="shared" si="120"/>
        <v>1.7556160472016131</v>
      </c>
      <c r="AW147" s="77">
        <f t="shared" si="120"/>
        <v>-0.44415804172149365</v>
      </c>
      <c r="AX147" s="77">
        <f t="shared" si="120"/>
        <v>-2.6895382184851542</v>
      </c>
      <c r="AY147" s="77">
        <f t="shared" si="120"/>
        <v>-5.1882198687515597</v>
      </c>
      <c r="AZ147" s="77">
        <f t="shared" si="120"/>
        <v>-7.6326550777557145</v>
      </c>
      <c r="BA147" s="77">
        <f t="shared" si="120"/>
        <v>-10.139977141910265</v>
      </c>
      <c r="BB147" s="77">
        <f t="shared" si="120"/>
        <v>-12.750988229296127</v>
      </c>
      <c r="BC147" s="77">
        <f t="shared" si="120"/>
        <v>-15.473228246665258</v>
      </c>
      <c r="BD147" s="77">
        <f t="shared" si="120"/>
        <v>-18.338994123389966</v>
      </c>
      <c r="BE147" s="77">
        <f t="shared" si="120"/>
        <v>-21.201723694782459</v>
      </c>
      <c r="BF147" s="77">
        <f t="shared" si="120"/>
        <v>-24.156880654370866</v>
      </c>
      <c r="BV147" s="103">
        <f t="shared" si="121"/>
        <v>-0.10406655298920076</v>
      </c>
      <c r="BW147" s="103">
        <f t="shared" si="122"/>
        <v>-0.21652177056410082</v>
      </c>
      <c r="BX147" s="103">
        <f>SUM($AE$145:AE147)/SUM($AD$145:AD147)-1</f>
        <v>-0.17463794675963418</v>
      </c>
      <c r="BY147" s="103">
        <f>SUM(AE$145:AE147)/(SUM(Z$145:AD147)/5)-1</f>
        <v>-0.26109776533754969</v>
      </c>
    </row>
    <row r="148" spans="1:83">
      <c r="A148" s="69" t="s">
        <v>40</v>
      </c>
      <c r="B148" s="107">
        <f>'[1]Corn Oil Balance Sheet'!B41</f>
        <v>61.512499999999989</v>
      </c>
      <c r="C148" s="107">
        <f>'[1]Corn Oil Balance Sheet'!C41</f>
        <v>71.399999999999991</v>
      </c>
      <c r="D148" s="107">
        <f>'[1]Corn Oil Balance Sheet'!D41</f>
        <v>81.418749999999989</v>
      </c>
      <c r="E148" s="107">
        <f>'[1]Corn Oil Balance Sheet'!E41</f>
        <v>75.46875</v>
      </c>
      <c r="F148" s="107">
        <f>'[1]Corn Oil Balance Sheet'!F41</f>
        <v>74.987499999999997</v>
      </c>
      <c r="G148" s="107">
        <f>'[1]Corn Oil Balance Sheet'!G41</f>
        <v>80.018749999999997</v>
      </c>
      <c r="H148" s="107">
        <f>'[1]Corn Oil Balance Sheet'!H41</f>
        <v>81.243749999999991</v>
      </c>
      <c r="I148" s="107">
        <f>'[1]Corn Oil Balance Sheet'!I41</f>
        <v>87.0625</v>
      </c>
      <c r="J148" s="107">
        <f>'[1]Corn Oil Balance Sheet'!J41</f>
        <v>87.543749999999989</v>
      </c>
      <c r="K148" s="107">
        <f>'[1]Corn Oil Balance Sheet'!K41</f>
        <v>90.474999999999994</v>
      </c>
      <c r="L148" s="107">
        <f>'[1]Corn Oil Balance Sheet'!L41</f>
        <v>87.9375</v>
      </c>
      <c r="M148" s="107">
        <f>'[1]Corn Oil Balance Sheet'!M41</f>
        <v>89.774999999999977</v>
      </c>
      <c r="N148" s="107">
        <f>'[1]Corn Oil Balance Sheet'!N41</f>
        <v>91.524999999999977</v>
      </c>
      <c r="O148" s="107">
        <f>'[1]Corn Oil Balance Sheet'!O41</f>
        <v>98.421749999999989</v>
      </c>
      <c r="P148" s="107">
        <f>'[1]Corn Oil Balance Sheet'!P41</f>
        <v>89.862499999999997</v>
      </c>
      <c r="Q148" s="107">
        <f>'[1]Corn Oil Balance Sheet'!Q41</f>
        <v>87.631249999999994</v>
      </c>
      <c r="R148" s="107">
        <f>'[1]Corn Oil Balance Sheet'!R41</f>
        <v>86.596999999999994</v>
      </c>
      <c r="S148" s="107">
        <f>'[1]Corn Oil Balance Sheet'!S41</f>
        <v>96.629312499999983</v>
      </c>
      <c r="T148" s="107">
        <f>'[1]Corn Oil Balance Sheet'!T41</f>
        <v>132.16504486067564</v>
      </c>
      <c r="U148" s="107">
        <f>'[1]Corn Oil Balance Sheet'!U41</f>
        <v>134.35260422388686</v>
      </c>
      <c r="V148" s="107">
        <f>'[1]Corn Oil Balance Sheet'!V41</f>
        <v>141.82676538152506</v>
      </c>
      <c r="W148" s="76">
        <f>'[1]Corn Oil Balance Sheet'!W41</f>
        <v>47.883000000000003</v>
      </c>
      <c r="X148" s="76">
        <f>'[1]Corn Oil Balance Sheet'!X41</f>
        <v>47.008000000000003</v>
      </c>
      <c r="Y148" s="76">
        <f>'[1]Corn Oil Balance Sheet'!Y41</f>
        <v>49.372</v>
      </c>
      <c r="Z148" s="76">
        <f>'[1]Corn Oil Balance Sheet'!Z41</f>
        <v>44.655000000000001</v>
      </c>
      <c r="AA148" s="76">
        <f>'[1]Corn Oil Balance Sheet'!AA41</f>
        <v>38.561999999999998</v>
      </c>
      <c r="AB148" s="76">
        <f>'[1]Corn Oil Balance Sheet'!AB41</f>
        <v>46.899000000000001</v>
      </c>
      <c r="AC148" s="76">
        <f>'[1]Corn Oil Balance Sheet'!AC41</f>
        <v>41.27</v>
      </c>
      <c r="AD148" s="76">
        <f>'[1]Corn Oil Balance Sheet'!AD41</f>
        <v>35.707999999999998</v>
      </c>
      <c r="AE148" s="76">
        <f>'NASS Data'!F100</f>
        <v>33.969000000000001</v>
      </c>
      <c r="AF148" s="76">
        <f>'NASS Data'!F112</f>
        <v>39.1</v>
      </c>
      <c r="AG148" s="76">
        <f>'NASS Data'!F124</f>
        <v>38.036000000000001</v>
      </c>
      <c r="AH148" s="77">
        <f t="shared" si="120"/>
        <v>30.715178759131447</v>
      </c>
      <c r="AI148" s="77">
        <f t="shared" si="120"/>
        <v>29.37892900811903</v>
      </c>
      <c r="AJ148" s="77">
        <f t="shared" si="120"/>
        <v>26.342502556276997</v>
      </c>
      <c r="AK148" s="77">
        <f t="shared" si="120"/>
        <v>25.539685509148853</v>
      </c>
      <c r="AL148" s="77">
        <f t="shared" si="120"/>
        <v>23.49194202957375</v>
      </c>
      <c r="AM148" s="77">
        <f t="shared" si="120"/>
        <v>21.124977499405134</v>
      </c>
      <c r="AN148" s="77">
        <f t="shared" si="120"/>
        <v>18.563643680232246</v>
      </c>
      <c r="AO148" s="77">
        <f t="shared" si="120"/>
        <v>16.568651035401672</v>
      </c>
      <c r="AP148" s="77">
        <f t="shared" si="120"/>
        <v>14.419186625805423</v>
      </c>
      <c r="AQ148" s="77">
        <f t="shared" si="120"/>
        <v>12.374835934142595</v>
      </c>
      <c r="AR148" s="77">
        <f t="shared" si="120"/>
        <v>10.102099746053341</v>
      </c>
      <c r="AS148" s="77">
        <f t="shared" si="120"/>
        <v>7.8204468157600786</v>
      </c>
      <c r="AT148" s="77">
        <f t="shared" si="120"/>
        <v>5.5448288745497507</v>
      </c>
      <c r="AU148" s="77">
        <f t="shared" si="120"/>
        <v>3.3388082548202647</v>
      </c>
      <c r="AV148" s="77">
        <f t="shared" si="120"/>
        <v>1.0676528583420577</v>
      </c>
      <c r="AW148" s="77">
        <f t="shared" si="120"/>
        <v>-1.2128922319118374</v>
      </c>
      <c r="AX148" s="77">
        <f t="shared" si="120"/>
        <v>-3.5421969026406259</v>
      </c>
      <c r="AY148" s="77">
        <f t="shared" si="120"/>
        <v>-6.2193957769611643</v>
      </c>
      <c r="AZ148" s="77">
        <f t="shared" si="120"/>
        <v>-8.7905000436986711</v>
      </c>
      <c r="BA148" s="77">
        <f t="shared" si="120"/>
        <v>-11.449739511015764</v>
      </c>
      <c r="BB148" s="77">
        <f t="shared" si="120"/>
        <v>-14.235773607914098</v>
      </c>
      <c r="BC148" s="77">
        <f t="shared" si="120"/>
        <v>-17.163589669120029</v>
      </c>
      <c r="BD148" s="77">
        <f t="shared" si="120"/>
        <v>-20.27087503085977</v>
      </c>
      <c r="BE148" s="77">
        <f t="shared" si="120"/>
        <v>-23.363533286938832</v>
      </c>
      <c r="BF148" s="77">
        <f t="shared" si="120"/>
        <v>-26.572997558884254</v>
      </c>
      <c r="BV148" s="104">
        <f t="shared" si="121"/>
        <v>-4.8700571300548834E-2</v>
      </c>
      <c r="BW148" s="104">
        <f t="shared" si="122"/>
        <v>-0.17986518199464974</v>
      </c>
      <c r="BX148" s="104">
        <f>SUM($AE$145:AE148)/SUM($AD$145:AD148)-1</f>
        <v>-0.14525077601699055</v>
      </c>
      <c r="BY148" s="104">
        <f>SUM(AE$145:AE148)/(SUM(Z$145:AD148)/5)-1</f>
        <v>-0.24158893027613992</v>
      </c>
    </row>
    <row r="149" spans="1:83">
      <c r="A149" s="69" t="s">
        <v>30</v>
      </c>
      <c r="B149" s="107">
        <f>'[1]Corn Oil Balance Sheet'!B42</f>
        <v>60.637499999999989</v>
      </c>
      <c r="C149" s="107">
        <f>'[1]Corn Oil Balance Sheet'!C42</f>
        <v>72.318749999999994</v>
      </c>
      <c r="D149" s="107">
        <f>'[1]Corn Oil Balance Sheet'!D42</f>
        <v>72.274999999999991</v>
      </c>
      <c r="E149" s="107">
        <f>'[1]Corn Oil Balance Sheet'!E42</f>
        <v>74.768749999999997</v>
      </c>
      <c r="F149" s="107">
        <f>'[1]Corn Oil Balance Sheet'!F42</f>
        <v>71.181249999999991</v>
      </c>
      <c r="G149" s="107">
        <f>'[1]Corn Oil Balance Sheet'!G42</f>
        <v>77.4375</v>
      </c>
      <c r="H149" s="107">
        <f>'[1]Corn Oil Balance Sheet'!H42</f>
        <v>81.068749999999994</v>
      </c>
      <c r="I149" s="107">
        <f>'[1]Corn Oil Balance Sheet'!I42</f>
        <v>78.96875</v>
      </c>
      <c r="J149" s="107">
        <f>'[1]Corn Oil Balance Sheet'!J42</f>
        <v>80.412499999999994</v>
      </c>
      <c r="K149" s="107">
        <f>'[1]Corn Oil Balance Sheet'!K42</f>
        <v>79.493749999999991</v>
      </c>
      <c r="L149" s="107">
        <f>'[1]Corn Oil Balance Sheet'!L42</f>
        <v>80.018749999999997</v>
      </c>
      <c r="M149" s="107">
        <f>'[1]Corn Oil Balance Sheet'!M42</f>
        <v>80.631249999999994</v>
      </c>
      <c r="N149" s="107">
        <f>'[1]Corn Oil Balance Sheet'!N42</f>
        <v>80.849999999999994</v>
      </c>
      <c r="O149" s="107">
        <f>'[1]Corn Oil Balance Sheet'!O42</f>
        <v>82.18656249999998</v>
      </c>
      <c r="P149" s="107">
        <f>'[1]Corn Oil Balance Sheet'!P42</f>
        <v>84.743749999999991</v>
      </c>
      <c r="Q149" s="107">
        <f>'[1]Corn Oil Balance Sheet'!Q42</f>
        <v>87.412499999999994</v>
      </c>
      <c r="R149" s="107">
        <f>'[1]Corn Oil Balance Sheet'!R42</f>
        <v>82.310374999999993</v>
      </c>
      <c r="S149" s="107">
        <f>'[1]Corn Oil Balance Sheet'!S42</f>
        <v>87.253687499999998</v>
      </c>
      <c r="T149" s="107">
        <f>'[1]Corn Oil Balance Sheet'!T42</f>
        <v>121.53033065641623</v>
      </c>
      <c r="U149" s="107">
        <f>'[1]Corn Oil Balance Sheet'!U42</f>
        <v>123.54186716383276</v>
      </c>
      <c r="V149" s="107">
        <f>'[1]Corn Oil Balance Sheet'!V42</f>
        <v>130.41461689750597</v>
      </c>
      <c r="W149" s="76">
        <f>'[1]Corn Oil Balance Sheet'!W42</f>
        <v>40.32</v>
      </c>
      <c r="X149" s="76">
        <f>'[1]Corn Oil Balance Sheet'!X42</f>
        <v>43.406999999999996</v>
      </c>
      <c r="Y149" s="76">
        <f>'[1]Corn Oil Balance Sheet'!Y42</f>
        <v>41.113999999999997</v>
      </c>
      <c r="Z149" s="76">
        <f>'[1]Corn Oil Balance Sheet'!Z42</f>
        <v>40.304000000000002</v>
      </c>
      <c r="AA149" s="76">
        <f>'[1]Corn Oil Balance Sheet'!AA42</f>
        <v>35.621000000000002</v>
      </c>
      <c r="AB149" s="76">
        <f>'[1]Corn Oil Balance Sheet'!AB42</f>
        <v>43.404000000000003</v>
      </c>
      <c r="AC149" s="76">
        <f>'[1]Corn Oil Balance Sheet'!AC42</f>
        <v>30.263000000000002</v>
      </c>
      <c r="AD149" s="76">
        <f>'[1]Corn Oil Balance Sheet'!AD42</f>
        <v>27.620999999999999</v>
      </c>
      <c r="AE149" s="76">
        <f>'NASS Data'!F101</f>
        <v>37.07</v>
      </c>
      <c r="AF149" s="76">
        <f>'NASS Data'!F113</f>
        <v>33.112000000000002</v>
      </c>
      <c r="AG149" s="76">
        <f>'NASS Data'!F125</f>
        <v>38.933999999999997</v>
      </c>
      <c r="AH149" s="77">
        <f t="shared" si="120"/>
        <v>25.588169081470767</v>
      </c>
      <c r="AI149" s="77">
        <f t="shared" si="120"/>
        <v>25.112991303859872</v>
      </c>
      <c r="AJ149" s="77">
        <f t="shared" si="120"/>
        <v>23.748547876429598</v>
      </c>
      <c r="AK149" s="77">
        <f t="shared" si="120"/>
        <v>23.457920911815677</v>
      </c>
      <c r="AL149" s="77">
        <f t="shared" si="120"/>
        <v>20.776402932521592</v>
      </c>
      <c r="AM149" s="77">
        <f t="shared" si="120"/>
        <v>18.787360963227627</v>
      </c>
      <c r="AN149" s="77">
        <f t="shared" si="120"/>
        <v>15.552698924808624</v>
      </c>
      <c r="AO149" s="77">
        <f t="shared" si="120"/>
        <v>14.087844850113072</v>
      </c>
      <c r="AP149" s="77">
        <f t="shared" si="120"/>
        <v>12.124784455295185</v>
      </c>
      <c r="AQ149" s="77">
        <f t="shared" si="120"/>
        <v>10.143076714657411</v>
      </c>
      <c r="AR149" s="77">
        <f t="shared" si="120"/>
        <v>7.8178954947402985</v>
      </c>
      <c r="AS149" s="77">
        <f t="shared" si="120"/>
        <v>5.6345000292107557</v>
      </c>
      <c r="AT149" s="77">
        <f t="shared" si="120"/>
        <v>3.3745011675567866</v>
      </c>
      <c r="AU149" s="77">
        <f t="shared" si="120"/>
        <v>1.3344547977675916</v>
      </c>
      <c r="AV149" s="77">
        <f t="shared" si="120"/>
        <v>-0.86906198018374425</v>
      </c>
      <c r="AW149" s="77">
        <f t="shared" si="120"/>
        <v>-3.0902838960910231</v>
      </c>
      <c r="AX149" s="77">
        <f t="shared" si="120"/>
        <v>-5.6898883888124487</v>
      </c>
      <c r="AY149" s="77">
        <f t="shared" si="120"/>
        <v>-8.1948911834132332</v>
      </c>
      <c r="AZ149" s="77">
        <f t="shared" si="120"/>
        <v>-10.780893312349804</v>
      </c>
      <c r="BA149" s="77">
        <f t="shared" si="120"/>
        <v>-13.466001006696501</v>
      </c>
      <c r="BB149" s="77">
        <f t="shared" si="120"/>
        <v>-16.332053811681362</v>
      </c>
      <c r="BC149" s="77">
        <f t="shared" si="120"/>
        <v>-19.377147643700482</v>
      </c>
      <c r="BD149" s="77">
        <f t="shared" si="120"/>
        <v>-22.424479008478443</v>
      </c>
      <c r="BE149" s="77">
        <f t="shared" si="120"/>
        <v>-25.578814022241886</v>
      </c>
      <c r="BF149" s="77">
        <f t="shared" si="120"/>
        <v>-28.859418314316258</v>
      </c>
      <c r="BV149" s="104">
        <f t="shared" si="121"/>
        <v>0.34209478295499807</v>
      </c>
      <c r="BW149" s="104">
        <f t="shared" si="122"/>
        <v>4.5916495968128634E-2</v>
      </c>
      <c r="BX149" s="104">
        <f>SUM($AE$145:AE149)/SUM($AD$145:AD149)-1</f>
        <v>-7.0735028730223748E-2</v>
      </c>
      <c r="BY149" s="104">
        <f>SUM(AE$145:AE149)/(SUM(Z$145:AD149)/5)-1</f>
        <v>-0.19257663807358916</v>
      </c>
    </row>
    <row r="150" spans="1:83">
      <c r="A150" s="69" t="s">
        <v>31</v>
      </c>
      <c r="B150" s="107">
        <f>'[1]Corn Oil Balance Sheet'!B43</f>
        <v>73.018749999999997</v>
      </c>
      <c r="C150" s="107">
        <f>'[1]Corn Oil Balance Sheet'!C43</f>
        <v>101.36874999999998</v>
      </c>
      <c r="D150" s="107">
        <f>'[1]Corn Oil Balance Sheet'!D43</f>
        <v>86.581249999999997</v>
      </c>
      <c r="E150" s="107">
        <f>'[1]Corn Oil Balance Sheet'!E43</f>
        <v>91.831249999999997</v>
      </c>
      <c r="F150" s="107">
        <f>'[1]Corn Oil Balance Sheet'!F43</f>
        <v>87.9375</v>
      </c>
      <c r="G150" s="107">
        <f>'[1]Corn Oil Balance Sheet'!G43</f>
        <v>87.9375</v>
      </c>
      <c r="H150" s="107">
        <f>'[1]Corn Oil Balance Sheet'!H43</f>
        <v>93.056249999999977</v>
      </c>
      <c r="I150" s="107">
        <f>'[1]Corn Oil Balance Sheet'!I43</f>
        <v>88.199999999999989</v>
      </c>
      <c r="J150" s="107">
        <f>'[1]Corn Oil Balance Sheet'!J43</f>
        <v>81.856249999999989</v>
      </c>
      <c r="K150" s="107">
        <f>'[1]Corn Oil Balance Sheet'!K43</f>
        <v>90.125</v>
      </c>
      <c r="L150" s="107">
        <f>'[1]Corn Oil Balance Sheet'!L43</f>
        <v>85.662499999999994</v>
      </c>
      <c r="M150" s="107">
        <f>'[1]Corn Oil Balance Sheet'!M43</f>
        <v>91.21875</v>
      </c>
      <c r="N150" s="107">
        <f>'[1]Corn Oil Balance Sheet'!N43</f>
        <v>95.199999999999989</v>
      </c>
      <c r="O150" s="107">
        <f>'[1]Corn Oil Balance Sheet'!O43</f>
        <v>94.679374999999993</v>
      </c>
      <c r="P150" s="107">
        <f>'[1]Corn Oil Balance Sheet'!P43</f>
        <v>97.34375</v>
      </c>
      <c r="Q150" s="107">
        <f>'[1]Corn Oil Balance Sheet'!Q43</f>
        <v>95.724999999999994</v>
      </c>
      <c r="R150" s="107">
        <f>'[1]Corn Oil Balance Sheet'!R43</f>
        <v>92.938124999999985</v>
      </c>
      <c r="S150" s="107">
        <f>'[1]Corn Oil Balance Sheet'!S43</f>
        <v>95.425749999999994</v>
      </c>
      <c r="T150" s="107">
        <f>'[1]Corn Oil Balance Sheet'!T43</f>
        <v>138.52496232101689</v>
      </c>
      <c r="U150" s="107">
        <f>'[1]Corn Oil Balance Sheet'!U43</f>
        <v>140.81778928357167</v>
      </c>
      <c r="V150" s="107">
        <f>'[1]Corn Oil Balance Sheet'!V43</f>
        <v>148.65161473896711</v>
      </c>
      <c r="W150" s="76">
        <f>'[1]Corn Oil Balance Sheet'!W43</f>
        <v>46.091999999999999</v>
      </c>
      <c r="X150" s="76">
        <f>'[1]Corn Oil Balance Sheet'!X43</f>
        <v>47.463000000000001</v>
      </c>
      <c r="Y150" s="76">
        <f>'[1]Corn Oil Balance Sheet'!Y43</f>
        <v>46.65</v>
      </c>
      <c r="Z150" s="76">
        <f>'[1]Corn Oil Balance Sheet'!Z43</f>
        <v>43.996000000000002</v>
      </c>
      <c r="AA150" s="76">
        <f>'[1]Corn Oil Balance Sheet'!AA43</f>
        <v>39.116999999999997</v>
      </c>
      <c r="AB150" s="76">
        <f>'[1]Corn Oil Balance Sheet'!AB43</f>
        <v>40.234000000000002</v>
      </c>
      <c r="AC150" s="76">
        <f>'[1]Corn Oil Balance Sheet'!AC43</f>
        <v>35.531999999999996</v>
      </c>
      <c r="AD150" s="76">
        <f>'[1]Corn Oil Balance Sheet'!AD43</f>
        <v>33.606999999999999</v>
      </c>
      <c r="AE150" s="76">
        <f>'NASS Data'!F102</f>
        <v>34.000999999999998</v>
      </c>
      <c r="AF150" s="76">
        <f>'NASS Data'!F114</f>
        <v>33.606999999999999</v>
      </c>
      <c r="AG150" s="77">
        <f t="shared" ref="AG150:AL156" si="123">AG118-AG134</f>
        <v>31.438603068028954</v>
      </c>
      <c r="AH150" s="77">
        <f t="shared" si="123"/>
        <v>28.516859710167296</v>
      </c>
      <c r="AI150" s="77">
        <f t="shared" si="123"/>
        <v>27.436568470407508</v>
      </c>
      <c r="AJ150" s="77">
        <f t="shared" si="123"/>
        <v>24.608561753868685</v>
      </c>
      <c r="AK150" s="77">
        <f t="shared" si="123"/>
        <v>23.347203903861441</v>
      </c>
      <c r="AL150" s="77">
        <f t="shared" si="123"/>
        <v>20.856277059343824</v>
      </c>
      <c r="AM150" s="77">
        <f t="shared" si="120"/>
        <v>19.215518091685794</v>
      </c>
      <c r="AN150" s="77">
        <f t="shared" si="120"/>
        <v>17.257276895342898</v>
      </c>
      <c r="AO150" s="77">
        <f t="shared" si="120"/>
        <v>15.250662318117804</v>
      </c>
      <c r="AP150" s="77">
        <f t="shared" si="120"/>
        <v>13.141321807045017</v>
      </c>
      <c r="AQ150" s="77">
        <f t="shared" si="120"/>
        <v>11.226626066524545</v>
      </c>
      <c r="AR150" s="77">
        <f t="shared" si="120"/>
        <v>9.1724134619236111</v>
      </c>
      <c r="AS150" s="77">
        <f t="shared" si="120"/>
        <v>7.1816406507043666</v>
      </c>
      <c r="AT150" s="77">
        <f t="shared" si="120"/>
        <v>5.1120911569838654</v>
      </c>
      <c r="AU150" s="77">
        <f t="shared" si="120"/>
        <v>3.0433258325377892</v>
      </c>
      <c r="AV150" s="77">
        <f t="shared" si="120"/>
        <v>0.96374263131855287</v>
      </c>
      <c r="AW150" s="77">
        <f t="shared" si="120"/>
        <v>-1.110472299668686</v>
      </c>
      <c r="AX150" s="77">
        <f t="shared" si="120"/>
        <v>-3.4553506065914803</v>
      </c>
      <c r="AY150" s="77">
        <f t="shared" si="120"/>
        <v>-5.7474588577069881</v>
      </c>
      <c r="AZ150" s="77">
        <f t="shared" si="120"/>
        <v>-8.1609173061985416</v>
      </c>
      <c r="BA150" s="77">
        <f t="shared" si="120"/>
        <v>-10.675383919370063</v>
      </c>
      <c r="BB150" s="77">
        <f t="shared" si="120"/>
        <v>-13.32189083187842</v>
      </c>
      <c r="BC150" s="77">
        <f t="shared" si="120"/>
        <v>-16.131264959513487</v>
      </c>
      <c r="BD150" s="77">
        <f t="shared" si="120"/>
        <v>-18.923449338607952</v>
      </c>
      <c r="BE150" s="77">
        <f t="shared" si="120"/>
        <v>-21.840990374032003</v>
      </c>
      <c r="BF150" s="77">
        <f t="shared" si="120"/>
        <v>-24.871328135341173</v>
      </c>
      <c r="BV150" s="104">
        <f t="shared" si="121"/>
        <v>1.1723748028684478E-2</v>
      </c>
      <c r="BW150" s="104">
        <f t="shared" si="122"/>
        <v>-0.11679290961420596</v>
      </c>
      <c r="BX150" s="104">
        <f>SUM($AE$145:AE150)/SUM($AD$145:AD150)-1</f>
        <v>-5.7800824259170214E-2</v>
      </c>
      <c r="BY150" s="104">
        <f>SUM(AE$145:AE150)/(SUM(Z$145:AD150)/5)-1</f>
        <v>-0.18073643583884924</v>
      </c>
    </row>
    <row r="151" spans="1:83">
      <c r="A151" s="69" t="s">
        <v>32</v>
      </c>
      <c r="B151" s="107">
        <f>'[1]Corn Oil Balance Sheet'!B44</f>
        <v>67.943749999999994</v>
      </c>
      <c r="C151" s="107">
        <f>'[1]Corn Oil Balance Sheet'!C44</f>
        <v>83.431249999999991</v>
      </c>
      <c r="D151" s="107">
        <f>'[1]Corn Oil Balance Sheet'!D44</f>
        <v>86.318749999999994</v>
      </c>
      <c r="E151" s="107">
        <f>'[1]Corn Oil Balance Sheet'!E44</f>
        <v>82.381249999999994</v>
      </c>
      <c r="F151" s="107">
        <f>'[1]Corn Oil Balance Sheet'!F44</f>
        <v>89.206249999999997</v>
      </c>
      <c r="G151" s="107">
        <f>'[1]Corn Oil Balance Sheet'!G44</f>
        <v>87.981249999999989</v>
      </c>
      <c r="H151" s="107">
        <f>'[1]Corn Oil Balance Sheet'!H44</f>
        <v>91.831249999999997</v>
      </c>
      <c r="I151" s="107">
        <f>'[1]Corn Oil Balance Sheet'!I44</f>
        <v>87.806249999999991</v>
      </c>
      <c r="J151" s="107">
        <f>'[1]Corn Oil Balance Sheet'!J44</f>
        <v>82.862499999999997</v>
      </c>
      <c r="K151" s="107">
        <f>'[1]Corn Oil Balance Sheet'!K44</f>
        <v>87.368749999999991</v>
      </c>
      <c r="L151" s="107">
        <f>'[1]Corn Oil Balance Sheet'!L44</f>
        <v>87.5</v>
      </c>
      <c r="M151" s="107">
        <f>'[1]Corn Oil Balance Sheet'!M44</f>
        <v>95.024999999999977</v>
      </c>
      <c r="N151" s="107">
        <f>'[1]Corn Oil Balance Sheet'!N44</f>
        <v>83.868749999999991</v>
      </c>
      <c r="O151" s="107">
        <f>'[1]Corn Oil Balance Sheet'!O44</f>
        <v>84.936687499999991</v>
      </c>
      <c r="P151" s="107">
        <f>'[1]Corn Oil Balance Sheet'!P44</f>
        <v>83.431249999999991</v>
      </c>
      <c r="Q151" s="107">
        <f>'[1]Corn Oil Balance Sheet'!Q44</f>
        <v>82.862499999999997</v>
      </c>
      <c r="R151" s="107">
        <f>'[1]Corn Oil Balance Sheet'!R44</f>
        <v>93.931249999999977</v>
      </c>
      <c r="S151" s="107">
        <f>'[1]Corn Oil Balance Sheet'!S44</f>
        <v>88.837437499999979</v>
      </c>
      <c r="T151" s="107">
        <f>'[1]Corn Oil Balance Sheet'!T44</f>
        <v>124.88577929968956</v>
      </c>
      <c r="U151" s="107">
        <f>'[1]Corn Oil Balance Sheet'!U44</f>
        <v>126.95285426740857</v>
      </c>
      <c r="V151" s="107">
        <f>'[1]Corn Oil Balance Sheet'!V44</f>
        <v>134.01536040711514</v>
      </c>
      <c r="W151" s="76">
        <f>'[1]Corn Oil Balance Sheet'!W44</f>
        <v>42.691000000000003</v>
      </c>
      <c r="X151" s="76">
        <f>'[1]Corn Oil Balance Sheet'!X44</f>
        <v>42.34</v>
      </c>
      <c r="Y151" s="76">
        <f>'[1]Corn Oil Balance Sheet'!Y44</f>
        <v>47.143999999999998</v>
      </c>
      <c r="Z151" s="76">
        <f>'[1]Corn Oil Balance Sheet'!Z44</f>
        <v>39.591000000000001</v>
      </c>
      <c r="AA151" s="76">
        <f>'[1]Corn Oil Balance Sheet'!AA44</f>
        <v>40.747999999999998</v>
      </c>
      <c r="AB151" s="76">
        <f>'[1]Corn Oil Balance Sheet'!AB44</f>
        <v>31.077999999999999</v>
      </c>
      <c r="AC151" s="76">
        <f>'[1]Corn Oil Balance Sheet'!AC44</f>
        <v>37.305</v>
      </c>
      <c r="AD151" s="76">
        <f>'[1]Corn Oil Balance Sheet'!AD44</f>
        <v>28.995999999999999</v>
      </c>
      <c r="AE151" s="76">
        <f>'NASS Data'!F103</f>
        <v>37.012999999999998</v>
      </c>
      <c r="AF151" s="76">
        <f>'NASS Data'!F115</f>
        <v>36.488</v>
      </c>
      <c r="AG151" s="77">
        <f t="shared" si="123"/>
        <v>28.383640432327923</v>
      </c>
      <c r="AH151" s="77">
        <f t="shared" si="123"/>
        <v>26.553368612536644</v>
      </c>
      <c r="AI151" s="77">
        <f t="shared" si="123"/>
        <v>25.129185251583067</v>
      </c>
      <c r="AJ151" s="77">
        <f t="shared" si="123"/>
        <v>22.485055812518056</v>
      </c>
      <c r="AK151" s="77">
        <f t="shared" si="123"/>
        <v>21.79155950009573</v>
      </c>
      <c r="AL151" s="77">
        <f t="shared" si="123"/>
        <v>18.895078576940023</v>
      </c>
      <c r="AM151" s="77">
        <f t="shared" si="120"/>
        <v>16.507483257547676</v>
      </c>
      <c r="AN151" s="77">
        <f t="shared" si="120"/>
        <v>14.699345928703792</v>
      </c>
      <c r="AO151" s="77">
        <f t="shared" si="120"/>
        <v>12.68182268164469</v>
      </c>
      <c r="AP151" s="77">
        <f t="shared" si="120"/>
        <v>10.564740586736491</v>
      </c>
      <c r="AQ151" s="77">
        <f t="shared" si="120"/>
        <v>8.552470549296288</v>
      </c>
      <c r="AR151" s="77">
        <f t="shared" si="120"/>
        <v>6.2297083190698572</v>
      </c>
      <c r="AS151" s="77">
        <f t="shared" si="120"/>
        <v>4.0950779396070516</v>
      </c>
      <c r="AT151" s="77">
        <f t="shared" si="120"/>
        <v>1.9908226857279487</v>
      </c>
      <c r="AU151" s="77">
        <f t="shared" si="120"/>
        <v>-0.19036445271859748</v>
      </c>
      <c r="AV151" s="77">
        <f t="shared" si="120"/>
        <v>-2.3927237101704009</v>
      </c>
      <c r="AW151" s="77">
        <f t="shared" si="120"/>
        <v>-4.6086480362825455</v>
      </c>
      <c r="AX151" s="77">
        <f t="shared" si="120"/>
        <v>-7.2556678365418179</v>
      </c>
      <c r="AY151" s="77">
        <f t="shared" si="120"/>
        <v>-9.6241312437498436</v>
      </c>
      <c r="AZ151" s="77">
        <f t="shared" si="120"/>
        <v>-12.139163204713725</v>
      </c>
      <c r="BA151" s="77">
        <f t="shared" si="120"/>
        <v>-14.762033224685808</v>
      </c>
      <c r="BB151" s="77">
        <f t="shared" si="120"/>
        <v>-17.502753819844656</v>
      </c>
      <c r="BC151" s="77">
        <f t="shared" si="120"/>
        <v>-20.390191691212181</v>
      </c>
      <c r="BD151" s="77">
        <f t="shared" si="120"/>
        <v>-23.231972861942154</v>
      </c>
      <c r="BE151" s="77">
        <f t="shared" si="120"/>
        <v>-26.187842999203099</v>
      </c>
      <c r="BF151" s="77">
        <f t="shared" si="120"/>
        <v>-29.242045115164501</v>
      </c>
      <c r="BV151" s="104">
        <f t="shared" si="121"/>
        <v>0.27648641191888546</v>
      </c>
      <c r="BW151" s="104">
        <f t="shared" si="122"/>
        <v>4.1340775835874588E-2</v>
      </c>
      <c r="BX151" s="104">
        <f>SUM($AE$145:AE151)/SUM($AD$145:AD151)-1</f>
        <v>-1.7952797339351845E-2</v>
      </c>
      <c r="BY151" s="104">
        <f>SUM(AE$145:AE151)/(SUM(Z$145:AD151)/5)-1</f>
        <v>-0.15274027067536899</v>
      </c>
    </row>
    <row r="152" spans="1:83">
      <c r="A152" s="69" t="s">
        <v>33</v>
      </c>
      <c r="B152" s="107">
        <f>'[1]Corn Oil Balance Sheet'!B45</f>
        <v>71.837499999999991</v>
      </c>
      <c r="C152" s="107">
        <f>'[1]Corn Oil Balance Sheet'!C45</f>
        <v>85.05</v>
      </c>
      <c r="D152" s="107">
        <f>'[1]Corn Oil Balance Sheet'!D45</f>
        <v>78.75</v>
      </c>
      <c r="E152" s="107">
        <f>'[1]Corn Oil Balance Sheet'!E45</f>
        <v>79.84375</v>
      </c>
      <c r="F152" s="107">
        <f>'[1]Corn Oil Balance Sheet'!F45</f>
        <v>88.024999999999991</v>
      </c>
      <c r="G152" s="107">
        <f>'[1]Corn Oil Balance Sheet'!G45</f>
        <v>89.818749999999994</v>
      </c>
      <c r="H152" s="107">
        <f>'[1]Corn Oil Balance Sheet'!H45</f>
        <v>92.356249999999989</v>
      </c>
      <c r="I152" s="107">
        <f>'[1]Corn Oil Balance Sheet'!I45</f>
        <v>90.212499999999977</v>
      </c>
      <c r="J152" s="107">
        <f>'[1]Corn Oil Balance Sheet'!J45</f>
        <v>96.162499999999994</v>
      </c>
      <c r="K152" s="107">
        <f>'[1]Corn Oil Balance Sheet'!K45</f>
        <v>89.074999999999989</v>
      </c>
      <c r="L152" s="107">
        <f>'[1]Corn Oil Balance Sheet'!L45</f>
        <v>86.493749999999991</v>
      </c>
      <c r="M152" s="107">
        <f>'[1]Corn Oil Balance Sheet'!M45</f>
        <v>82.337499999999991</v>
      </c>
      <c r="N152" s="107">
        <f>'[1]Corn Oil Balance Sheet'!N45</f>
        <v>95.681249999999977</v>
      </c>
      <c r="O152" s="107">
        <f>'[1]Corn Oil Balance Sheet'!O45</f>
        <v>93.82012499999999</v>
      </c>
      <c r="P152" s="107">
        <f>'[1]Corn Oil Balance Sheet'!P45</f>
        <v>96.643749999999997</v>
      </c>
      <c r="Q152" s="107">
        <f>'[1]Corn Oil Balance Sheet'!Q45</f>
        <v>88.59375</v>
      </c>
      <c r="R152" s="107">
        <f>'[1]Corn Oil Balance Sheet'!R45</f>
        <v>89.8708125</v>
      </c>
      <c r="S152" s="107">
        <f>'[1]Corn Oil Balance Sheet'!S45</f>
        <v>94.064687499999977</v>
      </c>
      <c r="T152" s="107">
        <f>'[1]Corn Oil Balance Sheet'!T45</f>
        <v>135.24248589850396</v>
      </c>
      <c r="U152" s="107">
        <f>'[1]Corn Oil Balance Sheet'!U45</f>
        <v>137.48098221682403</v>
      </c>
      <c r="V152" s="107">
        <f>'[1]Corn Oil Balance Sheet'!V45</f>
        <v>145.12917797108426</v>
      </c>
      <c r="W152" s="76">
        <f>'[1]Corn Oil Balance Sheet'!W45</f>
        <v>47.720999999999997</v>
      </c>
      <c r="X152" s="76">
        <f>'[1]Corn Oil Balance Sheet'!X45</f>
        <v>46.21</v>
      </c>
      <c r="Y152" s="76">
        <f>'[1]Corn Oil Balance Sheet'!Y45</f>
        <v>46.95</v>
      </c>
      <c r="Z152" s="76">
        <f>'[1]Corn Oil Balance Sheet'!Z45</f>
        <v>40.08</v>
      </c>
      <c r="AA152" s="76">
        <f>'[1]Corn Oil Balance Sheet'!AA45</f>
        <v>41.204999999999998</v>
      </c>
      <c r="AB152" s="76">
        <f>'[1]Corn Oil Balance Sheet'!AB45</f>
        <v>44.317</v>
      </c>
      <c r="AC152" s="76">
        <f>'[1]Corn Oil Balance Sheet'!AC45</f>
        <v>36.662999999999997</v>
      </c>
      <c r="AD152" s="76">
        <f>'[1]Corn Oil Balance Sheet'!AD45</f>
        <v>33.872999999999998</v>
      </c>
      <c r="AE152" s="76">
        <f>'NASS Data'!F104</f>
        <v>33.237000000000002</v>
      </c>
      <c r="AF152" s="76">
        <f>'NASS Data'!F116</f>
        <v>32.75</v>
      </c>
      <c r="AG152" s="77">
        <f t="shared" si="123"/>
        <v>33.461361857646978</v>
      </c>
      <c r="AH152" s="77">
        <f t="shared" si="123"/>
        <v>33.866420629024162</v>
      </c>
      <c r="AI152" s="77">
        <f t="shared" si="123"/>
        <v>25.722564306513618</v>
      </c>
      <c r="AJ152" s="77">
        <f t="shared" si="123"/>
        <v>25.685139309565955</v>
      </c>
      <c r="AK152" s="77">
        <f t="shared" si="123"/>
        <v>24.214784145997442</v>
      </c>
      <c r="AL152" s="77">
        <f t="shared" si="123"/>
        <v>22.527208143764256</v>
      </c>
      <c r="AM152" s="77">
        <f t="shared" si="120"/>
        <v>21.029690497856905</v>
      </c>
      <c r="AN152" s="77">
        <f t="shared" si="120"/>
        <v>18.537028803689623</v>
      </c>
      <c r="AO152" s="77">
        <f t="shared" si="120"/>
        <v>16.051156639181329</v>
      </c>
      <c r="AP152" s="77">
        <f t="shared" si="120"/>
        <v>14.55536654026298</v>
      </c>
      <c r="AQ152" s="77">
        <f t="shared" si="120"/>
        <v>12.571668159922467</v>
      </c>
      <c r="AR152" s="77">
        <f t="shared" si="120"/>
        <v>10.604372681995983</v>
      </c>
      <c r="AS152" s="77">
        <f t="shared" si="120"/>
        <v>8.5382072737817793</v>
      </c>
      <c r="AT152" s="77">
        <f t="shared" si="120"/>
        <v>6.4095244430546359</v>
      </c>
      <c r="AU152" s="77">
        <f t="shared" si="120"/>
        <v>4.3501540907215599</v>
      </c>
      <c r="AV152" s="77">
        <f t="shared" si="120"/>
        <v>2.367917607603772</v>
      </c>
      <c r="AW152" s="77">
        <f t="shared" si="120"/>
        <v>0.26934621887886578</v>
      </c>
      <c r="AX152" s="77">
        <f t="shared" si="120"/>
        <v>-1.9281461173624734</v>
      </c>
      <c r="AY152" s="77">
        <f t="shared" si="120"/>
        <v>-4.1562673119581177</v>
      </c>
      <c r="AZ152" s="77">
        <f t="shared" si="120"/>
        <v>-6.4559376540620974</v>
      </c>
      <c r="BA152" s="77">
        <f t="shared" si="120"/>
        <v>-8.8109799464516527</v>
      </c>
      <c r="BB152" s="77">
        <f t="shared" si="120"/>
        <v>-11.25428596258115</v>
      </c>
      <c r="BC152" s="77">
        <f t="shared" si="120"/>
        <v>-13.822829053657188</v>
      </c>
      <c r="BD152" s="77">
        <f t="shared" si="120"/>
        <v>-16.369587046133574</v>
      </c>
      <c r="BE152" s="77">
        <f t="shared" si="120"/>
        <v>-19.013433780261664</v>
      </c>
      <c r="BF152" s="77">
        <f t="shared" si="120"/>
        <v>-21.72973803957666</v>
      </c>
      <c r="BV152" s="104">
        <f t="shared" si="121"/>
        <v>-1.8776016296164988E-2</v>
      </c>
      <c r="BW152" s="104">
        <f t="shared" si="122"/>
        <v>-0.15271390551550423</v>
      </c>
      <c r="BX152" s="104">
        <f>SUM($AE$145:AE152)/SUM($AD$145:AD152)-1</f>
        <v>-1.805342051515213E-2</v>
      </c>
      <c r="BY152" s="104">
        <f>SUM(AE$145:AE152)/(SUM(Z$145:AD152)/5)-1</f>
        <v>-0.15273705048537511</v>
      </c>
    </row>
    <row r="153" spans="1:83">
      <c r="A153" s="69" t="s">
        <v>14</v>
      </c>
      <c r="B153" s="107">
        <f>'[1]Corn Oil Balance Sheet'!B46</f>
        <v>75.162499999999994</v>
      </c>
      <c r="C153" s="107">
        <f>'[1]Corn Oil Balance Sheet'!C46</f>
        <v>84.699999999999989</v>
      </c>
      <c r="D153" s="107">
        <f>'[1]Corn Oil Balance Sheet'!D46</f>
        <v>79.8</v>
      </c>
      <c r="E153" s="107">
        <f>'[1]Corn Oil Balance Sheet'!E46</f>
        <v>80.631249999999994</v>
      </c>
      <c r="F153" s="107">
        <f>'[1]Corn Oil Balance Sheet'!F46</f>
        <v>88.112499999999997</v>
      </c>
      <c r="G153" s="107">
        <f>'[1]Corn Oil Balance Sheet'!G46</f>
        <v>89.993749999999977</v>
      </c>
      <c r="H153" s="107">
        <f>'[1]Corn Oil Balance Sheet'!H46</f>
        <v>90.956249999999997</v>
      </c>
      <c r="I153" s="107">
        <f>'[1]Corn Oil Balance Sheet'!I46</f>
        <v>89.25</v>
      </c>
      <c r="J153" s="107">
        <f>'[1]Corn Oil Balance Sheet'!J46</f>
        <v>99.443749999999994</v>
      </c>
      <c r="K153" s="107">
        <f>'[1]Corn Oil Balance Sheet'!K46</f>
        <v>90.606249999999989</v>
      </c>
      <c r="L153" s="107">
        <f>'[1]Corn Oil Balance Sheet'!L46</f>
        <v>92.181249999999977</v>
      </c>
      <c r="M153" s="107">
        <f>'[1]Corn Oil Balance Sheet'!M46</f>
        <v>92.574999999999989</v>
      </c>
      <c r="N153" s="107">
        <f>'[1]Corn Oil Balance Sheet'!N46</f>
        <v>90.431249999999977</v>
      </c>
      <c r="O153" s="107">
        <f>'[1]Corn Oil Balance Sheet'!O46</f>
        <v>93.054062499999986</v>
      </c>
      <c r="P153" s="107">
        <f>'[1]Corn Oil Balance Sheet'!P46</f>
        <v>84.743749999999991</v>
      </c>
      <c r="Q153" s="107">
        <f>'[1]Corn Oil Balance Sheet'!Q46</f>
        <v>82.6875</v>
      </c>
      <c r="R153" s="107">
        <f>'[1]Corn Oil Balance Sheet'!R46</f>
        <v>93.928187499999993</v>
      </c>
      <c r="S153" s="107">
        <f>'[1]Corn Oil Balance Sheet'!S46</f>
        <v>94.620312499999997</v>
      </c>
      <c r="T153" s="107">
        <f>'[1]Corn Oil Balance Sheet'!T46</f>
        <v>129.48914206378558</v>
      </c>
      <c r="U153" s="107">
        <f>'[1]Corn Oil Balance Sheet'!U46</f>
        <v>131.63241062208272</v>
      </c>
      <c r="V153" s="107">
        <f>'[1]Corn Oil Balance Sheet'!V46</f>
        <v>138.95524486293129</v>
      </c>
      <c r="W153" s="76">
        <f>'[1]Corn Oil Balance Sheet'!W46</f>
        <v>45.567999999999998</v>
      </c>
      <c r="X153" s="76">
        <f>'[1]Corn Oil Balance Sheet'!X46</f>
        <v>44.761000000000003</v>
      </c>
      <c r="Y153" s="76">
        <f>'[1]Corn Oil Balance Sheet'!Y46</f>
        <v>46.043999999999997</v>
      </c>
      <c r="Z153" s="76">
        <f>'[1]Corn Oil Balance Sheet'!Z46</f>
        <v>41.277000000000001</v>
      </c>
      <c r="AA153" s="76">
        <f>'[1]Corn Oil Balance Sheet'!AA46</f>
        <v>40.667999999999999</v>
      </c>
      <c r="AB153" s="76">
        <f>'[1]Corn Oil Balance Sheet'!AB46</f>
        <v>41.551000000000002</v>
      </c>
      <c r="AC153" s="76">
        <f>'[1]Corn Oil Balance Sheet'!AC46</f>
        <v>39.295000000000002</v>
      </c>
      <c r="AD153" s="76">
        <f>'[1]Corn Oil Balance Sheet'!AD46</f>
        <v>36.344999999999999</v>
      </c>
      <c r="AE153" s="76">
        <f>'NASS Data'!F105</f>
        <v>32.557000000000002</v>
      </c>
      <c r="AF153" s="76">
        <f>'NASS Data'!F117</f>
        <v>35.295999999999999</v>
      </c>
      <c r="AG153" s="77">
        <f t="shared" si="123"/>
        <v>32.197750616770122</v>
      </c>
      <c r="AH153" s="77">
        <f t="shared" si="123"/>
        <v>32.610931761103586</v>
      </c>
      <c r="AI153" s="77">
        <f t="shared" si="123"/>
        <v>26.73450805914581</v>
      </c>
      <c r="AJ153" s="77">
        <f t="shared" si="123"/>
        <v>25.44322052379988</v>
      </c>
      <c r="AK153" s="77">
        <f t="shared" si="123"/>
        <v>23.628482881668333</v>
      </c>
      <c r="AL153" s="77">
        <f t="shared" si="123"/>
        <v>22.096855718447898</v>
      </c>
      <c r="AM153" s="77">
        <f t="shared" si="120"/>
        <v>20.178290536623763</v>
      </c>
      <c r="AN153" s="77">
        <f t="shared" si="120"/>
        <v>17.885890487047504</v>
      </c>
      <c r="AO153" s="77">
        <f t="shared" si="120"/>
        <v>15.385276984100813</v>
      </c>
      <c r="AP153" s="77">
        <f t="shared" si="120"/>
        <v>13.568413043857902</v>
      </c>
      <c r="AQ153" s="77">
        <f t="shared" si="120"/>
        <v>11.514169074931658</v>
      </c>
      <c r="AR153" s="77">
        <f t="shared" si="120"/>
        <v>9.4532884141196973</v>
      </c>
      <c r="AS153" s="77">
        <f t="shared" si="120"/>
        <v>7.2456748343293498</v>
      </c>
      <c r="AT153" s="77">
        <f t="shared" si="120"/>
        <v>5.0481932730941139</v>
      </c>
      <c r="AU153" s="77">
        <f t="shared" si="120"/>
        <v>2.8577272367257365</v>
      </c>
      <c r="AV153" s="77">
        <f t="shared" si="120"/>
        <v>0.727209460100255</v>
      </c>
      <c r="AW153" s="77">
        <f t="shared" si="120"/>
        <v>-1.4822056047436831</v>
      </c>
      <c r="AX153" s="77">
        <f t="shared" si="120"/>
        <v>-3.8374039730413756</v>
      </c>
      <c r="AY153" s="77">
        <f t="shared" si="120"/>
        <v>-6.1293080935367925</v>
      </c>
      <c r="AZ153" s="77">
        <f t="shared" si="120"/>
        <v>-8.4957516306491243</v>
      </c>
      <c r="BA153" s="77">
        <f t="shared" si="120"/>
        <v>-10.9091567783546</v>
      </c>
      <c r="BB153" s="77">
        <f t="shared" si="120"/>
        <v>-13.381464175857559</v>
      </c>
      <c r="BC153" s="77">
        <f t="shared" si="120"/>
        <v>-15.940077918711154</v>
      </c>
      <c r="BD153" s="77">
        <f t="shared" si="120"/>
        <v>-18.470089574233384</v>
      </c>
      <c r="BE153" s="77">
        <f t="shared" si="120"/>
        <v>-21.079298070233961</v>
      </c>
      <c r="BF153" s="77">
        <f t="shared" si="120"/>
        <v>-23.736875310664232</v>
      </c>
      <c r="BV153" s="104">
        <f t="shared" si="121"/>
        <v>-0.10422341449993111</v>
      </c>
      <c r="BW153" s="104">
        <f t="shared" si="122"/>
        <v>-0.18254358830146222</v>
      </c>
      <c r="BX153" s="104">
        <f>SUM($AE$145:AE153)/SUM($AD$145:AD153)-1</f>
        <v>-2.8044419348767002E-2</v>
      </c>
      <c r="BY153" s="104">
        <f>SUM(AE$145:AE153)/(SUM(Z$145:AD153)/5)-1</f>
        <v>-0.15602543369637889</v>
      </c>
    </row>
    <row r="154" spans="1:83">
      <c r="A154" s="69" t="s">
        <v>34</v>
      </c>
      <c r="B154" s="107">
        <f>'[1]Corn Oil Balance Sheet'!B47</f>
        <v>72.099999999999994</v>
      </c>
      <c r="C154" s="107">
        <f>'[1]Corn Oil Balance Sheet'!C47</f>
        <v>84.65625</v>
      </c>
      <c r="D154" s="107">
        <f>'[1]Corn Oil Balance Sheet'!D47</f>
        <v>66.674999999999997</v>
      </c>
      <c r="E154" s="107">
        <f>'[1]Corn Oil Balance Sheet'!E47</f>
        <v>76.125</v>
      </c>
      <c r="F154" s="107">
        <f>'[1]Corn Oil Balance Sheet'!F47</f>
        <v>84.35</v>
      </c>
      <c r="G154" s="107">
        <f>'[1]Corn Oil Balance Sheet'!G47</f>
        <v>85.224999999999994</v>
      </c>
      <c r="H154" s="107">
        <f>'[1]Corn Oil Balance Sheet'!H47</f>
        <v>98.524999999999977</v>
      </c>
      <c r="I154" s="107">
        <f>'[1]Corn Oil Balance Sheet'!I47</f>
        <v>89.993749999999977</v>
      </c>
      <c r="J154" s="107">
        <f>'[1]Corn Oil Balance Sheet'!J47</f>
        <v>96.337499999999977</v>
      </c>
      <c r="K154" s="107">
        <f>'[1]Corn Oil Balance Sheet'!K47</f>
        <v>94.71875</v>
      </c>
      <c r="L154" s="107">
        <f>'[1]Corn Oil Balance Sheet'!L47</f>
        <v>89.381249999999994</v>
      </c>
      <c r="M154" s="107">
        <f>'[1]Corn Oil Balance Sheet'!M47</f>
        <v>90.431249999999977</v>
      </c>
      <c r="N154" s="107">
        <f>'[1]Corn Oil Balance Sheet'!N47</f>
        <v>94.193749999999994</v>
      </c>
      <c r="O154" s="107">
        <f>'[1]Corn Oil Balance Sheet'!O47</f>
        <v>96.165562499999979</v>
      </c>
      <c r="P154" s="107">
        <f>'[1]Corn Oil Balance Sheet'!P47</f>
        <v>94.018749999999997</v>
      </c>
      <c r="Q154" s="107">
        <f>'[1]Corn Oil Balance Sheet'!Q47</f>
        <v>81.375</v>
      </c>
      <c r="R154" s="107">
        <f>'[1]Corn Oil Balance Sheet'!R47</f>
        <v>94.870562499999991</v>
      </c>
      <c r="S154" s="107">
        <f>'[1]Corn Oil Balance Sheet'!S47</f>
        <v>90.007312499999998</v>
      </c>
      <c r="T154" s="107">
        <f>'[1]Corn Oil Balance Sheet'!T47</f>
        <v>134.08218938306209</v>
      </c>
      <c r="U154" s="107">
        <f>'[1]Corn Oil Balance Sheet'!U47</f>
        <v>136.30148079354035</v>
      </c>
      <c r="V154" s="107">
        <f>'[1]Corn Oil Balance Sheet'!V47</f>
        <v>143.8840597793411</v>
      </c>
      <c r="W154" s="76">
        <f>'[1]Corn Oil Balance Sheet'!W47</f>
        <v>46.976999999999997</v>
      </c>
      <c r="X154" s="76">
        <f>'[1]Corn Oil Balance Sheet'!X47</f>
        <v>47.917999999999999</v>
      </c>
      <c r="Y154" s="76">
        <f>'[1]Corn Oil Balance Sheet'!Y47</f>
        <v>42.481000000000002</v>
      </c>
      <c r="Z154" s="76">
        <f>'[1]Corn Oil Balance Sheet'!Z47</f>
        <v>43.238999999999997</v>
      </c>
      <c r="AA154" s="76">
        <f>'[1]Corn Oil Balance Sheet'!AA47</f>
        <v>43.454000000000001</v>
      </c>
      <c r="AB154" s="76">
        <f>'[1]Corn Oil Balance Sheet'!AB47</f>
        <v>44.991</v>
      </c>
      <c r="AC154" s="76">
        <f>'[1]Corn Oil Balance Sheet'!AC47</f>
        <v>37.659999999999997</v>
      </c>
      <c r="AD154" s="76">
        <f>'[1]Corn Oil Balance Sheet'!AD47</f>
        <v>32.112000000000002</v>
      </c>
      <c r="AE154" s="76">
        <f>'NASS Data'!F106</f>
        <v>33.789000000000001</v>
      </c>
      <c r="AF154" s="76">
        <f>'NASS Data'!F118</f>
        <v>36.276000000000003</v>
      </c>
      <c r="AG154" s="77">
        <f t="shared" si="123"/>
        <v>30.985537344913098</v>
      </c>
      <c r="AH154" s="77">
        <f t="shared" si="123"/>
        <v>29.95456972961216</v>
      </c>
      <c r="AI154" s="77">
        <f t="shared" si="123"/>
        <v>25.499552305615566</v>
      </c>
      <c r="AJ154" s="77">
        <f t="shared" si="123"/>
        <v>24.110368757310368</v>
      </c>
      <c r="AK154" s="77">
        <f t="shared" si="123"/>
        <v>22.749994415993569</v>
      </c>
      <c r="AL154" s="77">
        <f t="shared" si="123"/>
        <v>21.051793822454101</v>
      </c>
      <c r="AM154" s="77">
        <f t="shared" si="120"/>
        <v>18.502498949538847</v>
      </c>
      <c r="AN154" s="77">
        <f t="shared" si="120"/>
        <v>16.476696843261493</v>
      </c>
      <c r="AO154" s="77">
        <f t="shared" si="120"/>
        <v>14.193619932972183</v>
      </c>
      <c r="AP154" s="77">
        <f t="shared" si="120"/>
        <v>12.337389406394436</v>
      </c>
      <c r="AQ154" s="77">
        <f t="shared" si="120"/>
        <v>10.305949853123309</v>
      </c>
      <c r="AR154" s="77">
        <f t="shared" si="120"/>
        <v>8.1337002703587018</v>
      </c>
      <c r="AS154" s="77">
        <f t="shared" si="120"/>
        <v>5.9202249397040987</v>
      </c>
      <c r="AT154" s="77">
        <f t="shared" si="120"/>
        <v>3.7914203920278169</v>
      </c>
      <c r="AU154" s="77">
        <f t="shared" si="120"/>
        <v>1.613473178435811</v>
      </c>
      <c r="AV154" s="77">
        <f t="shared" si="120"/>
        <v>-0.53405493475963794</v>
      </c>
      <c r="AW154" s="77">
        <f t="shared" si="120"/>
        <v>-2.7486023022957511</v>
      </c>
      <c r="AX154" s="77">
        <f t="shared" si="120"/>
        <v>-5.0906299568417808</v>
      </c>
      <c r="AY154" s="77">
        <f t="shared" si="120"/>
        <v>-7.2471130044324354</v>
      </c>
      <c r="AZ154" s="77">
        <f t="shared" si="120"/>
        <v>-9.506853176126981</v>
      </c>
      <c r="BA154" s="77">
        <f t="shared" si="120"/>
        <v>-11.792959908730893</v>
      </c>
      <c r="BB154" s="77">
        <f t="shared" si="120"/>
        <v>-14.096733363909607</v>
      </c>
      <c r="BC154" s="77">
        <f t="shared" si="120"/>
        <v>-16.430513919509849</v>
      </c>
      <c r="BD154" s="77">
        <f t="shared" si="120"/>
        <v>-18.708659698033841</v>
      </c>
      <c r="BE154" s="77">
        <f t="shared" si="120"/>
        <v>-21.050259972182459</v>
      </c>
      <c r="BF154" s="77">
        <f t="shared" si="120"/>
        <v>-23.404283430212729</v>
      </c>
      <c r="BV154" s="104">
        <f t="shared" si="121"/>
        <v>5.2223467862481332E-2</v>
      </c>
      <c r="BW154" s="104">
        <f t="shared" si="122"/>
        <v>-0.16138015248987359</v>
      </c>
      <c r="BX154" s="104">
        <f>SUM($AE$145:AE154)/SUM($AD$145:AD154)-1</f>
        <v>-2.0585741610456565E-2</v>
      </c>
      <c r="BY154" s="104">
        <f>SUM(AE$145:AE154)/(SUM(Z$145:AD154)/5)-1</f>
        <v>-0.15656306645076423</v>
      </c>
    </row>
    <row r="155" spans="1:83">
      <c r="A155" s="69" t="s">
        <v>35</v>
      </c>
      <c r="B155" s="107">
        <f>'[1]Corn Oil Balance Sheet'!B48</f>
        <v>71.006249999999994</v>
      </c>
      <c r="C155" s="107">
        <f>'[1]Corn Oil Balance Sheet'!C48</f>
        <v>79.887499999999989</v>
      </c>
      <c r="D155" s="107">
        <f>'[1]Corn Oil Balance Sheet'!D48</f>
        <v>72.493749999999991</v>
      </c>
      <c r="E155" s="107">
        <f>'[1]Corn Oil Balance Sheet'!E48</f>
        <v>79.012499999999989</v>
      </c>
      <c r="F155" s="107">
        <f>'[1]Corn Oil Balance Sheet'!F48</f>
        <v>88.724999999999994</v>
      </c>
      <c r="G155" s="107">
        <f>'[1]Corn Oil Balance Sheet'!G48</f>
        <v>92.96875</v>
      </c>
      <c r="H155" s="107">
        <f>'[1]Corn Oil Balance Sheet'!H48</f>
        <v>97.081249999999997</v>
      </c>
      <c r="I155" s="107">
        <f>'[1]Corn Oil Balance Sheet'!I48</f>
        <v>92.356249999999989</v>
      </c>
      <c r="J155" s="107">
        <f>'[1]Corn Oil Balance Sheet'!J48</f>
        <v>94.9375</v>
      </c>
      <c r="K155" s="107">
        <f>'[1]Corn Oil Balance Sheet'!K48</f>
        <v>88.59375</v>
      </c>
      <c r="L155" s="107">
        <f>'[1]Corn Oil Balance Sheet'!L48</f>
        <v>89.774999999999977</v>
      </c>
      <c r="M155" s="107">
        <f>'[1]Corn Oil Balance Sheet'!M48</f>
        <v>86.84375</v>
      </c>
      <c r="N155" s="107">
        <f>'[1]Corn Oil Balance Sheet'!N48</f>
        <v>97.125</v>
      </c>
      <c r="O155" s="107">
        <f>'[1]Corn Oil Balance Sheet'!O48</f>
        <v>91.636124999999993</v>
      </c>
      <c r="P155" s="107">
        <f>'[1]Corn Oil Balance Sheet'!P48</f>
        <v>95.068749999999994</v>
      </c>
      <c r="Q155" s="107">
        <f>'[1]Corn Oil Balance Sheet'!Q48</f>
        <v>88.112499999999997</v>
      </c>
      <c r="R155" s="107">
        <f>'[1]Corn Oil Balance Sheet'!R48</f>
        <v>93.431624999999997</v>
      </c>
      <c r="S155" s="107">
        <f>'[1]Corn Oil Balance Sheet'!S48</f>
        <v>93.378833333333318</v>
      </c>
      <c r="T155" s="107">
        <f>'[1]Corn Oil Balance Sheet'!T48</f>
        <v>135.46496839356237</v>
      </c>
      <c r="U155" s="107">
        <f>'[1]Corn Oil Balance Sheet'!U48</f>
        <v>137.70714718076616</v>
      </c>
      <c r="V155" s="107">
        <f>'[1]Corn Oil Balance Sheet'!V48</f>
        <v>145.36792470371245</v>
      </c>
      <c r="W155" s="76">
        <f>'[1]Corn Oil Balance Sheet'!W48</f>
        <v>47.496000000000002</v>
      </c>
      <c r="X155" s="76">
        <f>'[1]Corn Oil Balance Sheet'!X48</f>
        <v>46.951000000000001</v>
      </c>
      <c r="Y155" s="76">
        <f>'[1]Corn Oil Balance Sheet'!Y48</f>
        <v>50.273000000000003</v>
      </c>
      <c r="Z155" s="76">
        <f>'[1]Corn Oil Balance Sheet'!Z48</f>
        <v>42.331000000000003</v>
      </c>
      <c r="AA155" s="76">
        <f>'[1]Corn Oil Balance Sheet'!AA48</f>
        <v>43.884</v>
      </c>
      <c r="AB155" s="76">
        <f>'[1]Corn Oil Balance Sheet'!AB48</f>
        <v>39.808999999999997</v>
      </c>
      <c r="AC155" s="76">
        <f>'[1]Corn Oil Balance Sheet'!AC48</f>
        <v>38.706000000000003</v>
      </c>
      <c r="AD155" s="76">
        <f>'[1]Corn Oil Balance Sheet'!AD48</f>
        <v>28.28</v>
      </c>
      <c r="AE155" s="76">
        <f>'NASS Data'!F107</f>
        <v>36.874000000000002</v>
      </c>
      <c r="AF155" s="76">
        <f>'NASS Data'!F119</f>
        <v>37.082000000000001</v>
      </c>
      <c r="AG155" s="77">
        <f t="shared" si="123"/>
        <v>28.74303383229892</v>
      </c>
      <c r="AH155" s="77">
        <f t="shared" si="123"/>
        <v>26.819411503586991</v>
      </c>
      <c r="AI155" s="77">
        <f t="shared" si="123"/>
        <v>23.848690460300304</v>
      </c>
      <c r="AJ155" s="77">
        <f t="shared" si="123"/>
        <v>22.385591425306359</v>
      </c>
      <c r="AK155" s="77">
        <f t="shared" si="123"/>
        <v>21.685409073555775</v>
      </c>
      <c r="AL155" s="77">
        <f t="shared" si="123"/>
        <v>18.946882032227336</v>
      </c>
      <c r="AM155" s="77">
        <f t="shared" si="120"/>
        <v>16.540692738827886</v>
      </c>
      <c r="AN155" s="77">
        <f t="shared" si="120"/>
        <v>14.568338975041911</v>
      </c>
      <c r="AO155" s="77">
        <f t="shared" si="120"/>
        <v>12.507784362368682</v>
      </c>
      <c r="AP155" s="77">
        <f t="shared" si="120"/>
        <v>10.524792901150988</v>
      </c>
      <c r="AQ155" s="77">
        <f t="shared" si="120"/>
        <v>8.4903292786144675</v>
      </c>
      <c r="AR155" s="77">
        <f t="shared" si="120"/>
        <v>6.2059084801592803</v>
      </c>
      <c r="AS155" s="77">
        <f t="shared" si="120"/>
        <v>4.0428042589685447</v>
      </c>
      <c r="AT155" s="77">
        <f t="shared" si="120"/>
        <v>1.9094268079790027</v>
      </c>
      <c r="AU155" s="77">
        <f t="shared" si="120"/>
        <v>-0.2699793361424554</v>
      </c>
      <c r="AV155" s="77">
        <f t="shared" si="120"/>
        <v>-2.4576020084503511</v>
      </c>
      <c r="AW155" s="77">
        <f t="shared" si="120"/>
        <v>-4.6882010727639454</v>
      </c>
      <c r="AX155" s="77">
        <f t="shared" si="120"/>
        <v>-6.9343513026977917</v>
      </c>
      <c r="AY155" s="77">
        <f t="shared" si="120"/>
        <v>-9.5154196628116097</v>
      </c>
      <c r="AZ155" s="77">
        <f t="shared" si="120"/>
        <v>-11.938036951071012</v>
      </c>
      <c r="BA155" s="77">
        <f t="shared" si="120"/>
        <v>-14.432389144488752</v>
      </c>
      <c r="BB155" s="77">
        <f t="shared" si="120"/>
        <v>-17.005527955134824</v>
      </c>
      <c r="BC155" s="77">
        <f t="shared" si="120"/>
        <v>-19.676421885766672</v>
      </c>
      <c r="BD155" s="77">
        <f t="shared" si="120"/>
        <v>-22.469948119806531</v>
      </c>
      <c r="BE155" s="77">
        <f t="shared" si="120"/>
        <v>-25.241157161475144</v>
      </c>
      <c r="BF155" s="77">
        <f t="shared" si="120"/>
        <v>-28.091041824559738</v>
      </c>
      <c r="BV155" s="104">
        <f t="shared" si="121"/>
        <v>0.30388967468175387</v>
      </c>
      <c r="BW155" s="104">
        <f t="shared" si="122"/>
        <v>-4.4764519973058414E-2</v>
      </c>
      <c r="BX155" s="104">
        <f>SUM($AE$145:AE155)/SUM($AD$145:AD155)-1</f>
        <v>3.9587117068200506E-3</v>
      </c>
      <c r="BY155" s="104">
        <f>SUM(AE$145:AE155)/(SUM(Z$145:AD155)/5)-1</f>
        <v>-0.14675242660400922</v>
      </c>
    </row>
    <row r="156" spans="1:83">
      <c r="A156" s="69" t="s">
        <v>36</v>
      </c>
      <c r="B156" s="107">
        <f>'[1]Corn Oil Balance Sheet'!B49</f>
        <v>72.231249999999989</v>
      </c>
      <c r="C156" s="107">
        <f>'[1]Corn Oil Balance Sheet'!C49</f>
        <v>83.474999999999994</v>
      </c>
      <c r="D156" s="107">
        <f>'[1]Corn Oil Balance Sheet'!D49</f>
        <v>76.256249999999994</v>
      </c>
      <c r="E156" s="107">
        <f>'[1]Corn Oil Balance Sheet'!E49</f>
        <v>79.712499999999991</v>
      </c>
      <c r="F156" s="107">
        <f>'[1]Corn Oil Balance Sheet'!F49</f>
        <v>82.643749999999997</v>
      </c>
      <c r="G156" s="107">
        <f>'[1]Corn Oil Balance Sheet'!G49</f>
        <v>85.881249999999994</v>
      </c>
      <c r="H156" s="107">
        <f>'[1]Corn Oil Balance Sheet'!H49</f>
        <v>90.34375</v>
      </c>
      <c r="I156" s="107">
        <f>'[1]Corn Oil Balance Sheet'!I49</f>
        <v>88.899999999999991</v>
      </c>
      <c r="J156" s="107">
        <f>'[1]Corn Oil Balance Sheet'!J49</f>
        <v>92.3125</v>
      </c>
      <c r="K156" s="107">
        <f>'[1]Corn Oil Balance Sheet'!K49</f>
        <v>88.899999999999991</v>
      </c>
      <c r="L156" s="107">
        <f>'[1]Corn Oil Balance Sheet'!L49</f>
        <v>87.543749999999989</v>
      </c>
      <c r="M156" s="107">
        <f>'[1]Corn Oil Balance Sheet'!M49</f>
        <v>82.6875</v>
      </c>
      <c r="N156" s="107">
        <f>'[1]Corn Oil Balance Sheet'!N49</f>
        <v>91.4375</v>
      </c>
      <c r="O156" s="107">
        <f>'[1]Corn Oil Balance Sheet'!O49</f>
        <v>91.598499999999987</v>
      </c>
      <c r="P156" s="107">
        <f>'[1]Corn Oil Balance Sheet'!P49</f>
        <v>90.693749999999994</v>
      </c>
      <c r="Q156" s="107">
        <f>'[1]Corn Oil Balance Sheet'!Q49</f>
        <v>94.412499999999994</v>
      </c>
      <c r="R156" s="107">
        <f>'[1]Corn Oil Balance Sheet'!R49</f>
        <v>87.552062499999991</v>
      </c>
      <c r="S156" s="107">
        <f>'[1]Corn Oil Balance Sheet'!S49</f>
        <v>91.243249999999989</v>
      </c>
      <c r="T156" s="107">
        <f>'[1]Corn Oil Balance Sheet'!T49</f>
        <v>132.64732374378161</v>
      </c>
      <c r="U156" s="107">
        <f>'[1]Corn Oil Balance Sheet'!U49</f>
        <v>134.84286565402354</v>
      </c>
      <c r="V156" s="107">
        <f>'[1]Corn Oil Balance Sheet'!V49</f>
        <v>142.34430051401671</v>
      </c>
      <c r="W156" s="76">
        <f>'[1]Corn Oil Balance Sheet'!W49</f>
        <v>43.707999999999998</v>
      </c>
      <c r="X156" s="76">
        <f>'[1]Corn Oil Balance Sheet'!X49</f>
        <v>46.747999999999998</v>
      </c>
      <c r="Y156" s="76">
        <f>'[1]Corn Oil Balance Sheet'!Y49</f>
        <v>45.56</v>
      </c>
      <c r="Z156" s="76">
        <f>'[1]Corn Oil Balance Sheet'!Z49</f>
        <v>38.322000000000003</v>
      </c>
      <c r="AA156" s="76">
        <f>'[1]Corn Oil Balance Sheet'!AA49</f>
        <v>40.171999999999997</v>
      </c>
      <c r="AB156" s="76">
        <f>'[1]Corn Oil Balance Sheet'!AB49</f>
        <v>40.046999999999997</v>
      </c>
      <c r="AC156" s="76">
        <f>'[1]Corn Oil Balance Sheet'!AC49</f>
        <v>35.923999999999999</v>
      </c>
      <c r="AD156" s="76">
        <f>'[1]Corn Oil Balance Sheet'!AD49</f>
        <v>27.978999999999999</v>
      </c>
      <c r="AE156" s="76">
        <f>'NASS Data'!F108</f>
        <v>35.786000000000001</v>
      </c>
      <c r="AF156" s="76">
        <f>'NASS Data'!F120</f>
        <v>38.67</v>
      </c>
      <c r="AG156" s="77">
        <f t="shared" si="123"/>
        <v>28.708246210606376</v>
      </c>
      <c r="AH156" s="77">
        <f t="shared" si="123"/>
        <v>28.549578775826717</v>
      </c>
      <c r="AI156" s="77">
        <f t="shared" si="123"/>
        <v>24.714291075214362</v>
      </c>
      <c r="AJ156" s="77">
        <f t="shared" si="123"/>
        <v>23.642231100574122</v>
      </c>
      <c r="AK156" s="77">
        <f t="shared" si="123"/>
        <v>22.775521917636695</v>
      </c>
      <c r="AL156" s="77">
        <f t="shared" si="123"/>
        <v>20.098904915635217</v>
      </c>
      <c r="AM156" s="77">
        <f t="shared" si="120"/>
        <v>17.152376819065978</v>
      </c>
      <c r="AN156" s="77">
        <f t="shared" si="120"/>
        <v>15.331545029707911</v>
      </c>
      <c r="AO156" s="77">
        <f t="shared" si="120"/>
        <v>13.125676670672931</v>
      </c>
      <c r="AP156" s="77">
        <f t="shared" si="120"/>
        <v>11.154204300282174</v>
      </c>
      <c r="AQ156" s="77">
        <f t="shared" si="120"/>
        <v>8.9804542566233749</v>
      </c>
      <c r="AR156" s="77">
        <f t="shared" si="120"/>
        <v>6.5867302118123803</v>
      </c>
      <c r="AS156" s="77">
        <f t="shared" si="120"/>
        <v>4.2961611423679642</v>
      </c>
      <c r="AT156" s="77">
        <f t="shared" si="120"/>
        <v>2.1274525592830287</v>
      </c>
      <c r="AU156" s="77">
        <f t="shared" si="120"/>
        <v>-0.15377213946555912</v>
      </c>
      <c r="AV156" s="77">
        <f t="shared" si="120"/>
        <v>-2.4210525019271358</v>
      </c>
      <c r="AW156" s="77">
        <f t="shared" ref="AW156:BF156" si="124">AW124-AW140</f>
        <v>-4.7527129642853652</v>
      </c>
      <c r="AX156" s="77">
        <f t="shared" si="124"/>
        <v>-7.3429194904900896</v>
      </c>
      <c r="AY156" s="77">
        <f t="shared" si="124"/>
        <v>-9.6468777570179327</v>
      </c>
      <c r="AZ156" s="77">
        <f t="shared" si="124"/>
        <v>-12.096617337520286</v>
      </c>
      <c r="BA156" s="77">
        <f t="shared" si="124"/>
        <v>-14.612614490640965</v>
      </c>
      <c r="BB156" s="77">
        <f t="shared" si="124"/>
        <v>-17.181818886648841</v>
      </c>
      <c r="BC156" s="77">
        <f t="shared" si="124"/>
        <v>-19.825217163010052</v>
      </c>
      <c r="BD156" s="77">
        <f t="shared" si="124"/>
        <v>-22.406238339994616</v>
      </c>
      <c r="BE156" s="77">
        <f t="shared" si="124"/>
        <v>-25.074649249906884</v>
      </c>
      <c r="BF156" s="77">
        <f t="shared" si="124"/>
        <v>-27.787950982405164</v>
      </c>
      <c r="BV156" s="104">
        <f t="shared" si="121"/>
        <v>0.27903070159762677</v>
      </c>
      <c r="BW156" s="104">
        <f t="shared" si="122"/>
        <v>-1.9260704654579075E-2</v>
      </c>
      <c r="BX156" s="104">
        <f>SUM($AE$145:AE156)/SUM($AD$145:AD156)-1</f>
        <v>2.3111303560141128E-2</v>
      </c>
      <c r="BY156" s="104">
        <f>SUM(AE$145:AE156)/(SUM(Z$145:AD156)/5)-1</f>
        <v>-0.13698714102968323</v>
      </c>
    </row>
    <row r="157" spans="1:83" ht="12" thickBot="1">
      <c r="A157" s="69" t="s">
        <v>138</v>
      </c>
      <c r="B157" s="108">
        <f t="shared" ref="B157:V157" si="125">SUM(B145:B156)</f>
        <v>834.00624999999991</v>
      </c>
      <c r="C157" s="108">
        <f t="shared" si="125"/>
        <v>974.53124999999989</v>
      </c>
      <c r="D157" s="108">
        <f t="shared" si="125"/>
        <v>935.81249999999989</v>
      </c>
      <c r="E157" s="108">
        <f t="shared" si="125"/>
        <v>976.23750000000007</v>
      </c>
      <c r="F157" s="108">
        <f t="shared" si="125"/>
        <v>1021.4749999999999</v>
      </c>
      <c r="G157" s="108">
        <f t="shared" si="125"/>
        <v>1038.8</v>
      </c>
      <c r="H157" s="108">
        <f t="shared" si="125"/>
        <v>1094.3624999999997</v>
      </c>
      <c r="I157" s="108">
        <f t="shared" si="125"/>
        <v>1051.4437499999999</v>
      </c>
      <c r="J157" s="108">
        <f t="shared" si="125"/>
        <v>1076.90625</v>
      </c>
      <c r="K157" s="108">
        <f t="shared" si="125"/>
        <v>1073.1875</v>
      </c>
      <c r="L157" s="108">
        <f t="shared" si="125"/>
        <v>1048.46875</v>
      </c>
      <c r="M157" s="108">
        <f t="shared" si="125"/>
        <v>1048.2937499999998</v>
      </c>
      <c r="N157" s="108">
        <f t="shared" si="125"/>
        <v>1086.1812499999999</v>
      </c>
      <c r="O157" s="108">
        <f t="shared" si="125"/>
        <v>1119.9737499999997</v>
      </c>
      <c r="P157" s="108">
        <f t="shared" si="125"/>
        <v>1096.7608968749998</v>
      </c>
      <c r="Q157" s="108">
        <f t="shared" si="125"/>
        <v>1058.1374999999998</v>
      </c>
      <c r="R157" s="108">
        <f t="shared" si="125"/>
        <v>1087.24875</v>
      </c>
      <c r="S157" s="108">
        <f t="shared" si="125"/>
        <v>1100.6127708333333</v>
      </c>
      <c r="T157" s="108">
        <f t="shared" si="125"/>
        <v>1585.9374999999995</v>
      </c>
      <c r="U157" s="108">
        <f t="shared" si="125"/>
        <v>1612.1874999999998</v>
      </c>
      <c r="V157" s="108">
        <f t="shared" si="125"/>
        <v>1701.875</v>
      </c>
      <c r="W157" s="76">
        <f>SUM(W145:W155)</f>
        <v>796.03393474380061</v>
      </c>
      <c r="X157" s="76">
        <f t="shared" ref="X157:BF157" si="126">SUM(X145:X156)</f>
        <v>554.08100000000013</v>
      </c>
      <c r="Y157" s="76">
        <f t="shared" si="126"/>
        <v>557.20100000000002</v>
      </c>
      <c r="Z157" s="76">
        <f t="shared" si="126"/>
        <v>519.20299999999997</v>
      </c>
      <c r="AA157" s="76">
        <f t="shared" si="126"/>
        <v>491.62599999999998</v>
      </c>
      <c r="AB157" s="76">
        <f t="shared" si="126"/>
        <v>505.66300000000001</v>
      </c>
      <c r="AC157" s="76">
        <f t="shared" si="126"/>
        <v>463.58699999999999</v>
      </c>
      <c r="AD157" s="76">
        <f t="shared" si="126"/>
        <v>401.83800000000002</v>
      </c>
      <c r="AE157" s="76">
        <f t="shared" si="126"/>
        <v>411.12500000000006</v>
      </c>
      <c r="AF157" s="76">
        <f t="shared" si="126"/>
        <v>429.46899999999999</v>
      </c>
      <c r="AG157" s="77">
        <f t="shared" si="126"/>
        <v>402.40317336259233</v>
      </c>
      <c r="AH157" s="77">
        <f t="shared" si="126"/>
        <v>357.42558026251965</v>
      </c>
      <c r="AI157" s="77">
        <f t="shared" si="126"/>
        <v>321.40777957430402</v>
      </c>
      <c r="AJ157" s="77">
        <f t="shared" si="126"/>
        <v>297.28436006954769</v>
      </c>
      <c r="AK157" s="77">
        <f t="shared" si="126"/>
        <v>283.00358228687844</v>
      </c>
      <c r="AL157" s="77">
        <f t="shared" si="126"/>
        <v>258.42392780582634</v>
      </c>
      <c r="AM157" s="77">
        <f t="shared" si="126"/>
        <v>232.59638448686445</v>
      </c>
      <c r="AN157" s="77">
        <f t="shared" si="126"/>
        <v>205.08282737592026</v>
      </c>
      <c r="AO157" s="77">
        <f t="shared" si="126"/>
        <v>179.99641415553486</v>
      </c>
      <c r="AP157" s="77">
        <f t="shared" si="126"/>
        <v>156.14614212490511</v>
      </c>
      <c r="AQ157" s="77">
        <f t="shared" si="126"/>
        <v>131.95654345448287</v>
      </c>
      <c r="AR157" s="77">
        <f t="shared" si="126"/>
        <v>105.94882723080104</v>
      </c>
      <c r="AS157" s="77">
        <f t="shared" si="126"/>
        <v>79.843610273793672</v>
      </c>
      <c r="AT157" s="77">
        <f t="shared" si="126"/>
        <v>53.808530387977441</v>
      </c>
      <c r="AU157" s="77">
        <f t="shared" si="126"/>
        <v>28.018146341231841</v>
      </c>
      <c r="AV157" s="77">
        <f t="shared" si="126"/>
        <v>2.0252028524763546</v>
      </c>
      <c r="AW157" s="77">
        <f t="shared" si="126"/>
        <v>-24.373933512197596</v>
      </c>
      <c r="AX157" s="77">
        <f t="shared" si="126"/>
        <v>-52.668306873933943</v>
      </c>
      <c r="AY157" s="77">
        <f t="shared" si="126"/>
        <v>-81.412861315911812</v>
      </c>
      <c r="AZ157" s="77">
        <f t="shared" si="126"/>
        <v>-110.47204120259926</v>
      </c>
      <c r="BA157" s="77">
        <f t="shared" si="126"/>
        <v>-140.37310547741464</v>
      </c>
      <c r="BB157" s="77">
        <f t="shared" si="126"/>
        <v>-171.38705081646788</v>
      </c>
      <c r="BC157" s="77">
        <f t="shared" si="126"/>
        <v>-203.73705401475058</v>
      </c>
      <c r="BD157" s="77">
        <f t="shared" si="126"/>
        <v>-236.53203557076171</v>
      </c>
      <c r="BE157" s="77">
        <f t="shared" si="126"/>
        <v>-269.96271673428532</v>
      </c>
      <c r="BF157" s="77">
        <f t="shared" si="126"/>
        <v>-304.34353630232022</v>
      </c>
      <c r="BW157" s="103">
        <f>AC157/AVERAGE(X157:AB157)-1</f>
        <v>-0.11790930270259159</v>
      </c>
    </row>
    <row r="158" spans="1:83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</row>
    <row r="159" spans="1:83" ht="12" thickBot="1">
      <c r="A159" s="105" t="s">
        <v>161</v>
      </c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6"/>
      <c r="AA159" s="106"/>
      <c r="AB159" s="106"/>
      <c r="AC159" s="106"/>
      <c r="BW159" s="105" t="s">
        <v>162</v>
      </c>
      <c r="CC159" s="105" t="s">
        <v>163</v>
      </c>
    </row>
    <row r="160" spans="1:83" ht="12" thickBot="1">
      <c r="A160" s="84"/>
      <c r="B160" s="85" t="s">
        <v>66</v>
      </c>
      <c r="C160" s="86" t="s">
        <v>67</v>
      </c>
      <c r="D160" s="86" t="s">
        <v>68</v>
      </c>
      <c r="E160" s="86" t="s">
        <v>69</v>
      </c>
      <c r="F160" s="86" t="s">
        <v>70</v>
      </c>
      <c r="G160" s="86" t="s">
        <v>71</v>
      </c>
      <c r="H160" s="86" t="s">
        <v>72</v>
      </c>
      <c r="I160" s="86" t="s">
        <v>73</v>
      </c>
      <c r="J160" s="86" t="s">
        <v>74</v>
      </c>
      <c r="K160" s="86" t="s">
        <v>75</v>
      </c>
      <c r="L160" s="86" t="s">
        <v>76</v>
      </c>
      <c r="M160" s="86" t="s">
        <v>77</v>
      </c>
      <c r="N160" s="86" t="s">
        <v>78</v>
      </c>
      <c r="O160" s="86" t="s">
        <v>79</v>
      </c>
      <c r="P160" s="86" t="s">
        <v>80</v>
      </c>
      <c r="Q160" s="86" t="s">
        <v>81</v>
      </c>
      <c r="R160" s="86" t="s">
        <v>82</v>
      </c>
      <c r="S160" s="86" t="s">
        <v>83</v>
      </c>
      <c r="T160" s="86" t="s">
        <v>84</v>
      </c>
      <c r="U160" s="86" t="s">
        <v>85</v>
      </c>
      <c r="V160" s="86" t="s">
        <v>86</v>
      </c>
      <c r="W160" s="86" t="s">
        <v>87</v>
      </c>
      <c r="X160" s="86" t="s">
        <v>88</v>
      </c>
      <c r="Y160" s="86" t="s">
        <v>89</v>
      </c>
      <c r="Z160" s="86" t="s">
        <v>90</v>
      </c>
      <c r="AA160" s="86" t="s">
        <v>91</v>
      </c>
      <c r="AB160" s="86" t="s">
        <v>92</v>
      </c>
      <c r="AC160" s="86" t="s">
        <v>93</v>
      </c>
      <c r="AD160" s="86" t="str">
        <f>AD2</f>
        <v>21/22</v>
      </c>
      <c r="AE160" s="86" t="str">
        <f t="shared" ref="AE160:BF160" si="127">AE2</f>
        <v>22/23</v>
      </c>
      <c r="AF160" s="86" t="str">
        <f t="shared" si="127"/>
        <v>23/24</v>
      </c>
      <c r="AG160" s="86" t="str">
        <f t="shared" si="127"/>
        <v>24/25</v>
      </c>
      <c r="AH160" s="86" t="str">
        <f t="shared" si="127"/>
        <v>25/26</v>
      </c>
      <c r="AI160" s="86" t="str">
        <f t="shared" si="127"/>
        <v>26/27</v>
      </c>
      <c r="AJ160" s="86" t="str">
        <f t="shared" si="127"/>
        <v>27/28</v>
      </c>
      <c r="AK160" s="86" t="str">
        <f t="shared" si="127"/>
        <v>28/29</v>
      </c>
      <c r="AL160" s="86" t="str">
        <f t="shared" si="127"/>
        <v>29/30</v>
      </c>
      <c r="AM160" s="86" t="str">
        <f t="shared" si="127"/>
        <v>30/31</v>
      </c>
      <c r="AN160" s="86" t="str">
        <f t="shared" si="127"/>
        <v>31/32</v>
      </c>
      <c r="AO160" s="86" t="str">
        <f t="shared" si="127"/>
        <v>32/33</v>
      </c>
      <c r="AP160" s="86" t="str">
        <f t="shared" si="127"/>
        <v>33/34</v>
      </c>
      <c r="AQ160" s="86" t="str">
        <f t="shared" si="127"/>
        <v>34/35</v>
      </c>
      <c r="AR160" s="86" t="str">
        <f t="shared" si="127"/>
        <v>35/36</v>
      </c>
      <c r="AS160" s="86" t="str">
        <f t="shared" si="127"/>
        <v>36/37</v>
      </c>
      <c r="AT160" s="86" t="str">
        <f t="shared" si="127"/>
        <v>37/38</v>
      </c>
      <c r="AU160" s="86" t="str">
        <f t="shared" si="127"/>
        <v>38/39</v>
      </c>
      <c r="AV160" s="86" t="str">
        <f t="shared" si="127"/>
        <v>39/40</v>
      </c>
      <c r="AW160" s="86" t="str">
        <f t="shared" si="127"/>
        <v>40/41</v>
      </c>
      <c r="AX160" s="86" t="str">
        <f t="shared" si="127"/>
        <v>41/42</v>
      </c>
      <c r="AY160" s="86" t="str">
        <f t="shared" si="127"/>
        <v>42/43</v>
      </c>
      <c r="AZ160" s="86" t="str">
        <f t="shared" si="127"/>
        <v>43/44</v>
      </c>
      <c r="BA160" s="86" t="str">
        <f t="shared" si="127"/>
        <v>44/45</v>
      </c>
      <c r="BB160" s="86" t="str">
        <f t="shared" si="127"/>
        <v>45/46</v>
      </c>
      <c r="BC160" s="86" t="str">
        <f t="shared" si="127"/>
        <v>42/47</v>
      </c>
      <c r="BD160" s="86" t="str">
        <f t="shared" si="127"/>
        <v>42/48</v>
      </c>
      <c r="BE160" s="86" t="str">
        <f t="shared" si="127"/>
        <v>42/49</v>
      </c>
      <c r="BF160" s="86" t="str">
        <f t="shared" si="127"/>
        <v>42/50</v>
      </c>
      <c r="BW160" s="86" t="str">
        <f>AC160</f>
        <v>20/21</v>
      </c>
      <c r="BX160" s="86" t="str">
        <f>AD160</f>
        <v>21/22</v>
      </c>
      <c r="BY160" s="86" t="str">
        <f>AE160</f>
        <v>22/23</v>
      </c>
      <c r="CC160" s="86" t="str">
        <f>AC160</f>
        <v>20/21</v>
      </c>
      <c r="CD160" s="86" t="str">
        <f>AD160</f>
        <v>21/22</v>
      </c>
      <c r="CE160" s="86" t="str">
        <f>AE160</f>
        <v>22/23</v>
      </c>
    </row>
    <row r="161" spans="1:83">
      <c r="A161" s="69" t="s">
        <v>37</v>
      </c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>
        <f>'NASS Data'!$I13*100/56/1000</f>
        <v>0</v>
      </c>
      <c r="Y161" s="92">
        <f>'NASS Data'!$I25*100/56/1000</f>
        <v>4.5178571428571432</v>
      </c>
      <c r="Z161" s="92">
        <f>'NASS Data'!$I37*100/56/1000</f>
        <v>4.2696428571428573</v>
      </c>
      <c r="AA161" s="92">
        <f>'NASS Data'!$I49*100/56/1000</f>
        <v>7.6607142857142856</v>
      </c>
      <c r="AB161" s="92">
        <f>'NASS Data'!$I61*100/56/1000</f>
        <v>9.1553571428571434</v>
      </c>
      <c r="AC161" s="92">
        <f>'NASS Data'!$I73*100/56/1000</f>
        <v>1.4285714285714286</v>
      </c>
      <c r="AD161" s="92">
        <f>'NASS Data'!$I85*100/56/1000</f>
        <v>0.48041071428571425</v>
      </c>
      <c r="AE161" s="92">
        <f>'NASS Data'!$I97*100/56/1000</f>
        <v>6.0882678571428572</v>
      </c>
      <c r="AF161" s="92">
        <f>'NASS Data'!$I109*100/56/1000</f>
        <v>2.9189464285714286</v>
      </c>
      <c r="AG161" s="92">
        <f>'NASS Data'!$I121*100/56/1000</f>
        <v>1.9587857142857139</v>
      </c>
      <c r="AH161" s="109">
        <f t="shared" ref="AH161:BF172" si="128">AH322/AH$174*56</f>
        <v>4.3476585572087991</v>
      </c>
      <c r="AI161" s="109">
        <f t="shared" si="128"/>
        <v>3.7196459132075237</v>
      </c>
      <c r="AJ161" s="109">
        <f t="shared" si="128"/>
        <v>4.1717565030474324</v>
      </c>
      <c r="AK161" s="109">
        <f t="shared" si="128"/>
        <v>3.7220315238795023</v>
      </c>
      <c r="AL161" s="109">
        <f t="shared" si="128"/>
        <v>3.3947224994216296</v>
      </c>
      <c r="AM161" s="109">
        <f t="shared" si="128"/>
        <v>3.7856906733457563</v>
      </c>
      <c r="AN161" s="109">
        <f t="shared" si="128"/>
        <v>3.7587694225803694</v>
      </c>
      <c r="AO161" s="109">
        <f t="shared" si="128"/>
        <v>3.7665785062875239</v>
      </c>
      <c r="AP161" s="109">
        <f t="shared" si="128"/>
        <v>3.6860262206493708</v>
      </c>
      <c r="AQ161" s="109">
        <f t="shared" si="128"/>
        <v>3.6789105480742461</v>
      </c>
      <c r="AR161" s="109">
        <f t="shared" si="128"/>
        <v>3.7346336948688768</v>
      </c>
      <c r="AS161" s="109">
        <f t="shared" si="128"/>
        <v>3.7247197184655993</v>
      </c>
      <c r="AT161" s="109">
        <f t="shared" si="128"/>
        <v>3.7181062182433071</v>
      </c>
      <c r="AU161" s="109">
        <f t="shared" si="128"/>
        <v>3.7086887451375743</v>
      </c>
      <c r="AV161" s="109">
        <f t="shared" si="128"/>
        <v>3.713092971594715</v>
      </c>
      <c r="AW161" s="109">
        <f t="shared" si="128"/>
        <v>3.719737779157573</v>
      </c>
      <c r="AX161" s="109">
        <f t="shared" si="128"/>
        <v>3.7168413511025973</v>
      </c>
      <c r="AY161" s="109">
        <f t="shared" si="128"/>
        <v>3.7153090447897932</v>
      </c>
      <c r="AZ161" s="109">
        <f t="shared" si="128"/>
        <v>3.7147648674088369</v>
      </c>
      <c r="BA161" s="109">
        <f t="shared" si="128"/>
        <v>3.7159472479589204</v>
      </c>
      <c r="BB161" s="109">
        <f t="shared" si="128"/>
        <v>3.7165028124655244</v>
      </c>
      <c r="BC161" s="109">
        <f t="shared" si="128"/>
        <v>3.7158729959414099</v>
      </c>
      <c r="BD161" s="109">
        <f t="shared" si="128"/>
        <v>3.7156844215152827</v>
      </c>
      <c r="BE161" s="109">
        <f t="shared" si="128"/>
        <v>3.7157575383731167</v>
      </c>
      <c r="BF161" s="109">
        <f t="shared" si="128"/>
        <v>3.7159509380609861</v>
      </c>
      <c r="BX161" s="92">
        <f>CD161/56</f>
        <v>0.48041071428571425</v>
      </c>
      <c r="BY161" s="92">
        <f>CE161/56</f>
        <v>7.2945892857142862</v>
      </c>
      <c r="CC161" s="92"/>
      <c r="CD161" s="92">
        <v>26.902999999999999</v>
      </c>
      <c r="CE161" s="92">
        <v>408.49700000000001</v>
      </c>
    </row>
    <row r="162" spans="1:83">
      <c r="A162" s="69" t="s">
        <v>38</v>
      </c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>
        <f>'NASS Data'!$I14*100/56/1000</f>
        <v>8.3696428571428569</v>
      </c>
      <c r="Y162" s="92">
        <f>'NASS Data'!$I26*100/56/1000</f>
        <v>8.0696428571428562</v>
      </c>
      <c r="Z162" s="92">
        <f>'NASS Data'!$I38*100/56/1000</f>
        <v>4.3196428571428571</v>
      </c>
      <c r="AA162" s="92">
        <f>'NASS Data'!$I50*100/56/1000</f>
        <v>8.1928571428571431</v>
      </c>
      <c r="AB162" s="92">
        <f>'NASS Data'!$I62*100/56/1000</f>
        <v>7.2392857142857148</v>
      </c>
      <c r="AC162" s="92">
        <f>'NASS Data'!$I74*100/56/1000</f>
        <v>1.4285714285714286</v>
      </c>
      <c r="AD162" s="92">
        <f>'NASS Data'!$I86*100/56/1000</f>
        <v>1.2366428571428572</v>
      </c>
      <c r="AE162" s="92">
        <f>'NASS Data'!$I98*100/56/1000</f>
        <v>5.8093750000000002</v>
      </c>
      <c r="AF162" s="92">
        <f>'NASS Data'!$I110*100/56/1000</f>
        <v>2.07775</v>
      </c>
      <c r="AG162" s="92">
        <f>'NASS Data'!$I122*100/56/1000</f>
        <v>3.4850024214285709</v>
      </c>
      <c r="AH162" s="109">
        <f t="shared" si="128"/>
        <v>4.7401672574266005</v>
      </c>
      <c r="AI162" s="109">
        <f t="shared" si="128"/>
        <v>4.0864545712603162</v>
      </c>
      <c r="AJ162" s="109">
        <f t="shared" si="128"/>
        <v>4.4165905764130562</v>
      </c>
      <c r="AK162" s="109">
        <f t="shared" si="128"/>
        <v>4.1009041257004686</v>
      </c>
      <c r="AL162" s="109">
        <f t="shared" si="128"/>
        <v>4.0049335190353599</v>
      </c>
      <c r="AM162" s="109">
        <f t="shared" si="128"/>
        <v>4.1729799748504544</v>
      </c>
      <c r="AN162" s="109">
        <f t="shared" si="128"/>
        <v>4.1563725534519307</v>
      </c>
      <c r="AO162" s="109">
        <f t="shared" si="128"/>
        <v>4.170328238520117</v>
      </c>
      <c r="AP162" s="109">
        <f t="shared" si="128"/>
        <v>4.121369523233251</v>
      </c>
      <c r="AQ162" s="109">
        <f t="shared" si="128"/>
        <v>4.125414068200203</v>
      </c>
      <c r="AR162" s="109">
        <f t="shared" si="128"/>
        <v>4.1490377052913487</v>
      </c>
      <c r="AS162" s="109">
        <f t="shared" si="128"/>
        <v>4.1443887209109409</v>
      </c>
      <c r="AT162" s="109">
        <f t="shared" si="128"/>
        <v>4.1420610918981717</v>
      </c>
      <c r="AU162" s="109">
        <f t="shared" si="128"/>
        <v>4.1365691891259075</v>
      </c>
      <c r="AV162" s="109">
        <f t="shared" si="128"/>
        <v>4.1395230864597643</v>
      </c>
      <c r="AW162" s="109">
        <f t="shared" si="128"/>
        <v>4.1422657741214346</v>
      </c>
      <c r="AX162" s="109">
        <f t="shared" si="128"/>
        <v>4.1409490097272865</v>
      </c>
      <c r="AY162" s="109">
        <f t="shared" si="128"/>
        <v>4.1402800016805559</v>
      </c>
      <c r="AZ162" s="109">
        <f t="shared" si="128"/>
        <v>4.1399334986745835</v>
      </c>
      <c r="BA162" s="109">
        <f t="shared" si="128"/>
        <v>4.1405881751272995</v>
      </c>
      <c r="BB162" s="109">
        <f t="shared" si="128"/>
        <v>4.140795487028659</v>
      </c>
      <c r="BC162" s="109">
        <f t="shared" si="128"/>
        <v>4.1405092364442249</v>
      </c>
      <c r="BD162" s="109">
        <f t="shared" si="128"/>
        <v>4.1404235963838385</v>
      </c>
      <c r="BE162" s="109">
        <f t="shared" si="128"/>
        <v>4.1404515661347396</v>
      </c>
      <c r="BF162" s="109">
        <f t="shared" si="128"/>
        <v>4.1405524999674945</v>
      </c>
      <c r="BX162" s="92">
        <f t="shared" ref="BX162:BX165" si="129">CD162/56</f>
        <v>1.2366428571428572</v>
      </c>
      <c r="BY162" s="92">
        <f>CE162/56</f>
        <v>5.8531249999999995</v>
      </c>
      <c r="CC162" s="92"/>
      <c r="CD162" s="92">
        <v>69.251999999999995</v>
      </c>
      <c r="CE162" s="92">
        <v>327.77499999999998</v>
      </c>
    </row>
    <row r="163" spans="1:83">
      <c r="A163" s="69" t="s">
        <v>39</v>
      </c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>
        <f>'NASS Data'!$I15*100/56/1000</f>
        <v>10.026785714285714</v>
      </c>
      <c r="Y163" s="92">
        <f>'NASS Data'!$I27*100/56/1000</f>
        <v>8.7750000000000004</v>
      </c>
      <c r="Z163" s="92">
        <f>'NASS Data'!$I39*100/56/1000</f>
        <v>5.1196428571428569</v>
      </c>
      <c r="AA163" s="92">
        <f>'NASS Data'!$I51*100/56/1000</f>
        <v>9.4892857142857139</v>
      </c>
      <c r="AB163" s="92">
        <f>'NASS Data'!$I63*100/56/1000</f>
        <v>7.2214285714285715</v>
      </c>
      <c r="AC163" s="92">
        <f>'NASS Data'!$I75*100/56/1000</f>
        <v>1.3392857142857142</v>
      </c>
      <c r="AD163" s="92">
        <f>'NASS Data'!$I87*100/56/1000</f>
        <v>2.7690000000000001</v>
      </c>
      <c r="AE163" s="92">
        <f>'NASS Data'!$I99*100/56/1000</f>
        <v>5.1971249999999998</v>
      </c>
      <c r="AF163" s="92">
        <f>'NASS Data'!$I111*100/56/1000</f>
        <v>1.399142857142857</v>
      </c>
      <c r="AG163" s="92">
        <f>'NASS Data'!$I123*100/56/1000</f>
        <v>4.8836785714285709</v>
      </c>
      <c r="AH163" s="109">
        <f t="shared" si="128"/>
        <v>5.2638761060534147</v>
      </c>
      <c r="AI163" s="109">
        <f t="shared" si="128"/>
        <v>4.5973318550314195</v>
      </c>
      <c r="AJ163" s="109">
        <f t="shared" si="128"/>
        <v>4.6450116240834207</v>
      </c>
      <c r="AK163" s="109">
        <f t="shared" si="128"/>
        <v>4.5431557607308539</v>
      </c>
      <c r="AL163" s="109">
        <f t="shared" si="128"/>
        <v>4.6467046986918046</v>
      </c>
      <c r="AM163" s="109">
        <f t="shared" si="128"/>
        <v>4.6318609390933823</v>
      </c>
      <c r="AN163" s="109">
        <f t="shared" si="128"/>
        <v>4.6128129755261753</v>
      </c>
      <c r="AO163" s="109">
        <f t="shared" si="128"/>
        <v>4.6159030195371065</v>
      </c>
      <c r="AP163" s="109">
        <f t="shared" si="128"/>
        <v>4.6101160206213372</v>
      </c>
      <c r="AQ163" s="109">
        <f t="shared" si="128"/>
        <v>4.62334927356412</v>
      </c>
      <c r="AR163" s="109">
        <f t="shared" si="128"/>
        <v>4.6187697784410453</v>
      </c>
      <c r="AS163" s="109">
        <f t="shared" si="128"/>
        <v>4.6162278054988439</v>
      </c>
      <c r="AT163" s="109">
        <f t="shared" si="128"/>
        <v>4.6168910705512269</v>
      </c>
      <c r="AU163" s="109">
        <f t="shared" si="128"/>
        <v>4.6170830347482568</v>
      </c>
      <c r="AV163" s="109">
        <f t="shared" si="128"/>
        <v>4.6184370016446188</v>
      </c>
      <c r="AW163" s="109">
        <f t="shared" si="128"/>
        <v>4.6174820927107367</v>
      </c>
      <c r="AX163" s="109">
        <f t="shared" si="128"/>
        <v>4.6172317093742876</v>
      </c>
      <c r="AY163" s="109">
        <f t="shared" si="128"/>
        <v>4.6174269640729966</v>
      </c>
      <c r="AZ163" s="109">
        <f t="shared" si="128"/>
        <v>4.6175312197217773</v>
      </c>
      <c r="BA163" s="109">
        <f t="shared" si="128"/>
        <v>4.6176184340950037</v>
      </c>
      <c r="BB163" s="109">
        <f t="shared" si="128"/>
        <v>4.6174591057683827</v>
      </c>
      <c r="BC163" s="109">
        <f t="shared" si="128"/>
        <v>4.617454630434473</v>
      </c>
      <c r="BD163" s="109">
        <f t="shared" si="128"/>
        <v>4.6174980413777718</v>
      </c>
      <c r="BE163" s="109">
        <f t="shared" si="128"/>
        <v>4.6175118860006155</v>
      </c>
      <c r="BF163" s="109">
        <f t="shared" si="128"/>
        <v>4.6175081192583889</v>
      </c>
      <c r="BX163" s="92">
        <f t="shared" si="129"/>
        <v>2.7689999999999997</v>
      </c>
      <c r="BY163" s="92"/>
      <c r="BZ163" s="92">
        <v>6.25</v>
      </c>
      <c r="CC163" s="92"/>
      <c r="CD163" s="92">
        <v>155.06399999999999</v>
      </c>
      <c r="CE163" s="92"/>
    </row>
    <row r="164" spans="1:83">
      <c r="A164" s="69" t="s">
        <v>40</v>
      </c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>
        <f>'NASS Data'!$I16*100/56/1000</f>
        <v>13.6</v>
      </c>
      <c r="Y164" s="92">
        <f>'NASS Data'!$I28*100/56/1000</f>
        <v>9.6821428571428569</v>
      </c>
      <c r="Z164" s="92">
        <f>'NASS Data'!$I40*100/56/1000</f>
        <v>4.0982142857142856</v>
      </c>
      <c r="AA164" s="92">
        <f>'NASS Data'!$I52*100/56/1000</f>
        <v>5.4375</v>
      </c>
      <c r="AB164" s="92">
        <f>'NASS Data'!$I64*100/56/1000</f>
        <v>9.5374999999999996</v>
      </c>
      <c r="AC164" s="92">
        <f>'NASS Data'!$I76*100/56/1000</f>
        <v>1.25</v>
      </c>
      <c r="AD164" s="92">
        <f>'NASS Data'!$I88*100/56/1000</f>
        <v>2.7247678571428575</v>
      </c>
      <c r="AE164" s="92">
        <f>'NASS Data'!$I100*100/56/1000</f>
        <v>5.5036785714285728</v>
      </c>
      <c r="AF164" s="92">
        <f>'NASS Data'!$I112*100/56/1000</f>
        <v>0.85575000000000001</v>
      </c>
      <c r="AG164" s="92">
        <f>'NASS Data'!$I124*100/56/1000</f>
        <v>6.6448749999999999</v>
      </c>
      <c r="AH164" s="109">
        <f t="shared" si="128"/>
        <v>5.4178156480883484</v>
      </c>
      <c r="AI164" s="109">
        <f t="shared" si="128"/>
        <v>4.762650981582528</v>
      </c>
      <c r="AJ164" s="109">
        <f t="shared" si="128"/>
        <v>4.8458348880232052</v>
      </c>
      <c r="AK164" s="109">
        <f t="shared" si="128"/>
        <v>4.7189326185508849</v>
      </c>
      <c r="AL164" s="109">
        <f t="shared" si="128"/>
        <v>4.9654107324353998</v>
      </c>
      <c r="AM164" s="109">
        <f t="shared" si="128"/>
        <v>4.8268701445745279</v>
      </c>
      <c r="AN164" s="109">
        <f t="shared" si="128"/>
        <v>4.8239398730333098</v>
      </c>
      <c r="AO164" s="109">
        <f t="shared" si="128"/>
        <v>4.836173184700133</v>
      </c>
      <c r="AP164" s="109">
        <f t="shared" si="128"/>
        <v>4.8342523689301373</v>
      </c>
      <c r="AQ164" s="109">
        <f t="shared" si="128"/>
        <v>4.8570428334319669</v>
      </c>
      <c r="AR164" s="109">
        <f t="shared" si="128"/>
        <v>4.8357942257842339</v>
      </c>
      <c r="AS164" s="109">
        <f t="shared" si="128"/>
        <v>4.8375270570870885</v>
      </c>
      <c r="AT164" s="109">
        <f t="shared" si="128"/>
        <v>4.8401661062975352</v>
      </c>
      <c r="AU164" s="109">
        <f t="shared" si="128"/>
        <v>4.8409418739221746</v>
      </c>
      <c r="AV164" s="109">
        <f t="shared" si="128"/>
        <v>4.8422419097979841</v>
      </c>
      <c r="AW164" s="109">
        <f t="shared" si="128"/>
        <v>4.8393647209046504</v>
      </c>
      <c r="AX164" s="109">
        <f t="shared" si="128"/>
        <v>4.8400589838447301</v>
      </c>
      <c r="AY164" s="109">
        <f t="shared" si="128"/>
        <v>4.8405514319847489</v>
      </c>
      <c r="AZ164" s="109">
        <f t="shared" si="128"/>
        <v>4.8406263953457156</v>
      </c>
      <c r="BA164" s="109">
        <f t="shared" si="128"/>
        <v>4.8405650049200259</v>
      </c>
      <c r="BB164" s="109">
        <f t="shared" si="128"/>
        <v>4.8402386073634229</v>
      </c>
      <c r="BC164" s="109">
        <f t="shared" si="128"/>
        <v>4.8404087445500874</v>
      </c>
      <c r="BD164" s="109">
        <f t="shared" si="128"/>
        <v>4.840476855845341</v>
      </c>
      <c r="BE164" s="109">
        <f t="shared" si="128"/>
        <v>4.8404623297103608</v>
      </c>
      <c r="BF164" s="109">
        <f t="shared" si="128"/>
        <v>4.8404303651986451</v>
      </c>
      <c r="BX164" s="92">
        <f t="shared" si="129"/>
        <v>2.7247678571428571</v>
      </c>
      <c r="BY164" s="92"/>
      <c r="BZ164" s="93">
        <v>4.4890655694640769</v>
      </c>
      <c r="CC164" s="92"/>
      <c r="CD164" s="92">
        <v>152.58699999999999</v>
      </c>
      <c r="CE164" s="92"/>
    </row>
    <row r="165" spans="1:83">
      <c r="A165" s="69" t="s">
        <v>30</v>
      </c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>
        <f>'NASS Data'!$I5*100/56/1000</f>
        <v>0</v>
      </c>
      <c r="X165" s="92">
        <f>'NASS Data'!$I17*100/56/1000</f>
        <v>12.391071428571429</v>
      </c>
      <c r="Y165" s="92">
        <f>'NASS Data'!$I29*100/56/1000</f>
        <v>11.707142857142857</v>
      </c>
      <c r="Z165" s="92">
        <f>'NASS Data'!$I41*100/56/1000</f>
        <v>4.9363227479101672</v>
      </c>
      <c r="AA165" s="92">
        <f>'NASS Data'!$I53*100/56/1000</f>
        <v>8.7196428571428566</v>
      </c>
      <c r="AB165" s="92">
        <f>'NASS Data'!$I65*100/56/1000</f>
        <v>8.8696428571428569</v>
      </c>
      <c r="AC165" s="92">
        <f>'NASS Data'!$I77*100/56/1000</f>
        <v>1.1607142857142858</v>
      </c>
      <c r="AD165" s="92">
        <f>'NASS Data'!$I89*100/56/1000</f>
        <v>2.48</v>
      </c>
      <c r="AE165" s="92">
        <f>'NASS Data'!$I101*100/56/1000</f>
        <v>4.721660714285715</v>
      </c>
      <c r="AF165" s="92">
        <f>'NASS Data'!$I113*100/56/1000</f>
        <v>1.3554642857142858</v>
      </c>
      <c r="AG165" s="92">
        <f>'NASS Data'!$I125*100/56/1000</f>
        <v>6.7857142857142856</v>
      </c>
      <c r="AH165" s="109">
        <f t="shared" si="128"/>
        <v>5.0850761222472469</v>
      </c>
      <c r="AI165" s="109">
        <f t="shared" si="128"/>
        <v>4.4731570156061764</v>
      </c>
      <c r="AJ165" s="109">
        <f t="shared" si="128"/>
        <v>4.5698812248429066</v>
      </c>
      <c r="AK165" s="109">
        <f t="shared" si="128"/>
        <v>4.5683734938518219</v>
      </c>
      <c r="AL165" s="109">
        <f t="shared" si="128"/>
        <v>4.6844579416672785</v>
      </c>
      <c r="AM165" s="109">
        <f t="shared" si="128"/>
        <v>4.5652249682920818</v>
      </c>
      <c r="AN165" s="109">
        <f t="shared" si="128"/>
        <v>4.5722189288520543</v>
      </c>
      <c r="AO165" s="109">
        <f t="shared" si="128"/>
        <v>4.5919917658272782</v>
      </c>
      <c r="AP165" s="109">
        <f t="shared" si="128"/>
        <v>4.5963874996213878</v>
      </c>
      <c r="AQ165" s="109">
        <f t="shared" si="128"/>
        <v>4.6019238643979818</v>
      </c>
      <c r="AR165" s="109">
        <f t="shared" si="128"/>
        <v>4.5857407119922371</v>
      </c>
      <c r="AS165" s="109">
        <f t="shared" si="128"/>
        <v>4.5897243515456658</v>
      </c>
      <c r="AT165" s="109">
        <f t="shared" si="128"/>
        <v>4.5931244432611562</v>
      </c>
      <c r="AU165" s="109">
        <f t="shared" si="128"/>
        <v>4.593344506305451</v>
      </c>
      <c r="AV165" s="109">
        <f t="shared" si="128"/>
        <v>4.5927531321327324</v>
      </c>
      <c r="AW165" s="109">
        <f t="shared" si="128"/>
        <v>4.59097041034659</v>
      </c>
      <c r="AX165" s="109">
        <f t="shared" si="128"/>
        <v>4.5919872961377139</v>
      </c>
      <c r="AY165" s="109">
        <f t="shared" si="128"/>
        <v>4.592427428480387</v>
      </c>
      <c r="AZ165" s="109">
        <f t="shared" si="128"/>
        <v>4.5922918274230389</v>
      </c>
      <c r="BA165" s="109">
        <f t="shared" si="128"/>
        <v>4.5920869818026775</v>
      </c>
      <c r="BB165" s="109">
        <f t="shared" si="128"/>
        <v>4.5919573203991479</v>
      </c>
      <c r="BC165" s="109">
        <f t="shared" si="128"/>
        <v>4.5921494621792931</v>
      </c>
      <c r="BD165" s="109">
        <f t="shared" si="128"/>
        <v>4.5921810418821254</v>
      </c>
      <c r="BE165" s="109">
        <f t="shared" si="128"/>
        <v>4.5921330500577691</v>
      </c>
      <c r="BF165" s="109">
        <f t="shared" si="128"/>
        <v>4.5921021158469495</v>
      </c>
      <c r="BX165" s="92">
        <f t="shared" si="129"/>
        <v>2.480232142857143</v>
      </c>
      <c r="BY165" s="92"/>
      <c r="BZ165" s="93">
        <v>5.0964713484923774</v>
      </c>
      <c r="CC165" s="92"/>
      <c r="CD165" s="92">
        <v>138.893</v>
      </c>
      <c r="CE165" s="92"/>
    </row>
    <row r="166" spans="1:83">
      <c r="A166" s="69" t="s">
        <v>31</v>
      </c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>
        <f>'NASS Data'!$I6*100/56/1000</f>
        <v>0</v>
      </c>
      <c r="X166" s="92">
        <f>'NASS Data'!$I18*100/56/1000</f>
        <v>15.569642857142856</v>
      </c>
      <c r="Y166" s="92">
        <f>'NASS Data'!$I30*100/56/1000</f>
        <v>11.517857142857142</v>
      </c>
      <c r="Z166" s="92">
        <f>'NASS Data'!$I42*100/56/1000</f>
        <v>3.2410714285714284</v>
      </c>
      <c r="AA166" s="92">
        <f>'NASS Data'!$I54*100/56/1000</f>
        <v>9.0250000000000004</v>
      </c>
      <c r="AB166" s="92">
        <f>'NASS Data'!$I66*100/56/1000</f>
        <v>10.45892857142857</v>
      </c>
      <c r="AC166" s="92">
        <f>'NASS Data'!$I78*100/56/1000</f>
        <v>1.0714285714285714</v>
      </c>
      <c r="AD166" s="92">
        <f>'NASS Data'!$I90*100/56/1000</f>
        <v>2.3808035714285714</v>
      </c>
      <c r="AE166" s="92">
        <f>'NASS Data'!$I102*100/56/1000</f>
        <v>3.7113749999999999</v>
      </c>
      <c r="AF166" s="92">
        <f>'NASS Data'!$I114*100/56/1000</f>
        <v>1.6028749999999998</v>
      </c>
      <c r="AG166" s="109">
        <f t="shared" ref="AG166:AL172" si="130">AG327/AG$174*56</f>
        <v>5.959422091567065</v>
      </c>
      <c r="AH166" s="109">
        <f t="shared" si="130"/>
        <v>4.8257170377796026</v>
      </c>
      <c r="AI166" s="109">
        <f t="shared" si="130"/>
        <v>4.2522388065814098</v>
      </c>
      <c r="AJ166" s="109">
        <f t="shared" si="130"/>
        <v>4.3387148862256613</v>
      </c>
      <c r="AK166" s="109">
        <f t="shared" si="130"/>
        <v>4.531818619770954</v>
      </c>
      <c r="AL166" s="109">
        <f t="shared" si="130"/>
        <v>4.5869303834933373</v>
      </c>
      <c r="AM166" s="109">
        <f t="shared" si="128"/>
        <v>4.3966387024621971</v>
      </c>
      <c r="AN166" s="109">
        <f t="shared" si="128"/>
        <v>4.4212682797067124</v>
      </c>
      <c r="AO166" s="109">
        <f t="shared" si="128"/>
        <v>4.4550066974961942</v>
      </c>
      <c r="AP166" s="109">
        <f t="shared" si="128"/>
        <v>4.4781263418839732</v>
      </c>
      <c r="AQ166" s="109">
        <f t="shared" si="128"/>
        <v>4.4675152197719221</v>
      </c>
      <c r="AR166" s="109">
        <f t="shared" si="128"/>
        <v>4.4441004817873306</v>
      </c>
      <c r="AS166" s="109">
        <f t="shared" si="128"/>
        <v>4.4533163612679409</v>
      </c>
      <c r="AT166" s="109">
        <f t="shared" si="128"/>
        <v>4.4595410848019466</v>
      </c>
      <c r="AU166" s="109">
        <f t="shared" si="128"/>
        <v>4.460422051478492</v>
      </c>
      <c r="AV166" s="109">
        <f t="shared" si="128"/>
        <v>4.4569814063619564</v>
      </c>
      <c r="AW166" s="109">
        <f t="shared" si="128"/>
        <v>4.4549337117925427</v>
      </c>
      <c r="AX166" s="109">
        <f t="shared" si="128"/>
        <v>4.4570401731824454</v>
      </c>
      <c r="AY166" s="109">
        <f t="shared" si="128"/>
        <v>4.4577644375181098</v>
      </c>
      <c r="AZ166" s="109">
        <f t="shared" si="128"/>
        <v>4.45741879886471</v>
      </c>
      <c r="BA166" s="109">
        <f t="shared" si="128"/>
        <v>4.4568343821398662</v>
      </c>
      <c r="BB166" s="109">
        <f t="shared" si="128"/>
        <v>4.4568057649252077</v>
      </c>
      <c r="BC166" s="109">
        <f t="shared" si="128"/>
        <v>4.4571702354466121</v>
      </c>
      <c r="BD166" s="109">
        <f t="shared" si="128"/>
        <v>4.4571955633612124</v>
      </c>
      <c r="BE166" s="109">
        <f t="shared" si="128"/>
        <v>4.4570847565689125</v>
      </c>
      <c r="BF166" s="109">
        <f t="shared" si="128"/>
        <v>4.4570196759147311</v>
      </c>
      <c r="BX166" s="92">
        <f>CD166/56</f>
        <v>2.3808571428571428</v>
      </c>
      <c r="BY166" s="92"/>
      <c r="BZ166" s="93">
        <v>5.0985613956856577</v>
      </c>
      <c r="CC166" s="92"/>
      <c r="CD166" s="92">
        <v>133.328</v>
      </c>
      <c r="CE166" s="92"/>
    </row>
    <row r="167" spans="1:83">
      <c r="A167" s="69" t="s">
        <v>32</v>
      </c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>
        <f>'NASS Data'!$I7*100/56/1000</f>
        <v>0</v>
      </c>
      <c r="X167" s="92">
        <f>'NASS Data'!$I19*100/56/1000</f>
        <v>18.135714285714286</v>
      </c>
      <c r="Y167" s="92">
        <f>'NASS Data'!$I31*100/56/1000</f>
        <v>12.598214285714286</v>
      </c>
      <c r="Z167" s="92">
        <f>'NASS Data'!$I43*100/56/1000</f>
        <v>3.9857142857142858</v>
      </c>
      <c r="AA167" s="92">
        <f>'NASS Data'!$I55*100/56/1000</f>
        <v>9.2267857142857146</v>
      </c>
      <c r="AB167" s="92">
        <f>'NASS Data'!$I67*100/56/1000</f>
        <v>8.2857142857142865</v>
      </c>
      <c r="AC167" s="92">
        <f>'NASS Data'!$I79*100/56/1000</f>
        <v>0.7142857142857143</v>
      </c>
      <c r="AD167" s="92">
        <f>'NASS Data'!$I91*100/56/1000</f>
        <v>1.7802857142857142</v>
      </c>
      <c r="AE167" s="92">
        <f>'NASS Data'!$I103*100/56/1000</f>
        <v>4.3158571428571433</v>
      </c>
      <c r="AF167" s="92">
        <f>'NASS Data'!$I115*100/56/1000</f>
        <v>1.62775</v>
      </c>
      <c r="AG167" s="109">
        <f t="shared" si="130"/>
        <v>5.1840107881700792</v>
      </c>
      <c r="AH167" s="109">
        <f t="shared" si="130"/>
        <v>4.4721341242609665</v>
      </c>
      <c r="AI167" s="109">
        <f t="shared" si="130"/>
        <v>4.0076431597322957</v>
      </c>
      <c r="AJ167" s="109">
        <f t="shared" si="130"/>
        <v>4.1980693184534648</v>
      </c>
      <c r="AK167" s="109">
        <f t="shared" si="130"/>
        <v>4.202141912930176</v>
      </c>
      <c r="AL167" s="109">
        <f t="shared" si="130"/>
        <v>4.2203509537335773</v>
      </c>
      <c r="AM167" s="109">
        <f t="shared" si="128"/>
        <v>4.1145135185510595</v>
      </c>
      <c r="AN167" s="109">
        <f t="shared" si="128"/>
        <v>4.1485437726801146</v>
      </c>
      <c r="AO167" s="109">
        <f t="shared" si="128"/>
        <v>4.1766676475199995</v>
      </c>
      <c r="AP167" s="109">
        <f t="shared" si="128"/>
        <v>4.172412842165433</v>
      </c>
      <c r="AQ167" s="109">
        <f t="shared" si="128"/>
        <v>4.1665375317376174</v>
      </c>
      <c r="AR167" s="109">
        <f t="shared" si="128"/>
        <v>4.1559858803658614</v>
      </c>
      <c r="AS167" s="109">
        <f t="shared" si="128"/>
        <v>4.1640387661551443</v>
      </c>
      <c r="AT167" s="109">
        <f t="shared" si="128"/>
        <v>4.1670483706570245</v>
      </c>
      <c r="AU167" s="109">
        <f t="shared" si="128"/>
        <v>4.1651794825807889</v>
      </c>
      <c r="AV167" s="109">
        <f t="shared" si="128"/>
        <v>4.1637737542086786</v>
      </c>
      <c r="AW167" s="109">
        <f t="shared" si="128"/>
        <v>4.1632364965208106</v>
      </c>
      <c r="AX167" s="109">
        <f t="shared" si="128"/>
        <v>4.1646463385509405</v>
      </c>
      <c r="AY167" s="109">
        <f t="shared" si="128"/>
        <v>4.1647645085948923</v>
      </c>
      <c r="AZ167" s="109">
        <f t="shared" si="128"/>
        <v>4.1643201936118945</v>
      </c>
      <c r="BA167" s="109">
        <f t="shared" si="128"/>
        <v>4.1641529806233546</v>
      </c>
      <c r="BB167" s="109">
        <f t="shared" si="128"/>
        <v>4.1642267943362112</v>
      </c>
      <c r="BC167" s="109">
        <f t="shared" si="128"/>
        <v>4.1644195956808012</v>
      </c>
      <c r="BD167" s="109">
        <f t="shared" si="128"/>
        <v>4.1643754404903017</v>
      </c>
      <c r="BE167" s="109">
        <f t="shared" si="128"/>
        <v>4.1642996567899297</v>
      </c>
      <c r="BF167" s="109">
        <f t="shared" si="128"/>
        <v>4.1642956556504762</v>
      </c>
      <c r="BX167" s="92">
        <f t="shared" ref="BX167:BX172" si="131">CD167/56</f>
        <v>1.7387321428571429</v>
      </c>
      <c r="BY167" s="92"/>
      <c r="BZ167" s="93">
        <v>4.6649919672930089</v>
      </c>
      <c r="CC167" s="92"/>
      <c r="CD167" s="92">
        <v>97.369</v>
      </c>
      <c r="CE167" s="92"/>
    </row>
    <row r="168" spans="1:83">
      <c r="A168" s="69" t="s">
        <v>33</v>
      </c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>
        <f>'NASS Data'!$I8*100/56/1000</f>
        <v>0</v>
      </c>
      <c r="X168" s="92">
        <f>'NASS Data'!$I20*100/56/1000</f>
        <v>13.391071428571429</v>
      </c>
      <c r="Y168" s="92">
        <f>'NASS Data'!$I32*100/56/1000</f>
        <v>9.8160714285714299</v>
      </c>
      <c r="Z168" s="92">
        <f>'NASS Data'!$I44*100/56/1000</f>
        <v>4.7196428571428566</v>
      </c>
      <c r="AA168" s="92">
        <f>'NASS Data'!$I56*100/56/1000</f>
        <v>7.8892857142857142</v>
      </c>
      <c r="AB168" s="92">
        <f>'NASS Data'!$I68*100/56/1000</f>
        <v>4.8499999999999996</v>
      </c>
      <c r="AC168" s="92">
        <f>'NASS Data'!$I80*100/56/1000</f>
        <v>0.5357142857142857</v>
      </c>
      <c r="AD168" s="92">
        <f>'NASS Data'!$I92*100/56/1000</f>
        <v>2.9223750000000002</v>
      </c>
      <c r="AE168" s="92">
        <f>'NASS Data'!$I104*100/56/1000</f>
        <v>3.9625357142857141</v>
      </c>
      <c r="AF168" s="92">
        <f>'NASS Data'!$I116*100/56/1000</f>
        <v>1.8069285714285714</v>
      </c>
      <c r="AG168" s="109">
        <f t="shared" si="130"/>
        <v>4.3637082710774848</v>
      </c>
      <c r="AH168" s="109">
        <f t="shared" si="130"/>
        <v>4.4819199940303376</v>
      </c>
      <c r="AI168" s="109">
        <f t="shared" si="130"/>
        <v>4.0597062580633319</v>
      </c>
      <c r="AJ168" s="109">
        <f t="shared" si="130"/>
        <v>3.9896856528390856</v>
      </c>
      <c r="AK168" s="109">
        <f t="shared" si="130"/>
        <v>4.0286308092466854</v>
      </c>
      <c r="AL168" s="109">
        <f t="shared" si="130"/>
        <v>3.9888031123334282</v>
      </c>
      <c r="AM168" s="109">
        <f t="shared" si="128"/>
        <v>4.0128195972260094</v>
      </c>
      <c r="AN168" s="109">
        <f t="shared" si="128"/>
        <v>4.0159290859417078</v>
      </c>
      <c r="AO168" s="109">
        <f t="shared" si="128"/>
        <v>4.0071911274343979</v>
      </c>
      <c r="AP168" s="109">
        <f t="shared" si="128"/>
        <v>4.010671341071637</v>
      </c>
      <c r="AQ168" s="109">
        <f t="shared" si="128"/>
        <v>4.0071220390607571</v>
      </c>
      <c r="AR168" s="109">
        <f t="shared" si="128"/>
        <v>4.0107139854778806</v>
      </c>
      <c r="AS168" s="109">
        <f t="shared" si="128"/>
        <v>4.0103051288277589</v>
      </c>
      <c r="AT168" s="109">
        <f t="shared" si="128"/>
        <v>4.0092127833113951</v>
      </c>
      <c r="AU168" s="109">
        <f t="shared" si="128"/>
        <v>4.0096055621674989</v>
      </c>
      <c r="AV168" s="109">
        <f t="shared" si="128"/>
        <v>4.0093984390974482</v>
      </c>
      <c r="AW168" s="109">
        <f t="shared" si="128"/>
        <v>4.0098409542447682</v>
      </c>
      <c r="AX168" s="109">
        <f t="shared" si="128"/>
        <v>4.0096711981716631</v>
      </c>
      <c r="AY168" s="109">
        <f t="shared" si="128"/>
        <v>4.0095479015669913</v>
      </c>
      <c r="AZ168" s="109">
        <f t="shared" si="128"/>
        <v>4.0096130973003525</v>
      </c>
      <c r="BA168" s="109">
        <f t="shared" si="128"/>
        <v>4.0096145635964753</v>
      </c>
      <c r="BB168" s="109">
        <f t="shared" si="128"/>
        <v>4.0096566306864645</v>
      </c>
      <c r="BC168" s="109">
        <f t="shared" si="128"/>
        <v>4.0096207446839616</v>
      </c>
      <c r="BD168" s="109">
        <f t="shared" si="128"/>
        <v>4.0096109195310943</v>
      </c>
      <c r="BE168" s="109">
        <f t="shared" si="128"/>
        <v>4.0096231943345364</v>
      </c>
      <c r="BF168" s="109">
        <f t="shared" si="128"/>
        <v>4.0096251615153351</v>
      </c>
      <c r="BX168" s="92">
        <f t="shared" si="131"/>
        <v>2.9367678571428573</v>
      </c>
      <c r="BY168" s="92"/>
      <c r="BZ168" s="93">
        <v>4.0768200259531877</v>
      </c>
      <c r="CC168" s="92"/>
      <c r="CD168" s="92">
        <v>164.459</v>
      </c>
      <c r="CE168" s="92"/>
    </row>
    <row r="169" spans="1:83">
      <c r="A169" s="69" t="s">
        <v>14</v>
      </c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>
        <f>'NASS Data'!$I9*100/56/1000</f>
        <v>0</v>
      </c>
      <c r="X169" s="92">
        <f>'NASS Data'!$I21*100/56/1000</f>
        <v>11.251785714285713</v>
      </c>
      <c r="Y169" s="92">
        <f>'NASS Data'!$I33*100/56/1000</f>
        <v>12.3375</v>
      </c>
      <c r="Z169" s="92">
        <f>'NASS Data'!$I45*100/56/1000</f>
        <v>6.5964285714285715</v>
      </c>
      <c r="AA169" s="92">
        <f>'NASS Data'!$I57*100/56/1000</f>
        <v>9.2428571428571438</v>
      </c>
      <c r="AB169" s="92">
        <f>'NASS Data'!$I69*100/56/1000</f>
        <v>3.6553571428571425</v>
      </c>
      <c r="AC169" s="92">
        <f>'NASS Data'!$I81*100/56/1000</f>
        <v>0.20555357142857139</v>
      </c>
      <c r="AD169" s="92">
        <f>'NASS Data'!$I93*100/56/1000</f>
        <v>4.1456964285714282</v>
      </c>
      <c r="AE169" s="92">
        <f>'NASS Data'!$I105*100/56/1000</f>
        <v>4.6003035714285714</v>
      </c>
      <c r="AF169" s="92">
        <f>'NASS Data'!$I117*100/56/1000</f>
        <v>1.6261964285714288</v>
      </c>
      <c r="AG169" s="109">
        <f t="shared" si="130"/>
        <v>4.4119261949372204</v>
      </c>
      <c r="AH169" s="109">
        <f t="shared" si="130"/>
        <v>4.9529512025299347</v>
      </c>
      <c r="AI169" s="109">
        <f t="shared" si="130"/>
        <v>4.5792470940561172</v>
      </c>
      <c r="AJ169" s="109">
        <f t="shared" si="130"/>
        <v>4.3006998065722755</v>
      </c>
      <c r="AK169" s="109">
        <f t="shared" si="130"/>
        <v>4.2597494033421457</v>
      </c>
      <c r="AL169" s="109">
        <f t="shared" si="130"/>
        <v>4.2837574225524975</v>
      </c>
      <c r="AM169" s="109">
        <f t="shared" si="128"/>
        <v>4.3730819869787885</v>
      </c>
      <c r="AN169" s="109">
        <f t="shared" si="128"/>
        <v>4.3593071427003656</v>
      </c>
      <c r="AO169" s="109">
        <f t="shared" si="128"/>
        <v>4.3154069528089973</v>
      </c>
      <c r="AP169" s="109">
        <f t="shared" si="128"/>
        <v>4.3183308387407511</v>
      </c>
      <c r="AQ169" s="109">
        <f t="shared" si="128"/>
        <v>4.329908197515179</v>
      </c>
      <c r="AR169" s="109">
        <f t="shared" si="128"/>
        <v>4.3389573690764891</v>
      </c>
      <c r="AS169" s="109">
        <f t="shared" si="128"/>
        <v>4.3323312296779841</v>
      </c>
      <c r="AT169" s="109">
        <f t="shared" si="128"/>
        <v>4.3270916773409445</v>
      </c>
      <c r="AU169" s="109">
        <f t="shared" si="128"/>
        <v>4.3293618523928661</v>
      </c>
      <c r="AV169" s="109">
        <f t="shared" si="128"/>
        <v>4.3315056154233709</v>
      </c>
      <c r="AW169" s="109">
        <f t="shared" si="128"/>
        <v>4.3318161415214123</v>
      </c>
      <c r="AX169" s="109">
        <f t="shared" si="128"/>
        <v>4.3304275694968144</v>
      </c>
      <c r="AY169" s="109">
        <f t="shared" si="128"/>
        <v>4.3300573163239626</v>
      </c>
      <c r="AZ169" s="109">
        <f t="shared" si="128"/>
        <v>4.3306342679079322</v>
      </c>
      <c r="BA169" s="109">
        <f t="shared" si="128"/>
        <v>4.3308818730892416</v>
      </c>
      <c r="BB169" s="109">
        <f t="shared" si="128"/>
        <v>4.330760466099207</v>
      </c>
      <c r="BC169" s="109">
        <f t="shared" si="128"/>
        <v>4.330554936370989</v>
      </c>
      <c r="BD169" s="109">
        <f t="shared" si="128"/>
        <v>4.3305797393938539</v>
      </c>
      <c r="BE169" s="109">
        <f t="shared" si="128"/>
        <v>4.3306814983222504</v>
      </c>
      <c r="BF169" s="109">
        <f t="shared" si="128"/>
        <v>4.3306907001098685</v>
      </c>
      <c r="BW169" s="92">
        <f>CC169/56</f>
        <v>0.20555357142857142</v>
      </c>
      <c r="BX169" s="92">
        <f t="shared" si="131"/>
        <v>4.1492500000000003</v>
      </c>
      <c r="BY169" s="92"/>
      <c r="BZ169" s="93">
        <v>4.6451671191726325</v>
      </c>
      <c r="CC169" s="92">
        <v>11.510999999999999</v>
      </c>
      <c r="CD169" s="92">
        <v>232.358</v>
      </c>
      <c r="CE169" s="92"/>
    </row>
    <row r="170" spans="1:83">
      <c r="A170" s="69" t="s">
        <v>34</v>
      </c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>
        <f>'NASS Data'!$I10*100/56/1000</f>
        <v>0</v>
      </c>
      <c r="X170" s="92">
        <f>'NASS Data'!$I22*100/56/1000</f>
        <v>10.675000000000001</v>
      </c>
      <c r="Y170" s="92">
        <f>'NASS Data'!$I34*100/56/1000</f>
        <v>8.6803571428571438</v>
      </c>
      <c r="Z170" s="92">
        <f>'NASS Data'!$I46*100/56/1000</f>
        <v>7.6214285714285719</v>
      </c>
      <c r="AA170" s="92">
        <f>'NASS Data'!$I58*100/56/1000</f>
        <v>8.7821428571428566</v>
      </c>
      <c r="AB170" s="92">
        <f>'NASS Data'!$I70*100/56/1000</f>
        <v>2.2964285714285717</v>
      </c>
      <c r="AC170" s="92">
        <f>'NASS Data'!$I82*100/56/1000</f>
        <v>0.63564285714285707</v>
      </c>
      <c r="AD170" s="92">
        <f>'NASS Data'!$I94*100/56/1000</f>
        <v>7.2826071428571435</v>
      </c>
      <c r="AE170" s="92">
        <f>'NASS Data'!$I106*100/56/1000</f>
        <v>4.4035535714285707</v>
      </c>
      <c r="AF170" s="92">
        <f>'NASS Data'!$I118*100/56/1000</f>
        <v>2.3096249999999996</v>
      </c>
      <c r="AG170" s="109">
        <f t="shared" si="130"/>
        <v>5.2472348871628371</v>
      </c>
      <c r="AH170" s="109">
        <f t="shared" si="130"/>
        <v>6.5832779299336428</v>
      </c>
      <c r="AI170" s="109">
        <f t="shared" si="130"/>
        <v>5.9994580218312628</v>
      </c>
      <c r="AJ170" s="109">
        <f t="shared" si="130"/>
        <v>5.1995575174875572</v>
      </c>
      <c r="AK170" s="109">
        <f t="shared" si="130"/>
        <v>5.4421192799946683</v>
      </c>
      <c r="AL170" s="109">
        <f t="shared" si="130"/>
        <v>5.4188406621869118</v>
      </c>
      <c r="AM170" s="109">
        <f t="shared" si="128"/>
        <v>5.6090875729476766</v>
      </c>
      <c r="AN170" s="109">
        <f t="shared" si="128"/>
        <v>5.5338126108896164</v>
      </c>
      <c r="AO170" s="109">
        <f t="shared" si="128"/>
        <v>5.4408694150928794</v>
      </c>
      <c r="AP170" s="109">
        <f t="shared" si="128"/>
        <v>5.4888439474199808</v>
      </c>
      <c r="AQ170" s="109">
        <f t="shared" si="128"/>
        <v>5.498078071417078</v>
      </c>
      <c r="AR170" s="109">
        <f t="shared" si="128"/>
        <v>5.5136148183249549</v>
      </c>
      <c r="AS170" s="109">
        <f t="shared" si="128"/>
        <v>5.4950764193690853</v>
      </c>
      <c r="AT170" s="109">
        <f t="shared" si="128"/>
        <v>5.4875526590929828</v>
      </c>
      <c r="AU170" s="109">
        <f t="shared" si="128"/>
        <v>5.4966225464987168</v>
      </c>
      <c r="AV170" s="109">
        <f t="shared" si="128"/>
        <v>5.4981342365083581</v>
      </c>
      <c r="AW170" s="109">
        <f t="shared" si="128"/>
        <v>5.4981451545821782</v>
      </c>
      <c r="AX170" s="109">
        <f t="shared" si="128"/>
        <v>5.4951371644099716</v>
      </c>
      <c r="AY170" s="109">
        <f t="shared" si="128"/>
        <v>5.4951489790417769</v>
      </c>
      <c r="AZ170" s="109">
        <f t="shared" si="128"/>
        <v>5.4966268085590873</v>
      </c>
      <c r="BA170" s="109">
        <f t="shared" si="128"/>
        <v>5.4966276379329964</v>
      </c>
      <c r="BB170" s="109">
        <f t="shared" si="128"/>
        <v>5.4963343892817207</v>
      </c>
      <c r="BC170" s="109">
        <f t="shared" si="128"/>
        <v>5.4959818509046405</v>
      </c>
      <c r="BD170" s="109">
        <f t="shared" si="128"/>
        <v>5.4961463424851829</v>
      </c>
      <c r="BE170" s="109">
        <f t="shared" si="128"/>
        <v>5.4963406115385061</v>
      </c>
      <c r="BF170" s="109">
        <f t="shared" si="128"/>
        <v>5.4962848524638073</v>
      </c>
      <c r="BW170" s="92">
        <f t="shared" ref="BW170:BW172" si="132">CC170/56</f>
        <v>0.63564285714285707</v>
      </c>
      <c r="BX170" s="92">
        <f t="shared" si="131"/>
        <v>7.3899464285714282</v>
      </c>
      <c r="BY170" s="92"/>
      <c r="BZ170" s="93">
        <v>5.2053547222709531</v>
      </c>
      <c r="CC170" s="92">
        <v>35.595999999999997</v>
      </c>
      <c r="CD170" s="92">
        <v>413.83699999999999</v>
      </c>
      <c r="CE170" s="92"/>
    </row>
    <row r="171" spans="1:83">
      <c r="A171" s="69" t="s">
        <v>35</v>
      </c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>
        <f>'NASS Data'!$I11*100/56/1000</f>
        <v>0</v>
      </c>
      <c r="X171" s="92">
        <f>'NASS Data'!$I23*100/56/1000</f>
        <v>10.678571428571429</v>
      </c>
      <c r="Y171" s="92">
        <f>'NASS Data'!$I35*100/56/1000</f>
        <v>9.5214285714285705</v>
      </c>
      <c r="Z171" s="92">
        <f>'NASS Data'!$I47*100/56/1000</f>
        <v>6.2428571428571429</v>
      </c>
      <c r="AA171" s="92">
        <f>'NASS Data'!$I59*100/56/1000</f>
        <v>9.7107142857142854</v>
      </c>
      <c r="AB171" s="92">
        <f>'NASS Data'!$I71*100/56/1000</f>
        <v>1.6535714285714287</v>
      </c>
      <c r="AC171" s="92">
        <f>'NASS Data'!$I83*100/56/1000</f>
        <v>0.57651785714285708</v>
      </c>
      <c r="AD171" s="92">
        <f>'NASS Data'!$I95*100/56/1000</f>
        <v>7.4711785714285721</v>
      </c>
      <c r="AE171" s="92">
        <f>'NASS Data'!$I107*100/56/1000</f>
        <v>4.5534464285714282</v>
      </c>
      <c r="AF171" s="92">
        <f>'NASS Data'!$I119*100/56/1000</f>
        <v>2.4404464285714282</v>
      </c>
      <c r="AG171" s="109">
        <f t="shared" si="130"/>
        <v>5.1751045042198651</v>
      </c>
      <c r="AH171" s="109">
        <f t="shared" si="130"/>
        <v>6.6992037343985409</v>
      </c>
      <c r="AI171" s="109">
        <f t="shared" si="130"/>
        <v>6.1220035666711281</v>
      </c>
      <c r="AJ171" s="109">
        <f t="shared" si="130"/>
        <v>5.2964086779021597</v>
      </c>
      <c r="AK171" s="109">
        <f t="shared" si="130"/>
        <v>5.5263740728135433</v>
      </c>
      <c r="AL171" s="109">
        <f t="shared" si="130"/>
        <v>5.4806330371827299</v>
      </c>
      <c r="AM171" s="109">
        <f t="shared" si="128"/>
        <v>5.7035970412162476</v>
      </c>
      <c r="AN171" s="109">
        <f t="shared" si="128"/>
        <v>5.6258032791571608</v>
      </c>
      <c r="AO171" s="109">
        <f t="shared" si="128"/>
        <v>5.5267613056014797</v>
      </c>
      <c r="AP171" s="109">
        <f t="shared" si="128"/>
        <v>5.5725570566351426</v>
      </c>
      <c r="AQ171" s="109">
        <f t="shared" si="128"/>
        <v>5.5816841285366436</v>
      </c>
      <c r="AR171" s="109">
        <f t="shared" si="128"/>
        <v>5.6014980680178033</v>
      </c>
      <c r="AS171" s="109">
        <f t="shared" si="128"/>
        <v>5.5816730246783006</v>
      </c>
      <c r="AT171" s="109">
        <f t="shared" si="128"/>
        <v>5.5731015714045213</v>
      </c>
      <c r="AU171" s="109">
        <f t="shared" si="128"/>
        <v>5.5821048230462544</v>
      </c>
      <c r="AV171" s="109">
        <f t="shared" si="128"/>
        <v>5.5839603323676581</v>
      </c>
      <c r="AW171" s="109">
        <f t="shared" si="128"/>
        <v>5.5844028093740619</v>
      </c>
      <c r="AX171" s="109">
        <f t="shared" si="128"/>
        <v>5.5810787313044461</v>
      </c>
      <c r="AY171" s="109">
        <f t="shared" si="128"/>
        <v>5.5809631439693472</v>
      </c>
      <c r="AZ171" s="109">
        <f t="shared" si="128"/>
        <v>5.5824925771774137</v>
      </c>
      <c r="BA171" s="109">
        <f t="shared" si="128"/>
        <v>5.5825680320353701</v>
      </c>
      <c r="BB171" s="109">
        <f t="shared" si="128"/>
        <v>5.5822970307206914</v>
      </c>
      <c r="BC171" s="109">
        <f t="shared" si="128"/>
        <v>5.5818870561156109</v>
      </c>
      <c r="BD171" s="109">
        <f t="shared" si="128"/>
        <v>5.5820444667367317</v>
      </c>
      <c r="BE171" s="109">
        <f t="shared" si="128"/>
        <v>5.5822550896062042</v>
      </c>
      <c r="BF171" s="109">
        <f t="shared" si="128"/>
        <v>5.5822088204759526</v>
      </c>
      <c r="BW171" s="92">
        <f t="shared" si="132"/>
        <v>0.57651785714285708</v>
      </c>
      <c r="BX171" s="92">
        <f t="shared" si="131"/>
        <v>7.473071428571429</v>
      </c>
      <c r="BY171" s="92"/>
      <c r="BZ171" s="93">
        <v>4.9971729487458134</v>
      </c>
      <c r="CC171" s="92">
        <v>32.284999999999997</v>
      </c>
      <c r="CD171" s="92">
        <v>418.49200000000002</v>
      </c>
      <c r="CE171" s="92"/>
    </row>
    <row r="172" spans="1:83">
      <c r="A172" s="69" t="s">
        <v>36</v>
      </c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>
        <f>'NASS Data'!$I12*100/56/1000</f>
        <v>0</v>
      </c>
      <c r="X172" s="92">
        <f>'NASS Data'!$I24*100/56/1000</f>
        <v>7.7964285714285717</v>
      </c>
      <c r="Y172" s="92">
        <f>'NASS Data'!$I36*100/56/1000</f>
        <v>6.6660714285714286</v>
      </c>
      <c r="Z172" s="92">
        <f>'NASS Data'!$I48*100/56/1000</f>
        <v>6.1696428571428568</v>
      </c>
      <c r="AA172" s="92">
        <f>'NASS Data'!$I60*100/56/1000</f>
        <v>10.919642857142858</v>
      </c>
      <c r="AB172" s="92">
        <f>'NASS Data'!$I72*100/56/1000</f>
        <v>1.5178571428571428</v>
      </c>
      <c r="AC172" s="92">
        <f>'NASS Data'!$I84*100/56/1000</f>
        <v>0.52712499999999995</v>
      </c>
      <c r="AD172" s="92">
        <f>'NASS Data'!$I96*100/56/1000</f>
        <v>7.8845000000000001</v>
      </c>
      <c r="AE172" s="92">
        <f>'NASS Data'!$I108*100/56/1000</f>
        <v>4.9194821428571434</v>
      </c>
      <c r="AF172" s="92">
        <f>'NASS Data'!$I120*100/56/1000</f>
        <v>2.715125</v>
      </c>
      <c r="AG172" s="109">
        <f t="shared" si="130"/>
        <v>9.3160527191322213</v>
      </c>
      <c r="AH172" s="109">
        <f t="shared" si="130"/>
        <v>5.8502022860425731</v>
      </c>
      <c r="AI172" s="109">
        <f t="shared" si="130"/>
        <v>5.3404627563764899</v>
      </c>
      <c r="AJ172" s="109">
        <f t="shared" si="130"/>
        <v>6.0277893241097731</v>
      </c>
      <c r="AK172" s="109">
        <f t="shared" si="130"/>
        <v>6.3557683791882944</v>
      </c>
      <c r="AL172" s="109">
        <f t="shared" si="130"/>
        <v>6.3244550372660484</v>
      </c>
      <c r="AM172" s="109">
        <f t="shared" si="128"/>
        <v>5.8076348804618192</v>
      </c>
      <c r="AN172" s="109">
        <f t="shared" si="128"/>
        <v>5.9712220754804797</v>
      </c>
      <c r="AO172" s="109">
        <f t="shared" si="128"/>
        <v>6.097122139173897</v>
      </c>
      <c r="AP172" s="109">
        <f t="shared" si="128"/>
        <v>6.1109059990275947</v>
      </c>
      <c r="AQ172" s="109">
        <f t="shared" si="128"/>
        <v>6.0625142242922809</v>
      </c>
      <c r="AR172" s="109">
        <f t="shared" si="128"/>
        <v>6.0111532805719357</v>
      </c>
      <c r="AS172" s="109">
        <f t="shared" si="128"/>
        <v>6.0506714165156517</v>
      </c>
      <c r="AT172" s="109">
        <f t="shared" si="128"/>
        <v>6.0661029231397841</v>
      </c>
      <c r="AU172" s="109">
        <f t="shared" si="128"/>
        <v>6.0600763325960134</v>
      </c>
      <c r="AV172" s="109">
        <f t="shared" si="128"/>
        <v>6.0501981144027264</v>
      </c>
      <c r="AW172" s="109">
        <f t="shared" ref="AW172:BF172" si="133">AW333/AW$174*56</f>
        <v>6.0478039547232356</v>
      </c>
      <c r="AX172" s="109">
        <f t="shared" si="133"/>
        <v>6.0549304746970929</v>
      </c>
      <c r="AY172" s="109">
        <f t="shared" si="133"/>
        <v>6.0557588419764272</v>
      </c>
      <c r="AZ172" s="109">
        <f t="shared" si="133"/>
        <v>6.0537464480046594</v>
      </c>
      <c r="BA172" s="109">
        <f t="shared" si="133"/>
        <v>6.0525146866787711</v>
      </c>
      <c r="BB172" s="109">
        <f t="shared" si="133"/>
        <v>6.0529655909253677</v>
      </c>
      <c r="BC172" s="109">
        <f t="shared" si="133"/>
        <v>6.053970511247897</v>
      </c>
      <c r="BD172" s="109">
        <f t="shared" si="133"/>
        <v>6.0537835709972541</v>
      </c>
      <c r="BE172" s="109">
        <f t="shared" si="133"/>
        <v>6.0533988225630591</v>
      </c>
      <c r="BF172" s="109">
        <f t="shared" si="133"/>
        <v>6.0533310955373736</v>
      </c>
      <c r="BW172" s="92">
        <f t="shared" si="132"/>
        <v>0.52712499999999995</v>
      </c>
      <c r="BX172" s="92">
        <f t="shared" si="131"/>
        <v>7.9639642857142876</v>
      </c>
      <c r="BY172" s="92"/>
      <c r="BZ172" s="93">
        <v>0.43885897163470688</v>
      </c>
      <c r="CC172" s="92">
        <v>29.518999999999998</v>
      </c>
      <c r="CD172" s="92">
        <v>445.98200000000008</v>
      </c>
      <c r="CE172" s="92"/>
    </row>
    <row r="173" spans="1:83" ht="12" thickBot="1">
      <c r="A173" s="69" t="s">
        <v>138</v>
      </c>
      <c r="W173" s="76">
        <f t="shared" ref="W173:AE173" si="134">SUM(W161:W172)</f>
        <v>0</v>
      </c>
      <c r="X173" s="76">
        <f t="shared" si="134"/>
        <v>131.8857142857143</v>
      </c>
      <c r="Y173" s="76">
        <f t="shared" si="134"/>
        <v>113.88928571428573</v>
      </c>
      <c r="Z173" s="76">
        <f t="shared" si="134"/>
        <v>61.32025131933873</v>
      </c>
      <c r="AA173" s="76">
        <f t="shared" si="134"/>
        <v>104.29642857142859</v>
      </c>
      <c r="AB173" s="76">
        <f t="shared" si="134"/>
        <v>74.741071428571431</v>
      </c>
      <c r="AC173" s="76">
        <f t="shared" si="134"/>
        <v>10.873410714285715</v>
      </c>
      <c r="AD173" s="76">
        <f t="shared" si="134"/>
        <v>43.558267857142866</v>
      </c>
      <c r="AE173" s="76">
        <f t="shared" si="134"/>
        <v>57.786660714285702</v>
      </c>
      <c r="AF173" s="76">
        <f t="shared" ref="AF173:BF173" si="135">SUM(AF161:AF172)</f>
        <v>22.736000000000001</v>
      </c>
      <c r="AG173" s="77">
        <f t="shared" si="135"/>
        <v>63.415515449123923</v>
      </c>
      <c r="AH173" s="77">
        <f t="shared" si="135"/>
        <v>62.72</v>
      </c>
      <c r="AI173" s="77">
        <f t="shared" si="135"/>
        <v>55.999999999999993</v>
      </c>
      <c r="AJ173" s="77">
        <f t="shared" si="135"/>
        <v>55.999999999999993</v>
      </c>
      <c r="AK173" s="77">
        <f t="shared" si="135"/>
        <v>56</v>
      </c>
      <c r="AL173" s="77">
        <f t="shared" si="135"/>
        <v>56</v>
      </c>
      <c r="AM173" s="77">
        <f t="shared" si="135"/>
        <v>56.000000000000007</v>
      </c>
      <c r="AN173" s="77">
        <f t="shared" si="135"/>
        <v>56</v>
      </c>
      <c r="AO173" s="77">
        <f t="shared" si="135"/>
        <v>56.000000000000007</v>
      </c>
      <c r="AP173" s="77">
        <f t="shared" si="135"/>
        <v>55.999999999999993</v>
      </c>
      <c r="AQ173" s="77">
        <f t="shared" si="135"/>
        <v>55.999999999999993</v>
      </c>
      <c r="AR173" s="77">
        <f t="shared" si="135"/>
        <v>56</v>
      </c>
      <c r="AS173" s="77">
        <f t="shared" si="135"/>
        <v>56</v>
      </c>
      <c r="AT173" s="77">
        <f t="shared" si="135"/>
        <v>56</v>
      </c>
      <c r="AU173" s="77">
        <f t="shared" si="135"/>
        <v>55.999999999999986</v>
      </c>
      <c r="AV173" s="77">
        <f t="shared" si="135"/>
        <v>56.000000000000007</v>
      </c>
      <c r="AW173" s="77">
        <f t="shared" si="135"/>
        <v>55.999999999999993</v>
      </c>
      <c r="AX173" s="77">
        <f t="shared" si="135"/>
        <v>55.999999999999993</v>
      </c>
      <c r="AY173" s="77">
        <f t="shared" si="135"/>
        <v>56</v>
      </c>
      <c r="AZ173" s="77">
        <f t="shared" si="135"/>
        <v>56</v>
      </c>
      <c r="BA173" s="77">
        <f t="shared" si="135"/>
        <v>56</v>
      </c>
      <c r="BB173" s="77">
        <f t="shared" si="135"/>
        <v>56</v>
      </c>
      <c r="BC173" s="77">
        <f t="shared" si="135"/>
        <v>56</v>
      </c>
      <c r="BD173" s="77">
        <f t="shared" si="135"/>
        <v>55.999999999999993</v>
      </c>
      <c r="BE173" s="77">
        <f t="shared" si="135"/>
        <v>56</v>
      </c>
      <c r="BF173" s="77">
        <f t="shared" si="135"/>
        <v>56.000000000000014</v>
      </c>
    </row>
    <row r="174" spans="1:83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110">
        <v>125</v>
      </c>
      <c r="AF174" s="110">
        <v>150</v>
      </c>
      <c r="AG174" s="110">
        <v>125</v>
      </c>
      <c r="AH174" s="110">
        <v>125</v>
      </c>
      <c r="AI174" s="110">
        <v>100</v>
      </c>
      <c r="AJ174" s="110">
        <v>100</v>
      </c>
      <c r="AK174" s="110">
        <v>100</v>
      </c>
      <c r="AL174" s="110">
        <v>100</v>
      </c>
      <c r="AM174" s="110">
        <v>100</v>
      </c>
      <c r="AN174" s="110">
        <v>101</v>
      </c>
      <c r="AO174" s="110">
        <v>102</v>
      </c>
      <c r="AP174" s="110">
        <v>103</v>
      </c>
      <c r="AQ174" s="110">
        <v>104</v>
      </c>
      <c r="AR174" s="110">
        <v>105</v>
      </c>
      <c r="AS174" s="110">
        <v>106</v>
      </c>
      <c r="AT174" s="110">
        <v>107</v>
      </c>
      <c r="AU174" s="110">
        <v>108</v>
      </c>
      <c r="AV174" s="110">
        <v>109</v>
      </c>
      <c r="AW174" s="110">
        <v>110</v>
      </c>
      <c r="AX174" s="110">
        <v>111</v>
      </c>
      <c r="AY174" s="110">
        <v>112</v>
      </c>
      <c r="AZ174" s="110">
        <v>113</v>
      </c>
      <c r="BA174" s="110">
        <v>114</v>
      </c>
      <c r="BB174" s="110">
        <v>115</v>
      </c>
      <c r="BC174" s="110">
        <v>116</v>
      </c>
      <c r="BD174" s="110">
        <v>117</v>
      </c>
      <c r="BE174" s="110">
        <v>118</v>
      </c>
      <c r="BF174" s="110">
        <v>119</v>
      </c>
    </row>
    <row r="175" spans="1:83" ht="12" thickBot="1">
      <c r="A175" s="105" t="s">
        <v>164</v>
      </c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</row>
    <row r="176" spans="1:83" ht="12" thickBot="1">
      <c r="A176" s="84"/>
      <c r="B176" s="85" t="s">
        <v>66</v>
      </c>
      <c r="C176" s="86" t="s">
        <v>67</v>
      </c>
      <c r="D176" s="86" t="s">
        <v>68</v>
      </c>
      <c r="E176" s="86" t="s">
        <v>69</v>
      </c>
      <c r="F176" s="86" t="s">
        <v>70</v>
      </c>
      <c r="G176" s="86" t="s">
        <v>71</v>
      </c>
      <c r="H176" s="86" t="s">
        <v>72</v>
      </c>
      <c r="I176" s="86" t="s">
        <v>73</v>
      </c>
      <c r="J176" s="86" t="s">
        <v>74</v>
      </c>
      <c r="K176" s="86" t="s">
        <v>75</v>
      </c>
      <c r="L176" s="86" t="s">
        <v>76</v>
      </c>
      <c r="M176" s="86" t="s">
        <v>77</v>
      </c>
      <c r="N176" s="86" t="s">
        <v>78</v>
      </c>
      <c r="O176" s="86" t="s">
        <v>79</v>
      </c>
      <c r="P176" s="86" t="s">
        <v>80</v>
      </c>
      <c r="Q176" s="86" t="s">
        <v>81</v>
      </c>
      <c r="R176" s="86" t="s">
        <v>82</v>
      </c>
      <c r="S176" s="86" t="s">
        <v>83</v>
      </c>
      <c r="T176" s="86" t="s">
        <v>84</v>
      </c>
      <c r="U176" s="86" t="s">
        <v>85</v>
      </c>
      <c r="V176" s="86" t="s">
        <v>86</v>
      </c>
      <c r="W176" s="86" t="s">
        <v>87</v>
      </c>
      <c r="X176" s="86" t="s">
        <v>88</v>
      </c>
      <c r="Y176" s="86" t="s">
        <v>89</v>
      </c>
      <c r="Z176" s="86" t="s">
        <v>90</v>
      </c>
      <c r="AA176" s="86" t="s">
        <v>91</v>
      </c>
      <c r="AB176" s="86" t="s">
        <v>92</v>
      </c>
      <c r="AC176" s="86" t="s">
        <v>93</v>
      </c>
      <c r="AD176" s="86" t="str">
        <f>AD2</f>
        <v>21/22</v>
      </c>
      <c r="AE176" s="86" t="str">
        <f t="shared" ref="AE176:BF176" si="136">AE2</f>
        <v>22/23</v>
      </c>
      <c r="AF176" s="86" t="str">
        <f t="shared" si="136"/>
        <v>23/24</v>
      </c>
      <c r="AG176" s="86" t="str">
        <f t="shared" si="136"/>
        <v>24/25</v>
      </c>
      <c r="AH176" s="86" t="str">
        <f t="shared" si="136"/>
        <v>25/26</v>
      </c>
      <c r="AI176" s="86" t="str">
        <f t="shared" si="136"/>
        <v>26/27</v>
      </c>
      <c r="AJ176" s="86" t="str">
        <f t="shared" si="136"/>
        <v>27/28</v>
      </c>
      <c r="AK176" s="86" t="str">
        <f t="shared" si="136"/>
        <v>28/29</v>
      </c>
      <c r="AL176" s="86" t="str">
        <f t="shared" si="136"/>
        <v>29/30</v>
      </c>
      <c r="AM176" s="86" t="str">
        <f t="shared" si="136"/>
        <v>30/31</v>
      </c>
      <c r="AN176" s="86" t="str">
        <f t="shared" si="136"/>
        <v>31/32</v>
      </c>
      <c r="AO176" s="86" t="str">
        <f t="shared" si="136"/>
        <v>32/33</v>
      </c>
      <c r="AP176" s="86" t="str">
        <f t="shared" si="136"/>
        <v>33/34</v>
      </c>
      <c r="AQ176" s="86" t="str">
        <f t="shared" si="136"/>
        <v>34/35</v>
      </c>
      <c r="AR176" s="86" t="str">
        <f t="shared" si="136"/>
        <v>35/36</v>
      </c>
      <c r="AS176" s="86" t="str">
        <f t="shared" si="136"/>
        <v>36/37</v>
      </c>
      <c r="AT176" s="86" t="str">
        <f t="shared" si="136"/>
        <v>37/38</v>
      </c>
      <c r="AU176" s="86" t="str">
        <f t="shared" si="136"/>
        <v>38/39</v>
      </c>
      <c r="AV176" s="86" t="str">
        <f t="shared" si="136"/>
        <v>39/40</v>
      </c>
      <c r="AW176" s="86" t="str">
        <f t="shared" si="136"/>
        <v>40/41</v>
      </c>
      <c r="AX176" s="86" t="str">
        <f t="shared" si="136"/>
        <v>41/42</v>
      </c>
      <c r="AY176" s="86" t="str">
        <f t="shared" si="136"/>
        <v>42/43</v>
      </c>
      <c r="AZ176" s="86" t="str">
        <f t="shared" si="136"/>
        <v>43/44</v>
      </c>
      <c r="BA176" s="86" t="str">
        <f t="shared" si="136"/>
        <v>44/45</v>
      </c>
      <c r="BB176" s="86" t="str">
        <f t="shared" si="136"/>
        <v>45/46</v>
      </c>
      <c r="BC176" s="86" t="str">
        <f t="shared" si="136"/>
        <v>42/47</v>
      </c>
      <c r="BD176" s="86" t="str">
        <f t="shared" si="136"/>
        <v>42/48</v>
      </c>
      <c r="BE176" s="86" t="str">
        <f t="shared" si="136"/>
        <v>42/49</v>
      </c>
      <c r="BF176" s="86" t="str">
        <f t="shared" si="136"/>
        <v>42/50</v>
      </c>
    </row>
    <row r="177" spans="1:77">
      <c r="A177" s="69" t="s">
        <v>37</v>
      </c>
      <c r="Y177" s="92">
        <f t="shared" ref="Y177:AN188" si="137">Y338/Y$205</f>
        <v>3.4248775626729109</v>
      </c>
      <c r="Z177" s="92">
        <f t="shared" si="137"/>
        <v>3.3023246116971827</v>
      </c>
      <c r="AA177" s="92">
        <f t="shared" si="137"/>
        <v>3.6400677908917056</v>
      </c>
      <c r="AB177" s="92">
        <f t="shared" si="137"/>
        <v>4.3166514282196804</v>
      </c>
      <c r="AC177" s="92">
        <f t="shared" si="137"/>
        <v>2.9280463328760868</v>
      </c>
      <c r="AD177" s="92">
        <f>AD338/AD$205</f>
        <v>2.7226610934023334</v>
      </c>
      <c r="AE177" s="92">
        <f t="shared" ref="AE177:BF186" si="138">AE338/AE$205</f>
        <v>3.6734048401926933</v>
      </c>
      <c r="AF177" s="92">
        <f t="shared" si="138"/>
        <v>3.1360302686741939</v>
      </c>
      <c r="AG177" s="92">
        <f t="shared" si="138"/>
        <v>2.966749712479583</v>
      </c>
      <c r="AH177" s="109">
        <f t="shared" si="138"/>
        <v>4.4633607308616732</v>
      </c>
      <c r="AI177" s="109">
        <f t="shared" si="138"/>
        <v>5.2641790146804208</v>
      </c>
      <c r="AJ177" s="109">
        <f t="shared" si="138"/>
        <v>5.8496388576654565</v>
      </c>
      <c r="AK177" s="109">
        <f t="shared" si="138"/>
        <v>6.1893458226595941</v>
      </c>
      <c r="AL177" s="109">
        <f t="shared" si="138"/>
        <v>6.7875926692336517</v>
      </c>
      <c r="AM177" s="109">
        <f t="shared" si="138"/>
        <v>7.5388274027141895</v>
      </c>
      <c r="AN177" s="109">
        <f t="shared" si="138"/>
        <v>8.1584596176521238</v>
      </c>
      <c r="AO177" s="109">
        <f t="shared" si="138"/>
        <v>8.7224703079448407</v>
      </c>
      <c r="AP177" s="109">
        <f t="shared" si="138"/>
        <v>9.2790094506911096</v>
      </c>
      <c r="AQ177" s="109">
        <f t="shared" si="138"/>
        <v>9.8805758384094293</v>
      </c>
      <c r="AR177" s="109">
        <f t="shared" si="138"/>
        <v>10.479289037828492</v>
      </c>
      <c r="AS177" s="109">
        <f t="shared" si="138"/>
        <v>11.0490728120041</v>
      </c>
      <c r="AT177" s="109">
        <f t="shared" si="138"/>
        <v>11.607870329461823</v>
      </c>
      <c r="AU177" s="109">
        <f t="shared" si="138"/>
        <v>12.165821464892591</v>
      </c>
      <c r="AV177" s="109">
        <f t="shared" si="138"/>
        <v>12.724311112142463</v>
      </c>
      <c r="AW177" s="109">
        <f t="shared" si="138"/>
        <v>13.273881600953969</v>
      </c>
      <c r="AX177" s="109">
        <f t="shared" si="138"/>
        <v>13.814170298516958</v>
      </c>
      <c r="AY177" s="109">
        <f t="shared" si="138"/>
        <v>14.348429039885465</v>
      </c>
      <c r="AZ177" s="109">
        <f t="shared" si="138"/>
        <v>14.877962042335842</v>
      </c>
      <c r="BA177" s="109">
        <f t="shared" si="138"/>
        <v>15.401923280400259</v>
      </c>
      <c r="BB177" s="109">
        <f t="shared" si="138"/>
        <v>15.919014145691504</v>
      </c>
      <c r="BC177" s="109">
        <f t="shared" si="138"/>
        <v>16.429777606327029</v>
      </c>
      <c r="BD177" s="109">
        <f t="shared" si="138"/>
        <v>16.934697006687198</v>
      </c>
      <c r="BE177" s="109">
        <f t="shared" si="138"/>
        <v>17.433871850793338</v>
      </c>
      <c r="BF177" s="109">
        <f t="shared" si="138"/>
        <v>17.92706532976878</v>
      </c>
    </row>
    <row r="178" spans="1:77">
      <c r="A178" s="69" t="s">
        <v>38</v>
      </c>
      <c r="X178" s="92">
        <f t="shared" ref="X178:X188" si="139">X339/X$205</f>
        <v>3.8028777141050774</v>
      </c>
      <c r="Y178" s="92">
        <f t="shared" si="137"/>
        <v>3.8977982831936231</v>
      </c>
      <c r="Z178" s="92">
        <f t="shared" si="137"/>
        <v>3.3807071467465915</v>
      </c>
      <c r="AA178" s="92">
        <f t="shared" si="137"/>
        <v>4.0391703867696727</v>
      </c>
      <c r="AB178" s="92">
        <f t="shared" si="137"/>
        <v>3.9816313592841333</v>
      </c>
      <c r="AC178" s="92">
        <f t="shared" si="137"/>
        <v>2.9327698518143288</v>
      </c>
      <c r="AD178" s="92">
        <f t="shared" si="137"/>
        <v>2.858444799810167</v>
      </c>
      <c r="AE178" s="92">
        <f t="shared" si="138"/>
        <v>3.6029108387767095</v>
      </c>
      <c r="AF178" s="92">
        <f t="shared" si="138"/>
        <v>2.9765949831564087</v>
      </c>
      <c r="AG178" s="92">
        <f t="shared" si="138"/>
        <v>3.2040004292397057</v>
      </c>
      <c r="AH178" s="109">
        <f>AH339/AH$205</f>
        <v>4.5736285329775646</v>
      </c>
      <c r="AI178" s="109">
        <f t="shared" si="138"/>
        <v>5.4035019676150311</v>
      </c>
      <c r="AJ178" s="109">
        <f t="shared" si="138"/>
        <v>5.9085685741210279</v>
      </c>
      <c r="AK178" s="109">
        <f t="shared" si="138"/>
        <v>6.3081264062048286</v>
      </c>
      <c r="AL178" s="109">
        <f t="shared" si="138"/>
        <v>7.0042025775810037</v>
      </c>
      <c r="AM178" s="109">
        <f t="shared" si="138"/>
        <v>7.6775616384734642</v>
      </c>
      <c r="AN178" s="109">
        <f t="shared" si="138"/>
        <v>8.2859417945532812</v>
      </c>
      <c r="AO178" s="109">
        <f t="shared" si="138"/>
        <v>8.8462580934418948</v>
      </c>
      <c r="AP178" s="109">
        <f t="shared" si="138"/>
        <v>9.4164723317017902</v>
      </c>
      <c r="AQ178" s="109">
        <f t="shared" si="138"/>
        <v>10.02053769275857</v>
      </c>
      <c r="AR178" s="109">
        <f t="shared" si="138"/>
        <v>10.604134111472552</v>
      </c>
      <c r="AS178" s="109">
        <f t="shared" si="138"/>
        <v>11.169777566830643</v>
      </c>
      <c r="AT178" s="109">
        <f t="shared" si="138"/>
        <v>11.728029409171354</v>
      </c>
      <c r="AU178" s="109">
        <f t="shared" si="138"/>
        <v>12.285475924388535</v>
      </c>
      <c r="AV178" s="109">
        <f t="shared" si="138"/>
        <v>12.840318894928426</v>
      </c>
      <c r="AW178" s="109">
        <f t="shared" si="138"/>
        <v>13.385234342781686</v>
      </c>
      <c r="AX178" s="109">
        <f t="shared" si="138"/>
        <v>13.922776598137611</v>
      </c>
      <c r="AY178" s="109">
        <f t="shared" si="138"/>
        <v>14.454907831298646</v>
      </c>
      <c r="AZ178" s="109">
        <f t="shared" si="138"/>
        <v>14.98174016425579</v>
      </c>
      <c r="BA178" s="109">
        <f t="shared" si="138"/>
        <v>15.502579632226176</v>
      </c>
      <c r="BB178" s="109">
        <f t="shared" si="138"/>
        <v>16.016703420385554</v>
      </c>
      <c r="BC178" s="109">
        <f t="shared" si="138"/>
        <v>16.524823846475343</v>
      </c>
      <c r="BD178" s="109">
        <f t="shared" si="138"/>
        <v>17.027149241618211</v>
      </c>
      <c r="BE178" s="109">
        <f t="shared" si="138"/>
        <v>17.523580895803033</v>
      </c>
      <c r="BF178" s="109">
        <f t="shared" si="138"/>
        <v>18.014047454170139</v>
      </c>
      <c r="BV178" s="76"/>
      <c r="BW178" s="76"/>
      <c r="BX178" s="76"/>
      <c r="BY178" s="76"/>
    </row>
    <row r="179" spans="1:77">
      <c r="A179" s="69" t="s">
        <v>39</v>
      </c>
      <c r="X179" s="92">
        <f t="shared" si="139"/>
        <v>3.9897241972542812</v>
      </c>
      <c r="Y179" s="92">
        <f t="shared" si="137"/>
        <v>3.8025552506735423</v>
      </c>
      <c r="Z179" s="92">
        <f t="shared" si="137"/>
        <v>3.4377056713575702</v>
      </c>
      <c r="AA179" s="92">
        <f t="shared" si="137"/>
        <v>4.03687378337822</v>
      </c>
      <c r="AB179" s="92">
        <f t="shared" si="137"/>
        <v>3.6427927093794974</v>
      </c>
      <c r="AC179" s="92">
        <f t="shared" si="137"/>
        <v>2.9311862611941799</v>
      </c>
      <c r="AD179" s="92">
        <f t="shared" si="137"/>
        <v>3.0965051103762993</v>
      </c>
      <c r="AE179" s="92">
        <f t="shared" si="138"/>
        <v>3.5097582494438311</v>
      </c>
      <c r="AF179" s="92">
        <f t="shared" si="138"/>
        <v>2.8656684575860143</v>
      </c>
      <c r="AG179" s="92">
        <f t="shared" si="138"/>
        <v>3.4958817703352612</v>
      </c>
      <c r="AH179" s="109">
        <f t="shared" si="138"/>
        <v>4.7020702632214464</v>
      </c>
      <c r="AI179" s="109">
        <f t="shared" si="138"/>
        <v>5.6143481118734222</v>
      </c>
      <c r="AJ179" s="109">
        <f t="shared" si="138"/>
        <v>6.0279543584809243</v>
      </c>
      <c r="AK179" s="109">
        <f t="shared" si="138"/>
        <v>6.5122816529824679</v>
      </c>
      <c r="AL179" s="109">
        <f t="shared" si="138"/>
        <v>7.3005428339194092</v>
      </c>
      <c r="AM179" s="109">
        <f t="shared" si="138"/>
        <v>7.8827397984119347</v>
      </c>
      <c r="AN179" s="109">
        <f t="shared" si="138"/>
        <v>8.4999020342029965</v>
      </c>
      <c r="AO179" s="109">
        <f t="shared" si="138"/>
        <v>9.0580278410097854</v>
      </c>
      <c r="AP179" s="109">
        <f t="shared" si="138"/>
        <v>9.6440936227018472</v>
      </c>
      <c r="AQ179" s="109">
        <f t="shared" si="138"/>
        <v>10.251532744645761</v>
      </c>
      <c r="AR179" s="109">
        <f t="shared" si="138"/>
        <v>10.820672117063644</v>
      </c>
      <c r="AS179" s="109">
        <f t="shared" si="138"/>
        <v>11.390497619693493</v>
      </c>
      <c r="AT179" s="109">
        <f t="shared" si="138"/>
        <v>11.949127447565992</v>
      </c>
      <c r="AU179" s="109">
        <f t="shared" si="138"/>
        <v>12.508160552229574</v>
      </c>
      <c r="AV179" s="109">
        <f t="shared" si="138"/>
        <v>13.061970372858353</v>
      </c>
      <c r="AW179" s="109">
        <f t="shared" si="138"/>
        <v>13.60502547593077</v>
      </c>
      <c r="AX179" s="109">
        <f t="shared" si="138"/>
        <v>14.143451311558218</v>
      </c>
      <c r="AY179" s="109">
        <f t="shared" si="138"/>
        <v>14.675220205689579</v>
      </c>
      <c r="AZ179" s="109">
        <f t="shared" si="138"/>
        <v>15.201883643013465</v>
      </c>
      <c r="BA179" s="109">
        <f t="shared" si="138"/>
        <v>15.722169821925629</v>
      </c>
      <c r="BB179" s="109">
        <f t="shared" si="138"/>
        <v>16.235855284211034</v>
      </c>
      <c r="BC179" s="109">
        <f t="shared" si="138"/>
        <v>16.743813901270354</v>
      </c>
      <c r="BD179" s="109">
        <f t="shared" si="138"/>
        <v>17.245690094533977</v>
      </c>
      <c r="BE179" s="109">
        <f t="shared" si="138"/>
        <v>17.741742777619383</v>
      </c>
      <c r="BF179" s="109">
        <f t="shared" si="138"/>
        <v>18.231760176227354</v>
      </c>
      <c r="BV179" s="76"/>
      <c r="BW179" s="76"/>
      <c r="BX179" s="76"/>
      <c r="BY179" s="76"/>
    </row>
    <row r="180" spans="1:77">
      <c r="A180" s="69" t="s">
        <v>40</v>
      </c>
      <c r="X180" s="92">
        <f t="shared" si="139"/>
        <v>4.6556760926368179</v>
      </c>
      <c r="Y180" s="92">
        <f t="shared" si="137"/>
        <v>4.1470355289320846</v>
      </c>
      <c r="Z180" s="92">
        <f t="shared" si="137"/>
        <v>3.278497165452678</v>
      </c>
      <c r="AA180" s="92">
        <f t="shared" si="137"/>
        <v>3.5403360109312132</v>
      </c>
      <c r="AB180" s="92">
        <f t="shared" si="137"/>
        <v>4.1310932823819488</v>
      </c>
      <c r="AC180" s="92">
        <f t="shared" si="137"/>
        <v>2.933840644500239</v>
      </c>
      <c r="AD180" s="92">
        <f t="shared" si="137"/>
        <v>3.1122058202085388</v>
      </c>
      <c r="AE180" s="92">
        <f t="shared" si="138"/>
        <v>3.5886819908148904</v>
      </c>
      <c r="AF180" s="92">
        <f t="shared" si="138"/>
        <v>2.7813377709167764</v>
      </c>
      <c r="AG180" s="92">
        <f t="shared" si="138"/>
        <v>4.6030210646337313</v>
      </c>
      <c r="AH180" s="109">
        <f t="shared" si="138"/>
        <v>4.8066824475860646</v>
      </c>
      <c r="AI180" s="109">
        <f t="shared" si="138"/>
        <v>5.7226195251711562</v>
      </c>
      <c r="AJ180" s="109">
        <f t="shared" si="138"/>
        <v>6.1514563864190999</v>
      </c>
      <c r="AK180" s="109">
        <f t="shared" si="138"/>
        <v>6.6284865821439638</v>
      </c>
      <c r="AL180" s="109">
        <f t="shared" si="138"/>
        <v>7.4811612976152677</v>
      </c>
      <c r="AM180" s="109">
        <f t="shared" si="138"/>
        <v>8.0213214241757527</v>
      </c>
      <c r="AN180" s="109">
        <f t="shared" si="138"/>
        <v>8.6406321795850491</v>
      </c>
      <c r="AO180" s="109">
        <f t="shared" si="138"/>
        <v>9.2059375765581688</v>
      </c>
      <c r="AP180" s="109">
        <f t="shared" si="138"/>
        <v>9.7958838997578592</v>
      </c>
      <c r="AQ180" s="109">
        <f t="shared" si="138"/>
        <v>10.409902472158766</v>
      </c>
      <c r="AR180" s="109">
        <f t="shared" si="138"/>
        <v>10.97454316140414</v>
      </c>
      <c r="AS180" s="109">
        <f t="shared" si="138"/>
        <v>11.546644881021148</v>
      </c>
      <c r="AT180" s="109">
        <f t="shared" si="138"/>
        <v>12.108673485357627</v>
      </c>
      <c r="AU180" s="109">
        <f t="shared" si="138"/>
        <v>12.669732479042271</v>
      </c>
      <c r="AV180" s="109">
        <f t="shared" si="138"/>
        <v>13.225401762786422</v>
      </c>
      <c r="AW180" s="109">
        <f t="shared" si="138"/>
        <v>13.769340921566076</v>
      </c>
      <c r="AX180" s="109">
        <f t="shared" si="138"/>
        <v>14.309677116112239</v>
      </c>
      <c r="AY180" s="109">
        <f t="shared" si="138"/>
        <v>14.843420228976914</v>
      </c>
      <c r="AZ180" s="109">
        <f t="shared" si="138"/>
        <v>15.371632807608915</v>
      </c>
      <c r="BA180" s="109">
        <f t="shared" si="138"/>
        <v>15.893447729407988</v>
      </c>
      <c r="BB180" s="109">
        <f t="shared" si="138"/>
        <v>16.408574268766948</v>
      </c>
      <c r="BC180" s="109">
        <f t="shared" si="138"/>
        <v>16.918096758849085</v>
      </c>
      <c r="BD180" s="109">
        <f t="shared" si="138"/>
        <v>17.421474631803321</v>
      </c>
      <c r="BE180" s="109">
        <f t="shared" si="138"/>
        <v>17.918914222574401</v>
      </c>
      <c r="BF180" s="109">
        <f t="shared" si="138"/>
        <v>18.410306372514832</v>
      </c>
      <c r="BV180" s="76"/>
      <c r="BW180" s="76"/>
      <c r="BX180" s="76"/>
      <c r="BY180" s="76"/>
    </row>
    <row r="181" spans="1:77">
      <c r="A181" s="69" t="s">
        <v>30</v>
      </c>
      <c r="X181" s="92">
        <f t="shared" si="139"/>
        <v>4.4731347922261762</v>
      </c>
      <c r="Y181" s="92">
        <f t="shared" si="137"/>
        <v>4.5750715684107162</v>
      </c>
      <c r="Z181" s="92">
        <f t="shared" si="137"/>
        <v>3.4598114723868516</v>
      </c>
      <c r="AA181" s="92">
        <f t="shared" si="137"/>
        <v>4.264850753290113</v>
      </c>
      <c r="AB181" s="92">
        <f t="shared" si="137"/>
        <v>4.2909671700473373</v>
      </c>
      <c r="AC181" s="92">
        <f t="shared" si="137"/>
        <v>2.9386262981120912</v>
      </c>
      <c r="AD181" s="92">
        <f t="shared" si="137"/>
        <v>3.103656450526687</v>
      </c>
      <c r="AE181" s="92">
        <f t="shared" si="138"/>
        <v>3.4572674241184571</v>
      </c>
      <c r="AF181" s="92">
        <f t="shared" si="138"/>
        <v>2.8742681916888286</v>
      </c>
      <c r="AG181" s="92">
        <f t="shared" si="138"/>
        <v>5.0951403637143686</v>
      </c>
      <c r="AH181" s="109">
        <f t="shared" si="138"/>
        <v>4.8097969169294021</v>
      </c>
      <c r="AI181" s="109">
        <f t="shared" si="138"/>
        <v>5.6670942564299844</v>
      </c>
      <c r="AJ181" s="109">
        <f t="shared" si="138"/>
        <v>6.0962976907910607</v>
      </c>
      <c r="AK181" s="109">
        <f t="shared" si="138"/>
        <v>6.6402407889600976</v>
      </c>
      <c r="AL181" s="109">
        <f t="shared" si="138"/>
        <v>7.4430236625318651</v>
      </c>
      <c r="AM181" s="109">
        <f t="shared" si="138"/>
        <v>7.9966846259206044</v>
      </c>
      <c r="AN181" s="109">
        <f t="shared" si="138"/>
        <v>8.6193732799979124</v>
      </c>
      <c r="AO181" s="109">
        <f t="shared" si="138"/>
        <v>9.1944154980758839</v>
      </c>
      <c r="AP181" s="109">
        <f t="shared" si="138"/>
        <v>9.7947339433088914</v>
      </c>
      <c r="AQ181" s="109">
        <f t="shared" si="138"/>
        <v>10.405783324030534</v>
      </c>
      <c r="AR181" s="109">
        <f t="shared" si="138"/>
        <v>10.977565446836646</v>
      </c>
      <c r="AS181" s="109">
        <f t="shared" si="138"/>
        <v>11.554409815802106</v>
      </c>
      <c r="AT181" s="109">
        <f t="shared" si="138"/>
        <v>12.122551524243191</v>
      </c>
      <c r="AU181" s="109">
        <f t="shared" si="138"/>
        <v>12.688385800239089</v>
      </c>
      <c r="AV181" s="109">
        <f t="shared" si="138"/>
        <v>13.247673733679493</v>
      </c>
      <c r="AW181" s="109">
        <f t="shared" si="138"/>
        <v>13.796739607300355</v>
      </c>
      <c r="AX181" s="109">
        <f t="shared" si="138"/>
        <v>14.341671498946054</v>
      </c>
      <c r="AY181" s="109">
        <f t="shared" si="138"/>
        <v>14.880151786177045</v>
      </c>
      <c r="AZ181" s="109">
        <f t="shared" si="138"/>
        <v>15.412662970405847</v>
      </c>
      <c r="BA181" s="109">
        <f t="shared" si="138"/>
        <v>15.938741876503018</v>
      </c>
      <c r="BB181" s="109">
        <f t="shared" si="138"/>
        <v>16.458285824591169</v>
      </c>
      <c r="BC181" s="109">
        <f t="shared" si="138"/>
        <v>16.972059433595209</v>
      </c>
      <c r="BD181" s="109">
        <f t="shared" si="138"/>
        <v>17.479644538863429</v>
      </c>
      <c r="BE181" s="109">
        <f t="shared" si="138"/>
        <v>17.981158120745153</v>
      </c>
      <c r="BF181" s="109">
        <f t="shared" si="138"/>
        <v>18.476603296258737</v>
      </c>
      <c r="BV181" s="76"/>
      <c r="BW181" s="76"/>
      <c r="BX181" s="76"/>
      <c r="BY181" s="76"/>
    </row>
    <row r="182" spans="1:77">
      <c r="A182" s="69" t="s">
        <v>31</v>
      </c>
      <c r="X182" s="92">
        <f t="shared" si="139"/>
        <v>4.4906645226634128</v>
      </c>
      <c r="Y182" s="92">
        <f t="shared" si="137"/>
        <v>4.1374404177593513</v>
      </c>
      <c r="Z182" s="92">
        <f>Z343/Z$205</f>
        <v>3.1503034715436096</v>
      </c>
      <c r="AA182" s="92">
        <f>AA343/AA$205</f>
        <v>4.1226622811192364</v>
      </c>
      <c r="AB182" s="92">
        <f t="shared" si="137"/>
        <v>4.4410404375888506</v>
      </c>
      <c r="AC182" s="92">
        <f t="shared" si="137"/>
        <v>2.8683505791830117</v>
      </c>
      <c r="AD182" s="92">
        <f t="shared" si="137"/>
        <v>3.0147337201064026</v>
      </c>
      <c r="AE182" s="92">
        <f t="shared" si="138"/>
        <v>3.270597245679165</v>
      </c>
      <c r="AF182" s="92">
        <f t="shared" si="138"/>
        <v>2.9162206354338349</v>
      </c>
      <c r="AG182" s="109">
        <f t="shared" si="138"/>
        <v>4.750403418306214</v>
      </c>
      <c r="AH182" s="109">
        <f t="shared" si="138"/>
        <v>4.5767645967993635</v>
      </c>
      <c r="AI182" s="109">
        <f t="shared" si="138"/>
        <v>5.4847624499767997</v>
      </c>
      <c r="AJ182" s="109">
        <f t="shared" si="138"/>
        <v>5.9240173799133276</v>
      </c>
      <c r="AK182" s="109">
        <f t="shared" si="138"/>
        <v>6.5200312893617225</v>
      </c>
      <c r="AL182" s="109">
        <f t="shared" si="138"/>
        <v>7.2674320793830027</v>
      </c>
      <c r="AM182" s="109">
        <f t="shared" si="138"/>
        <v>7.7920740958596095</v>
      </c>
      <c r="AN182" s="109">
        <f t="shared" si="138"/>
        <v>8.4323801289256153</v>
      </c>
      <c r="AO182" s="109">
        <f t="shared" si="138"/>
        <v>9.0026939854753927</v>
      </c>
      <c r="AP182" s="109">
        <f t="shared" si="138"/>
        <v>9.5973861053959322</v>
      </c>
      <c r="AQ182" s="109">
        <f t="shared" si="138"/>
        <v>10.194220725045499</v>
      </c>
      <c r="AR182" s="109">
        <f t="shared" si="138"/>
        <v>10.761262219778512</v>
      </c>
      <c r="AS182" s="109">
        <f t="shared" si="138"/>
        <v>11.336099150286172</v>
      </c>
      <c r="AT182" s="109">
        <f t="shared" si="138"/>
        <v>11.896871292394581</v>
      </c>
      <c r="AU182" s="109">
        <f t="shared" si="138"/>
        <v>12.456364949254551</v>
      </c>
      <c r="AV182" s="109">
        <f t="shared" si="138"/>
        <v>13.009497195385475</v>
      </c>
      <c r="AW182" s="109">
        <f t="shared" si="138"/>
        <v>13.553781392799834</v>
      </c>
      <c r="AX182" s="109">
        <f t="shared" si="138"/>
        <v>14.093454447266087</v>
      </c>
      <c r="AY182" s="109">
        <f t="shared" si="138"/>
        <v>14.626089015767818</v>
      </c>
      <c r="AZ182" s="109">
        <f t="shared" si="138"/>
        <v>15.153390775867605</v>
      </c>
      <c r="BA182" s="109">
        <f t="shared" si="138"/>
        <v>15.674387892845077</v>
      </c>
      <c r="BB182" s="109">
        <f t="shared" si="138"/>
        <v>16.188985094810121</v>
      </c>
      <c r="BC182" s="109">
        <f t="shared" si="138"/>
        <v>16.697733369652035</v>
      </c>
      <c r="BD182" s="109">
        <f t="shared" si="138"/>
        <v>17.200399503399975</v>
      </c>
      <c r="BE182" s="109">
        <f t="shared" si="138"/>
        <v>17.697208371582779</v>
      </c>
      <c r="BF182" s="109">
        <f t="shared" si="138"/>
        <v>18.188004652370438</v>
      </c>
      <c r="BV182" s="76"/>
      <c r="BW182" s="76"/>
      <c r="BX182" s="76"/>
      <c r="BY182" s="76"/>
    </row>
    <row r="183" spans="1:77">
      <c r="A183" s="69" t="s">
        <v>32</v>
      </c>
      <c r="X183" s="92">
        <f t="shared" si="139"/>
        <v>5.6462042407520796</v>
      </c>
      <c r="Y183" s="92">
        <f t="shared" si="137"/>
        <v>4.6479426332982694</v>
      </c>
      <c r="Z183" s="92">
        <f t="shared" si="137"/>
        <v>3.323771839937895</v>
      </c>
      <c r="AA183" s="92">
        <f t="shared" si="137"/>
        <v>4.1230937920367952</v>
      </c>
      <c r="AB183" s="92">
        <f t="shared" si="137"/>
        <v>4.3706432820661005</v>
      </c>
      <c r="AC183" s="92">
        <f t="shared" si="137"/>
        <v>2.8337433631617817</v>
      </c>
      <c r="AD183" s="92">
        <f t="shared" si="137"/>
        <v>2.9708621544799994</v>
      </c>
      <c r="AE183" s="92">
        <f t="shared" si="137"/>
        <v>3.3729654751214486</v>
      </c>
      <c r="AF183" s="92">
        <f t="shared" si="137"/>
        <v>2.9272918294835573</v>
      </c>
      <c r="AG183" s="109">
        <f t="shared" si="138"/>
        <v>4.7245295929995486</v>
      </c>
      <c r="AH183" s="109">
        <f t="shared" si="138"/>
        <v>4.6069741993780902</v>
      </c>
      <c r="AI183" s="109">
        <f t="shared" si="138"/>
        <v>5.4856213927898798</v>
      </c>
      <c r="AJ183" s="109">
        <f t="shared" si="138"/>
        <v>5.9449902088877238</v>
      </c>
      <c r="AK183" s="109">
        <f t="shared" si="138"/>
        <v>6.4984275430499805</v>
      </c>
      <c r="AL183" s="109">
        <f t="shared" si="138"/>
        <v>7.2513286098915994</v>
      </c>
      <c r="AM183" s="109">
        <f t="shared" si="138"/>
        <v>7.79974245900251</v>
      </c>
      <c r="AN183" s="109">
        <f t="shared" si="138"/>
        <v>8.4505865821452861</v>
      </c>
      <c r="AO183" s="109">
        <f t="shared" si="138"/>
        <v>9.0254443680819882</v>
      </c>
      <c r="AP183" s="109">
        <f t="shared" si="138"/>
        <v>9.6251552658587443</v>
      </c>
      <c r="AQ183" s="109">
        <f t="shared" si="138"/>
        <v>10.230388425444207</v>
      </c>
      <c r="AR183" s="109">
        <f t="shared" si="138"/>
        <v>10.806398429322662</v>
      </c>
      <c r="AS183" s="109">
        <f t="shared" si="138"/>
        <v>11.389334638490601</v>
      </c>
      <c r="AT183" s="109">
        <f t="shared" si="138"/>
        <v>11.956949096174615</v>
      </c>
      <c r="AU183" s="109">
        <f t="shared" si="138"/>
        <v>12.523997856655708</v>
      </c>
      <c r="AV183" s="109">
        <f t="shared" si="138"/>
        <v>13.084069040247298</v>
      </c>
      <c r="AW183" s="109">
        <f t="shared" si="138"/>
        <v>13.635695880168882</v>
      </c>
      <c r="AX183" s="109">
        <f t="shared" si="138"/>
        <v>14.182623947258476</v>
      </c>
      <c r="AY183" s="109">
        <f t="shared" si="138"/>
        <v>14.722083597830522</v>
      </c>
      <c r="AZ183" s="109">
        <f t="shared" si="138"/>
        <v>15.256235699251558</v>
      </c>
      <c r="BA183" s="109">
        <f t="shared" si="138"/>
        <v>15.783829741704006</v>
      </c>
      <c r="BB183" s="109">
        <f t="shared" si="138"/>
        <v>16.305139274082812</v>
      </c>
      <c r="BC183" s="109">
        <f t="shared" si="138"/>
        <v>16.820437423968173</v>
      </c>
      <c r="BD183" s="109">
        <f t="shared" si="138"/>
        <v>17.329470710912133</v>
      </c>
      <c r="BE183" s="109">
        <f t="shared" si="138"/>
        <v>17.832574593438281</v>
      </c>
      <c r="BF183" s="109">
        <f t="shared" si="138"/>
        <v>18.329552797685082</v>
      </c>
      <c r="BV183" s="76"/>
      <c r="BW183" s="76"/>
      <c r="BX183" s="76"/>
      <c r="BY183" s="76"/>
    </row>
    <row r="184" spans="1:77">
      <c r="A184" s="69" t="s">
        <v>33</v>
      </c>
      <c r="X184" s="92">
        <f t="shared" si="139"/>
        <v>4.6550856071748541</v>
      </c>
      <c r="Y184" s="92">
        <f t="shared" si="137"/>
        <v>3.8645333883313175</v>
      </c>
      <c r="Z184" s="92">
        <f t="shared" si="137"/>
        <v>3.4073012818831612</v>
      </c>
      <c r="AA184" s="92">
        <f>AA345/AA$205</f>
        <v>3.9632601108122416</v>
      </c>
      <c r="AB184" s="92">
        <f t="shared" si="137"/>
        <v>3.1372574001647724</v>
      </c>
      <c r="AC184" s="92">
        <f t="shared" si="137"/>
        <v>2.7494363747770052</v>
      </c>
      <c r="AD184" s="92">
        <f t="shared" si="137"/>
        <v>3.0994446266093387</v>
      </c>
      <c r="AE184" s="92">
        <f t="shared" si="137"/>
        <v>3.3279729094518311</v>
      </c>
      <c r="AF184" s="92">
        <f t="shared" si="137"/>
        <v>2.9446590016380099</v>
      </c>
      <c r="AG184" s="109">
        <f t="shared" si="138"/>
        <v>4.1570024022142373</v>
      </c>
      <c r="AH184" s="109">
        <f t="shared" si="138"/>
        <v>4.3578808320633815</v>
      </c>
      <c r="AI184" s="109">
        <f t="shared" si="138"/>
        <v>5.3555601061567586</v>
      </c>
      <c r="AJ184" s="109">
        <f t="shared" si="138"/>
        <v>5.6936468206122557</v>
      </c>
      <c r="AK184" s="109">
        <f t="shared" si="138"/>
        <v>6.1995947155193827</v>
      </c>
      <c r="AL184" s="109">
        <f t="shared" si="138"/>
        <v>6.8816917008644527</v>
      </c>
      <c r="AM184" s="109">
        <f t="shared" si="138"/>
        <v>7.5161403678881973</v>
      </c>
      <c r="AN184" s="109">
        <f t="shared" si="138"/>
        <v>8.1456464035659923</v>
      </c>
      <c r="AO184" s="109">
        <f t="shared" si="138"/>
        <v>8.6793446400599326</v>
      </c>
      <c r="AP184" s="109">
        <f t="shared" si="138"/>
        <v>9.2588883904149615</v>
      </c>
      <c r="AQ184" s="109">
        <f t="shared" si="138"/>
        <v>9.8543682275367317</v>
      </c>
      <c r="AR184" s="109">
        <f t="shared" si="138"/>
        <v>10.433514257302422</v>
      </c>
      <c r="AS184" s="109">
        <f t="shared" si="138"/>
        <v>10.996096751257181</v>
      </c>
      <c r="AT184" s="109">
        <f t="shared" si="138"/>
        <v>11.546280011130266</v>
      </c>
      <c r="AU184" s="109">
        <f t="shared" si="138"/>
        <v>12.101560697431289</v>
      </c>
      <c r="AV184" s="109">
        <f t="shared" si="138"/>
        <v>12.65183553785562</v>
      </c>
      <c r="AW184" s="109">
        <f t="shared" si="138"/>
        <v>13.192908449090391</v>
      </c>
      <c r="AX184" s="109">
        <f t="shared" si="138"/>
        <v>13.725776625453483</v>
      </c>
      <c r="AY184" s="109">
        <f t="shared" si="138"/>
        <v>14.253425143908407</v>
      </c>
      <c r="AZ184" s="109">
        <f t="shared" si="138"/>
        <v>14.776783264109993</v>
      </c>
      <c r="BA184" s="109">
        <f t="shared" si="138"/>
        <v>15.293676751340637</v>
      </c>
      <c r="BB184" s="109">
        <f t="shared" si="138"/>
        <v>15.803935722740274</v>
      </c>
      <c r="BC184" s="109">
        <f t="shared" si="138"/>
        <v>16.308100471560756</v>
      </c>
      <c r="BD184" s="109">
        <f t="shared" si="138"/>
        <v>16.806761662960628</v>
      </c>
      <c r="BE184" s="109">
        <f t="shared" si="138"/>
        <v>17.299675849436113</v>
      </c>
      <c r="BF184" s="109">
        <f t="shared" si="138"/>
        <v>17.786562038383131</v>
      </c>
      <c r="BV184" s="76"/>
      <c r="BW184" s="76"/>
      <c r="BX184" s="76"/>
      <c r="BY184" s="76"/>
    </row>
    <row r="185" spans="1:77">
      <c r="A185" s="69" t="s">
        <v>14</v>
      </c>
      <c r="X185" s="92">
        <f t="shared" si="139"/>
        <v>4.7168997645600177</v>
      </c>
      <c r="Y185" s="92">
        <f t="shared" si="137"/>
        <v>4.6823920124974485</v>
      </c>
      <c r="Z185" s="92">
        <f t="shared" si="137"/>
        <v>3.6493846973319934</v>
      </c>
      <c r="AA185" s="92">
        <f>AA346/AA$205</f>
        <v>4.2327414099944383</v>
      </c>
      <c r="AB185" s="92">
        <f t="shared" si="137"/>
        <v>3.3310540413017096</v>
      </c>
      <c r="AC185" s="92">
        <f t="shared" si="137"/>
        <v>2.7478816687071479</v>
      </c>
      <c r="AD185" s="92">
        <f t="shared" si="137"/>
        <v>3.327015771799835</v>
      </c>
      <c r="AE185" s="92">
        <f t="shared" si="137"/>
        <v>3.4212042848825912</v>
      </c>
      <c r="AF185" s="92">
        <f t="shared" si="137"/>
        <v>2.9174469634008782</v>
      </c>
      <c r="AG185" s="109">
        <f t="shared" si="138"/>
        <v>4.4811104031752196</v>
      </c>
      <c r="AH185" s="109">
        <f t="shared" si="138"/>
        <v>4.7093374719538712</v>
      </c>
      <c r="AI185" s="109">
        <f t="shared" si="138"/>
        <v>5.6545937019554495</v>
      </c>
      <c r="AJ185" s="109">
        <f t="shared" si="138"/>
        <v>5.9568338973865789</v>
      </c>
      <c r="AK185" s="109">
        <f t="shared" si="138"/>
        <v>6.4750110574645161</v>
      </c>
      <c r="AL185" s="109">
        <f t="shared" si="138"/>
        <v>7.2324522283440684</v>
      </c>
      <c r="AM185" s="109">
        <f t="shared" si="138"/>
        <v>7.8596781613452587</v>
      </c>
      <c r="AN185" s="109">
        <f t="shared" si="138"/>
        <v>8.4799781383134487</v>
      </c>
      <c r="AO185" s="109">
        <f t="shared" si="138"/>
        <v>9.0304128508810759</v>
      </c>
      <c r="AP185" s="109">
        <f t="shared" si="138"/>
        <v>9.6249796272594015</v>
      </c>
      <c r="AQ185" s="109">
        <f t="shared" si="138"/>
        <v>10.236080735866459</v>
      </c>
      <c r="AR185" s="109">
        <f t="shared" si="138"/>
        <v>10.815689300367413</v>
      </c>
      <c r="AS185" s="109">
        <f t="shared" si="138"/>
        <v>11.388979213945886</v>
      </c>
      <c r="AT185" s="109">
        <f t="shared" si="138"/>
        <v>11.951781891947617</v>
      </c>
      <c r="AU185" s="109">
        <f t="shared" si="138"/>
        <v>12.516108848449484</v>
      </c>
      <c r="AV185" s="109">
        <f t="shared" si="138"/>
        <v>13.07510845697446</v>
      </c>
      <c r="AW185" s="109">
        <f t="shared" si="138"/>
        <v>13.623667149235047</v>
      </c>
      <c r="AX185" s="109">
        <f t="shared" si="138"/>
        <v>14.16664238010476</v>
      </c>
      <c r="AY185" s="109">
        <f t="shared" si="138"/>
        <v>14.703190351549575</v>
      </c>
      <c r="AZ185" s="109">
        <f t="shared" si="138"/>
        <v>15.234584819368344</v>
      </c>
      <c r="BA185" s="109">
        <f t="shared" si="138"/>
        <v>15.759641705410548</v>
      </c>
      <c r="BB185" s="109">
        <f t="shared" si="138"/>
        <v>16.277981993468526</v>
      </c>
      <c r="BC185" s="109">
        <f t="shared" si="138"/>
        <v>16.790430592666791</v>
      </c>
      <c r="BD185" s="109">
        <f t="shared" si="138"/>
        <v>17.296780088888205</v>
      </c>
      <c r="BE185" s="109">
        <f t="shared" si="138"/>
        <v>17.797233397210022</v>
      </c>
      <c r="BF185" s="109">
        <f t="shared" si="138"/>
        <v>18.29161552278465</v>
      </c>
      <c r="BV185" s="76"/>
      <c r="BW185" s="76"/>
      <c r="BX185" s="76"/>
      <c r="BY185" s="76"/>
    </row>
    <row r="186" spans="1:77">
      <c r="A186" s="69" t="s">
        <v>34</v>
      </c>
      <c r="X186" s="92">
        <f t="shared" si="139"/>
        <v>4.5021220224530198</v>
      </c>
      <c r="Y186" s="92">
        <f t="shared" si="137"/>
        <v>4.2876357750200382</v>
      </c>
      <c r="Z186" s="92">
        <f t="shared" si="137"/>
        <v>3.8205412610162499</v>
      </c>
      <c r="AA186" s="92">
        <f>AA347/AA$205</f>
        <v>4.0080624582852655</v>
      </c>
      <c r="AB186" s="92">
        <f t="shared" si="137"/>
        <v>2.992096429177284</v>
      </c>
      <c r="AC186" s="92">
        <f t="shared" si="137"/>
        <v>2.8072481048300424</v>
      </c>
      <c r="AD186" s="92">
        <f t="shared" si="137"/>
        <v>3.9432738500649323</v>
      </c>
      <c r="AE186" s="92">
        <f t="shared" si="137"/>
        <v>3.397974036520397</v>
      </c>
      <c r="AF186" s="92">
        <f t="shared" si="137"/>
        <v>3.0426777565590228</v>
      </c>
      <c r="AG186" s="109">
        <f t="shared" si="138"/>
        <v>4.5940292074462041</v>
      </c>
      <c r="AH186" s="109">
        <f t="shared" si="138"/>
        <v>5.0681731720021039</v>
      </c>
      <c r="AI186" s="109">
        <f t="shared" si="138"/>
        <v>6.2357845948850459</v>
      </c>
      <c r="AJ186" s="109">
        <f t="shared" si="138"/>
        <v>6.2941606700633939</v>
      </c>
      <c r="AK186" s="109">
        <f t="shared" si="138"/>
        <v>6.9261899777436167</v>
      </c>
      <c r="AL186" s="109">
        <f t="shared" si="138"/>
        <v>7.6512143510571589</v>
      </c>
      <c r="AM186" s="109">
        <f t="shared" si="138"/>
        <v>8.3414322619931589</v>
      </c>
      <c r="AN186" s="109">
        <f t="shared" si="138"/>
        <v>8.931356556920214</v>
      </c>
      <c r="AO186" s="109">
        <f t="shared" si="138"/>
        <v>9.4459796038380475</v>
      </c>
      <c r="AP186" s="109">
        <f t="shared" si="138"/>
        <v>10.054440398067507</v>
      </c>
      <c r="AQ186" s="109">
        <f t="shared" ref="AQ186:BF188" si="140">AQ347/AQ$205</f>
        <v>10.657902351679599</v>
      </c>
      <c r="AR186" s="109">
        <f t="shared" si="140"/>
        <v>11.238722475599833</v>
      </c>
      <c r="AS186" s="109">
        <f t="shared" si="140"/>
        <v>11.799050347320469</v>
      </c>
      <c r="AT186" s="109">
        <f t="shared" si="140"/>
        <v>12.353666736201962</v>
      </c>
      <c r="AU186" s="109">
        <f t="shared" si="140"/>
        <v>12.915841715001797</v>
      </c>
      <c r="AV186" s="109">
        <f t="shared" si="140"/>
        <v>13.468885546606288</v>
      </c>
      <c r="AW186" s="109">
        <f t="shared" si="140"/>
        <v>14.01217628287479</v>
      </c>
      <c r="AX186" s="109">
        <f t="shared" si="140"/>
        <v>14.548036706594887</v>
      </c>
      <c r="AY186" s="109">
        <f t="shared" si="140"/>
        <v>15.0791384585901</v>
      </c>
      <c r="AZ186" s="109">
        <f t="shared" si="140"/>
        <v>15.60553377089275</v>
      </c>
      <c r="BA186" s="109">
        <f t="shared" si="140"/>
        <v>16.124909625543435</v>
      </c>
      <c r="BB186" s="109">
        <f t="shared" si="140"/>
        <v>16.637695092143307</v>
      </c>
      <c r="BC186" s="109">
        <f t="shared" si="140"/>
        <v>17.144462298543029</v>
      </c>
      <c r="BD186" s="109">
        <f t="shared" si="140"/>
        <v>17.6455189243155</v>
      </c>
      <c r="BE186" s="109">
        <f t="shared" si="140"/>
        <v>18.140646792847434</v>
      </c>
      <c r="BF186" s="109">
        <f t="shared" si="140"/>
        <v>18.62963419358698</v>
      </c>
      <c r="BV186" s="76"/>
      <c r="BW186" s="76"/>
      <c r="BX186" s="76"/>
      <c r="BY186" s="76"/>
    </row>
    <row r="187" spans="1:77">
      <c r="A187" s="69" t="s">
        <v>35</v>
      </c>
      <c r="X187" s="92">
        <f t="shared" si="139"/>
        <v>4.2740510341649971</v>
      </c>
      <c r="Y187" s="92">
        <f t="shared" si="137"/>
        <v>3.9235785505714511</v>
      </c>
      <c r="Z187" s="92">
        <f t="shared" si="137"/>
        <v>3.7346484773864992</v>
      </c>
      <c r="AA187" s="92">
        <f>AA348/AA$205</f>
        <v>4.4963545800777043</v>
      </c>
      <c r="AB187" s="92">
        <f t="shared" si="137"/>
        <v>2.9227139230096304</v>
      </c>
      <c r="AC187" s="92">
        <f t="shared" si="137"/>
        <v>2.7889025429387795</v>
      </c>
      <c r="AD187" s="92">
        <f t="shared" si="137"/>
        <v>3.9912576808571258</v>
      </c>
      <c r="AE187" s="92">
        <f t="shared" si="137"/>
        <v>3.4241881940368208</v>
      </c>
      <c r="AF187" s="92">
        <f t="shared" si="137"/>
        <v>3.0566665371897774</v>
      </c>
      <c r="AG187" s="109">
        <f t="shared" si="137"/>
        <v>4.5694056964172622</v>
      </c>
      <c r="AH187" s="109">
        <f t="shared" si="137"/>
        <v>5.0524641960165084</v>
      </c>
      <c r="AI187" s="109">
        <f t="shared" si="137"/>
        <v>6.2781052366624222</v>
      </c>
      <c r="AJ187" s="109">
        <f t="shared" si="137"/>
        <v>6.3119818989797549</v>
      </c>
      <c r="AK187" s="109">
        <f t="shared" si="137"/>
        <v>6.9358548695826423</v>
      </c>
      <c r="AL187" s="109">
        <f t="shared" si="137"/>
        <v>7.6544424899547954</v>
      </c>
      <c r="AM187" s="109">
        <f t="shared" si="137"/>
        <v>8.3521645569522587</v>
      </c>
      <c r="AN187" s="109">
        <f t="shared" si="137"/>
        <v>8.9463570073542549</v>
      </c>
      <c r="AO187" s="109">
        <f t="shared" ref="AO187:AY188" si="141">AO348/AO$205</f>
        <v>9.4519803282621133</v>
      </c>
      <c r="AP187" s="109">
        <f t="shared" si="141"/>
        <v>10.059187971399892</v>
      </c>
      <c r="AQ187" s="109">
        <f t="shared" si="141"/>
        <v>10.661497644111321</v>
      </c>
      <c r="AR187" s="109">
        <f t="shared" si="141"/>
        <v>11.241977041179943</v>
      </c>
      <c r="AS187" s="109">
        <f t="shared" si="141"/>
        <v>11.801364321160714</v>
      </c>
      <c r="AT187" s="109">
        <f t="shared" si="141"/>
        <v>12.352914581911948</v>
      </c>
      <c r="AU187" s="109">
        <f t="shared" si="141"/>
        <v>12.914257087350562</v>
      </c>
      <c r="AV187" s="109">
        <f t="shared" si="141"/>
        <v>13.46595391065752</v>
      </c>
      <c r="AW187" s="109">
        <f t="shared" si="141"/>
        <v>14.007986199245742</v>
      </c>
      <c r="AX187" s="109">
        <f t="shared" si="141"/>
        <v>14.542466394599003</v>
      </c>
      <c r="AY187" s="109">
        <f t="shared" si="141"/>
        <v>15.071970302232772</v>
      </c>
      <c r="AZ187" s="109">
        <f t="shared" si="140"/>
        <v>15.597239507305519</v>
      </c>
      <c r="BA187" s="109">
        <f t="shared" si="140"/>
        <v>16.115279259898472</v>
      </c>
      <c r="BB187" s="109">
        <f t="shared" si="140"/>
        <v>16.626795886941462</v>
      </c>
      <c r="BC187" s="109">
        <f t="shared" si="140"/>
        <v>17.132280692222444</v>
      </c>
      <c r="BD187" s="109">
        <f t="shared" si="140"/>
        <v>17.632065772120448</v>
      </c>
      <c r="BE187" s="109">
        <f t="shared" si="140"/>
        <v>18.126008937330052</v>
      </c>
      <c r="BF187" s="109">
        <f t="shared" si="140"/>
        <v>18.613770781945647</v>
      </c>
      <c r="BV187" s="76"/>
      <c r="BW187" s="76"/>
      <c r="BX187" s="76"/>
      <c r="BY187" s="76"/>
    </row>
    <row r="188" spans="1:77">
      <c r="A188" s="69" t="s">
        <v>36</v>
      </c>
      <c r="X188" s="92">
        <f t="shared" si="139"/>
        <v>3.9535711412213081</v>
      </c>
      <c r="Y188" s="92">
        <f t="shared" si="137"/>
        <v>3.6629564555953693</v>
      </c>
      <c r="Z188" s="92">
        <f t="shared" si="137"/>
        <v>3.7891943339403062</v>
      </c>
      <c r="AA188" s="92">
        <f>AA349/AA$205</f>
        <v>4.4872386189975542</v>
      </c>
      <c r="AB188" s="92">
        <f t="shared" si="137"/>
        <v>2.9143317469079384</v>
      </c>
      <c r="AC188" s="92">
        <f t="shared" si="137"/>
        <v>2.7354193013204866</v>
      </c>
      <c r="AD188" s="92">
        <f t="shared" si="137"/>
        <v>10.13972074915687</v>
      </c>
      <c r="AE188" s="92">
        <f t="shared" si="137"/>
        <v>3.4920199318993124</v>
      </c>
      <c r="AF188" s="92">
        <f t="shared" si="137"/>
        <v>3.1407279400797132</v>
      </c>
      <c r="AG188" s="109">
        <f t="shared" si="137"/>
        <v>5.366328868654402</v>
      </c>
      <c r="AH188" s="109">
        <f t="shared" si="137"/>
        <v>4.6718771322517352</v>
      </c>
      <c r="AI188" s="109">
        <f t="shared" si="137"/>
        <v>5.9562499275862724</v>
      </c>
      <c r="AJ188" s="109">
        <f t="shared" si="137"/>
        <v>6.5517728189234044</v>
      </c>
      <c r="AK188" s="109">
        <f t="shared" si="137"/>
        <v>7.2053835561444357</v>
      </c>
      <c r="AL188" s="109">
        <f t="shared" si="137"/>
        <v>7.8746044414412379</v>
      </c>
      <c r="AM188" s="109">
        <f t="shared" si="137"/>
        <v>8.3034433425228755</v>
      </c>
      <c r="AN188" s="109">
        <f t="shared" si="137"/>
        <v>9.0165452076607444</v>
      </c>
      <c r="AO188" s="109">
        <f t="shared" si="141"/>
        <v>9.5842304605180022</v>
      </c>
      <c r="AP188" s="109">
        <f t="shared" si="141"/>
        <v>10.170699356107518</v>
      </c>
      <c r="AQ188" s="109">
        <f t="shared" si="141"/>
        <v>10.73946089553411</v>
      </c>
      <c r="AR188" s="109">
        <f t="shared" si="141"/>
        <v>11.297757423859364</v>
      </c>
      <c r="AS188" s="109">
        <f t="shared" si="141"/>
        <v>11.874820556188027</v>
      </c>
      <c r="AT188" s="109">
        <f t="shared" si="141"/>
        <v>12.424109298584288</v>
      </c>
      <c r="AU188" s="109">
        <f t="shared" si="141"/>
        <v>12.975270523010618</v>
      </c>
      <c r="AV188" s="109">
        <f t="shared" si="141"/>
        <v>13.517384526284303</v>
      </c>
      <c r="AW188" s="109">
        <f t="shared" si="141"/>
        <v>14.055115520156946</v>
      </c>
      <c r="AX188" s="109">
        <f t="shared" si="141"/>
        <v>14.587021012194313</v>
      </c>
      <c r="AY188" s="109">
        <f t="shared" si="141"/>
        <v>15.110830689054035</v>
      </c>
      <c r="AZ188" s="109">
        <f t="shared" si="140"/>
        <v>15.630291655995057</v>
      </c>
      <c r="BA188" s="109">
        <f t="shared" si="140"/>
        <v>16.142925846040395</v>
      </c>
      <c r="BB188" s="109">
        <f t="shared" si="140"/>
        <v>16.649921890460273</v>
      </c>
      <c r="BC188" s="109">
        <f t="shared" si="140"/>
        <v>17.150618816925114</v>
      </c>
      <c r="BD188" s="109">
        <f t="shared" si="140"/>
        <v>17.645436621187933</v>
      </c>
      <c r="BE188" s="109">
        <f t="shared" si="140"/>
        <v>18.134546736791574</v>
      </c>
      <c r="BF188" s="109">
        <f t="shared" si="140"/>
        <v>18.617576271092513</v>
      </c>
      <c r="BV188" s="76"/>
      <c r="BW188" s="76"/>
      <c r="BX188" s="76"/>
      <c r="BY188" s="76"/>
    </row>
    <row r="189" spans="1:77" ht="12" thickBot="1">
      <c r="A189" s="69" t="s">
        <v>138</v>
      </c>
      <c r="Y189" s="92">
        <f t="shared" ref="Y189:BF189" si="142">SUM(Y177:Y188)</f>
        <v>49.053817426956122</v>
      </c>
      <c r="Z189" s="92">
        <f t="shared" si="142"/>
        <v>41.734191430680589</v>
      </c>
      <c r="AA189" s="92">
        <f t="shared" si="142"/>
        <v>48.954711976584157</v>
      </c>
      <c r="AB189" s="92">
        <f t="shared" si="142"/>
        <v>44.472273209528893</v>
      </c>
      <c r="AC189" s="92">
        <f t="shared" si="142"/>
        <v>34.195451323415178</v>
      </c>
      <c r="AD189" s="92">
        <f t="shared" si="142"/>
        <v>45.379781827398531</v>
      </c>
      <c r="AE189" s="92">
        <f t="shared" si="142"/>
        <v>41.538945420938148</v>
      </c>
      <c r="AF189" s="92">
        <f t="shared" si="142"/>
        <v>35.579590335807019</v>
      </c>
      <c r="AG189" s="109">
        <f t="shared" si="142"/>
        <v>52.007602929615736</v>
      </c>
      <c r="AH189" s="109">
        <f>SUM(AH177:AH188)</f>
        <v>56.399010492041214</v>
      </c>
      <c r="AI189" s="109">
        <f t="shared" si="142"/>
        <v>68.122420285782638</v>
      </c>
      <c r="AJ189" s="109">
        <f t="shared" si="142"/>
        <v>72.711319562244014</v>
      </c>
      <c r="AK189" s="109">
        <f t="shared" si="142"/>
        <v>79.038974261817245</v>
      </c>
      <c r="AL189" s="109">
        <f t="shared" si="142"/>
        <v>87.829688941817508</v>
      </c>
      <c r="AM189" s="109">
        <f t="shared" si="142"/>
        <v>95.081810135259815</v>
      </c>
      <c r="AN189" s="109">
        <f t="shared" si="142"/>
        <v>102.60715893087692</v>
      </c>
      <c r="AO189" s="109">
        <f t="shared" si="142"/>
        <v>109.24719555414713</v>
      </c>
      <c r="AP189" s="109">
        <f t="shared" si="142"/>
        <v>116.32093036266548</v>
      </c>
      <c r="AQ189" s="109">
        <f t="shared" si="142"/>
        <v>123.54225107722098</v>
      </c>
      <c r="AR189" s="109">
        <f t="shared" si="142"/>
        <v>130.4515250220156</v>
      </c>
      <c r="AS189" s="109">
        <f t="shared" si="142"/>
        <v>137.29614767400057</v>
      </c>
      <c r="AT189" s="109">
        <f t="shared" si="142"/>
        <v>143.99882510414525</v>
      </c>
      <c r="AU189" s="109">
        <f t="shared" si="142"/>
        <v>150.72097789794606</v>
      </c>
      <c r="AV189" s="109">
        <f t="shared" si="142"/>
        <v>157.37241009040613</v>
      </c>
      <c r="AW189" s="109">
        <f t="shared" si="142"/>
        <v>163.91155282210451</v>
      </c>
      <c r="AX189" s="109">
        <f t="shared" si="142"/>
        <v>170.37776833674212</v>
      </c>
      <c r="AY189" s="109">
        <f t="shared" si="142"/>
        <v>176.76885665096091</v>
      </c>
      <c r="AZ189" s="109">
        <f t="shared" si="142"/>
        <v>183.09994112041068</v>
      </c>
      <c r="BA189" s="109">
        <f t="shared" si="142"/>
        <v>189.35351316324565</v>
      </c>
      <c r="BB189" s="109">
        <f t="shared" si="142"/>
        <v>195.52888789829299</v>
      </c>
      <c r="BC189" s="109">
        <f t="shared" si="142"/>
        <v>201.63263521205536</v>
      </c>
      <c r="BD189" s="109">
        <f t="shared" si="142"/>
        <v>207.66508879729096</v>
      </c>
      <c r="BE189" s="109">
        <f t="shared" si="142"/>
        <v>213.62716254617158</v>
      </c>
      <c r="BF189" s="109">
        <f t="shared" si="142"/>
        <v>219.51649888678827</v>
      </c>
    </row>
    <row r="190" spans="1:77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111">
        <f>AVERAGE(Y189:AC189)/12</f>
        <v>3.6401740894527488</v>
      </c>
      <c r="AE190" s="111">
        <f t="shared" ref="AE190:BF190" si="143">AVERAGE(Z189:AD189)/12</f>
        <v>3.5789401627934549</v>
      </c>
      <c r="AF190" s="111">
        <f>AVERAGE(AA189:AE189)/12</f>
        <v>3.5756860626310818</v>
      </c>
      <c r="AG190" s="111">
        <f t="shared" si="143"/>
        <v>3.3527673686181294</v>
      </c>
      <c r="AH190" s="111">
        <f t="shared" si="143"/>
        <v>3.4783561972862436</v>
      </c>
      <c r="AI190" s="111">
        <f t="shared" si="143"/>
        <v>3.8484155167633443</v>
      </c>
      <c r="AJ190" s="111">
        <f t="shared" si="143"/>
        <v>4.2274594910697454</v>
      </c>
      <c r="AK190" s="111">
        <f t="shared" si="143"/>
        <v>4.7469990600915102</v>
      </c>
      <c r="AL190" s="111">
        <f t="shared" si="143"/>
        <v>5.4713221255250133</v>
      </c>
      <c r="AM190" s="111">
        <f t="shared" si="143"/>
        <v>6.0683568923950437</v>
      </c>
      <c r="AN190" s="111">
        <f t="shared" si="143"/>
        <v>6.7130702197820193</v>
      </c>
      <c r="AO190" s="111">
        <f t="shared" si="143"/>
        <v>7.2878158638669257</v>
      </c>
      <c r="AP190" s="111">
        <f t="shared" si="143"/>
        <v>7.8967471303986443</v>
      </c>
      <c r="AQ190" s="111">
        <f t="shared" si="143"/>
        <v>8.5181130654127823</v>
      </c>
      <c r="AR190" s="111">
        <f t="shared" si="143"/>
        <v>9.1133224343361725</v>
      </c>
      <c r="AS190" s="111">
        <f t="shared" si="143"/>
        <v>9.7028176824487691</v>
      </c>
      <c r="AT190" s="111">
        <f t="shared" si="143"/>
        <v>10.280967494834162</v>
      </c>
      <c r="AU190" s="111">
        <f t="shared" si="143"/>
        <v>10.860161320667464</v>
      </c>
      <c r="AV190" s="111">
        <f t="shared" si="143"/>
        <v>11.433495446255476</v>
      </c>
      <c r="AW190" s="111">
        <f t="shared" si="143"/>
        <v>11.997331429808559</v>
      </c>
      <c r="AX190" s="111">
        <f t="shared" si="143"/>
        <v>12.554998559810043</v>
      </c>
      <c r="AY190" s="111">
        <f t="shared" si="143"/>
        <v>13.106358904189065</v>
      </c>
      <c r="AZ190" s="111">
        <f t="shared" si="143"/>
        <v>13.652526096635995</v>
      </c>
      <c r="BA190" s="111">
        <f t="shared" si="143"/>
        <v>14.192175483677074</v>
      </c>
      <c r="BB190" s="111">
        <f t="shared" si="143"/>
        <v>14.7251938682244</v>
      </c>
      <c r="BC190" s="111">
        <f t="shared" si="143"/>
        <v>15.252149452827538</v>
      </c>
      <c r="BD190" s="111">
        <f t="shared" si="143"/>
        <v>15.773063900749426</v>
      </c>
      <c r="BE190" s="111">
        <f t="shared" si="143"/>
        <v>16.288001103188261</v>
      </c>
      <c r="BF190" s="111">
        <f t="shared" si="143"/>
        <v>16.796788126950943</v>
      </c>
    </row>
    <row r="191" spans="1:77" ht="12" thickBot="1">
      <c r="A191" s="105" t="s">
        <v>165</v>
      </c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6"/>
      <c r="AA191" s="106"/>
      <c r="AB191" s="106"/>
      <c r="AC191" s="106"/>
    </row>
    <row r="192" spans="1:77" ht="12" thickBot="1">
      <c r="A192" s="84"/>
      <c r="B192" s="85" t="s">
        <v>66</v>
      </c>
      <c r="C192" s="86" t="s">
        <v>67</v>
      </c>
      <c r="D192" s="86" t="s">
        <v>68</v>
      </c>
      <c r="E192" s="86" t="s">
        <v>69</v>
      </c>
      <c r="F192" s="86" t="s">
        <v>70</v>
      </c>
      <c r="G192" s="86" t="s">
        <v>71</v>
      </c>
      <c r="H192" s="86" t="s">
        <v>72</v>
      </c>
      <c r="I192" s="86" t="s">
        <v>73</v>
      </c>
      <c r="J192" s="86" t="s">
        <v>74</v>
      </c>
      <c r="K192" s="86" t="s">
        <v>75</v>
      </c>
      <c r="L192" s="86" t="s">
        <v>76</v>
      </c>
      <c r="M192" s="86" t="s">
        <v>77</v>
      </c>
      <c r="N192" s="86" t="s">
        <v>78</v>
      </c>
      <c r="O192" s="86" t="s">
        <v>79</v>
      </c>
      <c r="P192" s="86" t="s">
        <v>80</v>
      </c>
      <c r="Q192" s="86" t="s">
        <v>81</v>
      </c>
      <c r="R192" s="86" t="s">
        <v>82</v>
      </c>
      <c r="S192" s="86" t="s">
        <v>83</v>
      </c>
      <c r="T192" s="86" t="s">
        <v>84</v>
      </c>
      <c r="U192" s="86" t="s">
        <v>85</v>
      </c>
      <c r="V192" s="86" t="s">
        <v>86</v>
      </c>
      <c r="W192" s="86" t="s">
        <v>87</v>
      </c>
      <c r="X192" s="86" t="s">
        <v>88</v>
      </c>
      <c r="Y192" s="86" t="s">
        <v>89</v>
      </c>
      <c r="Z192" s="86" t="s">
        <v>90</v>
      </c>
      <c r="AA192" s="86" t="s">
        <v>91</v>
      </c>
      <c r="AB192" s="86" t="s">
        <v>92</v>
      </c>
      <c r="AC192" s="86" t="s">
        <v>93</v>
      </c>
      <c r="AD192" s="86" t="str">
        <f>AD2</f>
        <v>21/22</v>
      </c>
      <c r="AE192" s="86" t="str">
        <f t="shared" ref="AE192:BF192" si="144">AE2</f>
        <v>22/23</v>
      </c>
      <c r="AF192" s="86" t="str">
        <f t="shared" si="144"/>
        <v>23/24</v>
      </c>
      <c r="AG192" s="86" t="str">
        <f t="shared" si="144"/>
        <v>24/25</v>
      </c>
      <c r="AH192" s="86" t="str">
        <f t="shared" si="144"/>
        <v>25/26</v>
      </c>
      <c r="AI192" s="86" t="str">
        <f t="shared" si="144"/>
        <v>26/27</v>
      </c>
      <c r="AJ192" s="86" t="str">
        <f t="shared" si="144"/>
        <v>27/28</v>
      </c>
      <c r="AK192" s="86" t="str">
        <f t="shared" si="144"/>
        <v>28/29</v>
      </c>
      <c r="AL192" s="86" t="str">
        <f t="shared" si="144"/>
        <v>29/30</v>
      </c>
      <c r="AM192" s="86" t="str">
        <f t="shared" si="144"/>
        <v>30/31</v>
      </c>
      <c r="AN192" s="86" t="str">
        <f t="shared" si="144"/>
        <v>31/32</v>
      </c>
      <c r="AO192" s="86" t="str">
        <f t="shared" si="144"/>
        <v>32/33</v>
      </c>
      <c r="AP192" s="86" t="str">
        <f t="shared" si="144"/>
        <v>33/34</v>
      </c>
      <c r="AQ192" s="86" t="str">
        <f t="shared" si="144"/>
        <v>34/35</v>
      </c>
      <c r="AR192" s="86" t="str">
        <f t="shared" si="144"/>
        <v>35/36</v>
      </c>
      <c r="AS192" s="86" t="str">
        <f t="shared" si="144"/>
        <v>36/37</v>
      </c>
      <c r="AT192" s="86" t="str">
        <f t="shared" si="144"/>
        <v>37/38</v>
      </c>
      <c r="AU192" s="86" t="str">
        <f t="shared" si="144"/>
        <v>38/39</v>
      </c>
      <c r="AV192" s="86" t="str">
        <f t="shared" si="144"/>
        <v>39/40</v>
      </c>
      <c r="AW192" s="86" t="str">
        <f t="shared" si="144"/>
        <v>40/41</v>
      </c>
      <c r="AX192" s="86" t="str">
        <f t="shared" si="144"/>
        <v>41/42</v>
      </c>
      <c r="AY192" s="86" t="str">
        <f t="shared" si="144"/>
        <v>42/43</v>
      </c>
      <c r="AZ192" s="86" t="str">
        <f t="shared" si="144"/>
        <v>43/44</v>
      </c>
      <c r="BA192" s="86" t="str">
        <f t="shared" si="144"/>
        <v>44/45</v>
      </c>
      <c r="BB192" s="86" t="str">
        <f t="shared" si="144"/>
        <v>45/46</v>
      </c>
      <c r="BC192" s="86" t="str">
        <f t="shared" si="144"/>
        <v>42/47</v>
      </c>
      <c r="BD192" s="86" t="str">
        <f t="shared" si="144"/>
        <v>42/48</v>
      </c>
      <c r="BE192" s="86" t="str">
        <f t="shared" si="144"/>
        <v>42/49</v>
      </c>
      <c r="BF192" s="86" t="str">
        <f t="shared" si="144"/>
        <v>42/50</v>
      </c>
    </row>
    <row r="193" spans="1:73">
      <c r="A193" s="69" t="s">
        <v>37</v>
      </c>
      <c r="W193" s="112"/>
      <c r="X193" s="112">
        <v>2.82</v>
      </c>
      <c r="Y193" s="112">
        <f t="shared" ref="Y193:AG204" si="145">(Y32-7.66667)/SUM(Y129,Y145,Y161)</f>
        <v>2.84228093130154</v>
      </c>
      <c r="Z193" s="112">
        <f t="shared" si="145"/>
        <v>2.8040048919462506</v>
      </c>
      <c r="AA193" s="112">
        <f t="shared" si="145"/>
        <v>2.7721263183746134</v>
      </c>
      <c r="AB193" s="112">
        <f t="shared" si="145"/>
        <v>2.9250147089118417</v>
      </c>
      <c r="AC193" s="112">
        <f t="shared" si="145"/>
        <v>2.8426614057744848</v>
      </c>
      <c r="AD193" s="112">
        <f t="shared" si="145"/>
        <v>2.8395159044253155</v>
      </c>
      <c r="AE193" s="112">
        <f t="shared" si="145"/>
        <v>2.9005384542110195</v>
      </c>
      <c r="AF193" s="112">
        <f t="shared" si="145"/>
        <v>2.9018437791948566</v>
      </c>
      <c r="AG193" s="112">
        <f t="shared" si="145"/>
        <v>2.9130860294503784</v>
      </c>
      <c r="AH193" s="113">
        <f t="shared" ref="AH193:AW204" si="146">AVERAGE(AC193:AF193)+0.03</f>
        <v>2.901139885901419</v>
      </c>
      <c r="AI193" s="113">
        <f t="shared" si="146"/>
        <v>2.9187460418203921</v>
      </c>
      <c r="AJ193" s="113">
        <f t="shared" si="146"/>
        <v>2.9341520371894179</v>
      </c>
      <c r="AK193" s="113">
        <f t="shared" si="146"/>
        <v>2.9387039340917611</v>
      </c>
      <c r="AL193" s="113">
        <f t="shared" si="146"/>
        <v>2.9467809985904014</v>
      </c>
      <c r="AM193" s="113">
        <f t="shared" si="146"/>
        <v>2.9531854747507476</v>
      </c>
      <c r="AN193" s="113">
        <f t="shared" si="146"/>
        <v>2.9645957529229929</v>
      </c>
      <c r="AO193" s="113">
        <f t="shared" si="146"/>
        <v>2.9732056111555818</v>
      </c>
      <c r="AP193" s="113">
        <f t="shared" si="146"/>
        <v>2.9808165400889757</v>
      </c>
      <c r="AQ193" s="113">
        <f t="shared" si="146"/>
        <v>2.9894419593549304</v>
      </c>
      <c r="AR193" s="113">
        <f t="shared" si="146"/>
        <v>2.9979508447295742</v>
      </c>
      <c r="AS193" s="113">
        <f t="shared" si="146"/>
        <v>3.0070149658806202</v>
      </c>
      <c r="AT193" s="113">
        <f t="shared" si="146"/>
        <v>3.0153537388322653</v>
      </c>
      <c r="AU193" s="113">
        <f t="shared" si="146"/>
        <v>3.0238060775135249</v>
      </c>
      <c r="AV193" s="113">
        <f t="shared" si="146"/>
        <v>3.0324403771993476</v>
      </c>
      <c r="AW193" s="113">
        <f t="shared" si="146"/>
        <v>3.0410314067389961</v>
      </c>
      <c r="AX193" s="113">
        <f t="shared" ref="AX193:BF204" si="147">AVERAGE(AS193:AV193)+0.03</f>
        <v>3.0496537898564395</v>
      </c>
      <c r="AY193" s="113">
        <f t="shared" si="147"/>
        <v>3.0581579000710333</v>
      </c>
      <c r="AZ193" s="113">
        <f t="shared" si="147"/>
        <v>3.0667329128270766</v>
      </c>
      <c r="BA193" s="113">
        <f t="shared" si="147"/>
        <v>3.0753208684664535</v>
      </c>
      <c r="BB193" s="113">
        <f t="shared" si="147"/>
        <v>3.0838940023733858</v>
      </c>
      <c r="BC193" s="113">
        <f t="shared" si="147"/>
        <v>3.0924663678052506</v>
      </c>
      <c r="BD193" s="113">
        <f t="shared" si="147"/>
        <v>3.1010264209344873</v>
      </c>
      <c r="BE193" s="113">
        <f t="shared" si="147"/>
        <v>3.1096035378680416</v>
      </c>
      <c r="BF193" s="113">
        <f t="shared" si="147"/>
        <v>3.1181769148948946</v>
      </c>
      <c r="BG193" s="114"/>
      <c r="BH193" s="114"/>
      <c r="BI193" s="114"/>
      <c r="BJ193" s="114"/>
      <c r="BK193" s="114"/>
      <c r="BL193" s="114"/>
      <c r="BM193" s="114"/>
      <c r="BN193" s="114"/>
      <c r="BO193" s="114"/>
      <c r="BP193" s="114"/>
      <c r="BQ193" s="114"/>
      <c r="BR193" s="114"/>
      <c r="BS193" s="114"/>
      <c r="BT193" s="114"/>
      <c r="BU193" s="114"/>
    </row>
    <row r="194" spans="1:73">
      <c r="A194" s="69" t="s">
        <v>38</v>
      </c>
      <c r="W194" s="112"/>
      <c r="X194" s="112">
        <f t="shared" ref="X194:X204" si="148">(X33-7.66667)/SUM(X130,X146,X162)</f>
        <v>2.7735948469067799</v>
      </c>
      <c r="Y194" s="112">
        <f t="shared" si="145"/>
        <v>2.8158974722293562</v>
      </c>
      <c r="Z194" s="112">
        <f t="shared" si="145"/>
        <v>2.8508385240983496</v>
      </c>
      <c r="AA194" s="112">
        <f t="shared" si="145"/>
        <v>2.8884056188418432</v>
      </c>
      <c r="AB194" s="112">
        <f t="shared" si="145"/>
        <v>2.9289170020259205</v>
      </c>
      <c r="AC194" s="112">
        <f t="shared" si="145"/>
        <v>2.8520201012743507</v>
      </c>
      <c r="AD194" s="112">
        <f t="shared" si="145"/>
        <v>2.8931791149098207</v>
      </c>
      <c r="AE194" s="112">
        <f t="shared" si="145"/>
        <v>2.8889525150306583</v>
      </c>
      <c r="AF194" s="112">
        <f t="shared" si="145"/>
        <v>2.8789158589095289</v>
      </c>
      <c r="AG194" s="112">
        <f t="shared" si="145"/>
        <v>2.8905181410977323</v>
      </c>
      <c r="AH194" s="113">
        <f t="shared" si="146"/>
        <v>2.9082668975310897</v>
      </c>
      <c r="AI194" s="113">
        <f t="shared" si="146"/>
        <v>2.9178914074869349</v>
      </c>
      <c r="AJ194" s="113">
        <f t="shared" si="146"/>
        <v>2.9216633531422525</v>
      </c>
      <c r="AK194" s="113">
        <f t="shared" si="146"/>
        <v>2.928898076256321</v>
      </c>
      <c r="AL194" s="113">
        <f t="shared" si="146"/>
        <v>2.9395849498145017</v>
      </c>
      <c r="AM194" s="113">
        <f t="shared" si="146"/>
        <v>2.9491799336041491</v>
      </c>
      <c r="AN194" s="113">
        <f t="shared" si="146"/>
        <v>2.9570094466750025</v>
      </c>
      <c r="AO194" s="113">
        <f t="shared" si="146"/>
        <v>2.964831578204306</v>
      </c>
      <c r="AP194" s="113">
        <f t="shared" si="146"/>
        <v>2.9736681015874935</v>
      </c>
      <c r="AQ194" s="113">
        <f t="shared" si="146"/>
        <v>2.9826514770744894</v>
      </c>
      <c r="AR194" s="113">
        <f t="shared" si="146"/>
        <v>2.9911722650177377</v>
      </c>
      <c r="AS194" s="113">
        <f t="shared" si="146"/>
        <v>2.9995401508853226</v>
      </c>
      <c r="AT194" s="113">
        <f t="shared" si="146"/>
        <v>3.0080808554710066</v>
      </c>
      <c r="AU194" s="113">
        <f t="shared" si="146"/>
        <v>3.0167579986412609</v>
      </c>
      <c r="AV194" s="113">
        <f t="shared" si="146"/>
        <v>3.0253611871121389</v>
      </c>
      <c r="AW194" s="113">
        <f t="shared" si="146"/>
        <v>3.0338878175038313</v>
      </c>
      <c r="AX194" s="113">
        <f t="shared" si="147"/>
        <v>3.042435048027432</v>
      </c>
      <c r="AY194" s="113">
        <f t="shared" si="147"/>
        <v>3.0510219646820596</v>
      </c>
      <c r="AZ194" s="113">
        <f t="shared" si="147"/>
        <v>3.0596105128211657</v>
      </c>
      <c r="BA194" s="113">
        <f t="shared" si="147"/>
        <v>3.0681765043313654</v>
      </c>
      <c r="BB194" s="113">
        <f t="shared" si="147"/>
        <v>3.0767388357586221</v>
      </c>
      <c r="BC194" s="113">
        <f t="shared" si="147"/>
        <v>3.0853110074655055</v>
      </c>
      <c r="BD194" s="113">
        <f t="shared" si="147"/>
        <v>3.093886954398303</v>
      </c>
      <c r="BE194" s="113">
        <f t="shared" si="147"/>
        <v>3.1024592150941648</v>
      </c>
      <c r="BF194" s="113">
        <f t="shared" si="147"/>
        <v>3.1110283254884492</v>
      </c>
      <c r="BG194" s="114"/>
      <c r="BH194" s="114"/>
      <c r="BI194" s="114"/>
      <c r="BJ194" s="114"/>
      <c r="BK194" s="114"/>
      <c r="BL194" s="114"/>
      <c r="BM194" s="114"/>
      <c r="BN194" s="114"/>
      <c r="BO194" s="114"/>
      <c r="BP194" s="114"/>
      <c r="BQ194" s="114"/>
      <c r="BR194" s="114"/>
      <c r="BS194" s="114"/>
      <c r="BT194" s="114"/>
      <c r="BU194" s="114"/>
    </row>
    <row r="195" spans="1:73">
      <c r="A195" s="69" t="s">
        <v>39</v>
      </c>
      <c r="W195" s="112"/>
      <c r="X195" s="112">
        <f t="shared" si="148"/>
        <v>2.7657343740954157</v>
      </c>
      <c r="Y195" s="112">
        <f t="shared" si="145"/>
        <v>2.752594983864284</v>
      </c>
      <c r="Z195" s="112">
        <f t="shared" si="145"/>
        <v>2.8131875075666386</v>
      </c>
      <c r="AA195" s="112">
        <f t="shared" si="145"/>
        <v>2.8220772766000208</v>
      </c>
      <c r="AB195" s="112">
        <f t="shared" si="145"/>
        <v>2.7954178539698651</v>
      </c>
      <c r="AC195" s="112">
        <f t="shared" si="145"/>
        <v>2.8782747065532917</v>
      </c>
      <c r="AD195" s="112">
        <f t="shared" si="145"/>
        <v>2.8733185675254203</v>
      </c>
      <c r="AE195" s="112">
        <f t="shared" si="145"/>
        <v>2.8935711521324063</v>
      </c>
      <c r="AF195" s="112">
        <f t="shared" si="145"/>
        <v>2.8770546149248672</v>
      </c>
      <c r="AG195" s="112">
        <f t="shared" si="145"/>
        <v>2.9267059520301588</v>
      </c>
      <c r="AH195" s="113">
        <f t="shared" si="146"/>
        <v>2.9105547602839961</v>
      </c>
      <c r="AI195" s="113">
        <f t="shared" si="146"/>
        <v>2.9226625716532131</v>
      </c>
      <c r="AJ195" s="113">
        <f t="shared" si="146"/>
        <v>2.9319716198428574</v>
      </c>
      <c r="AK195" s="113">
        <f t="shared" si="146"/>
        <v>2.9392444747230582</v>
      </c>
      <c r="AL195" s="113">
        <f t="shared" si="146"/>
        <v>2.9529737259525559</v>
      </c>
      <c r="AM195" s="113">
        <f t="shared" si="146"/>
        <v>2.9561083566257809</v>
      </c>
      <c r="AN195" s="113">
        <f t="shared" si="146"/>
        <v>2.9667130980429213</v>
      </c>
      <c r="AO195" s="113">
        <f t="shared" si="146"/>
        <v>2.9750745442860631</v>
      </c>
      <c r="AP195" s="113">
        <f t="shared" si="146"/>
        <v>2.9837599138360789</v>
      </c>
      <c r="AQ195" s="113">
        <f t="shared" si="146"/>
        <v>2.9927174312268301</v>
      </c>
      <c r="AR195" s="113">
        <f t="shared" si="146"/>
        <v>3.0004139781977108</v>
      </c>
      <c r="AS195" s="113">
        <f t="shared" si="146"/>
        <v>3.0095662468479731</v>
      </c>
      <c r="AT195" s="113">
        <f t="shared" si="146"/>
        <v>3.017991466886671</v>
      </c>
      <c r="AU195" s="113">
        <f t="shared" si="146"/>
        <v>3.026614392527148</v>
      </c>
      <c r="AV195" s="113">
        <f t="shared" si="146"/>
        <v>3.0351722807897956</v>
      </c>
      <c r="AW195" s="113">
        <f t="shared" si="146"/>
        <v>3.0436465211148751</v>
      </c>
      <c r="AX195" s="113">
        <f t="shared" si="147"/>
        <v>3.0523360967628967</v>
      </c>
      <c r="AY195" s="113">
        <f t="shared" si="147"/>
        <v>3.0608561653296222</v>
      </c>
      <c r="AZ195" s="113">
        <f t="shared" si="147"/>
        <v>3.0694423227986785</v>
      </c>
      <c r="BA195" s="113">
        <f t="shared" si="147"/>
        <v>3.078002765999297</v>
      </c>
      <c r="BB195" s="113">
        <f t="shared" si="147"/>
        <v>3.0865702765015182</v>
      </c>
      <c r="BC195" s="113">
        <f t="shared" si="147"/>
        <v>3.0951593377226234</v>
      </c>
      <c r="BD195" s="113">
        <f t="shared" si="147"/>
        <v>3.1037178826572789</v>
      </c>
      <c r="BE195" s="113">
        <f t="shared" si="147"/>
        <v>3.1122936757555291</v>
      </c>
      <c r="BF195" s="113">
        <f t="shared" si="147"/>
        <v>3.1208625657201789</v>
      </c>
      <c r="BG195" s="114"/>
      <c r="BH195" s="114"/>
      <c r="BI195" s="114"/>
      <c r="BJ195" s="114"/>
      <c r="BK195" s="114"/>
      <c r="BL195" s="114"/>
      <c r="BM195" s="114"/>
      <c r="BN195" s="114"/>
      <c r="BO195" s="114"/>
      <c r="BP195" s="114"/>
      <c r="BQ195" s="114"/>
      <c r="BR195" s="114"/>
      <c r="BS195" s="114"/>
      <c r="BT195" s="114"/>
      <c r="BU195" s="114"/>
    </row>
    <row r="196" spans="1:73">
      <c r="A196" s="69" t="s">
        <v>40</v>
      </c>
      <c r="W196" s="112"/>
      <c r="X196" s="112">
        <f t="shared" si="148"/>
        <v>2.8098632239904728</v>
      </c>
      <c r="Y196" s="112">
        <f t="shared" si="145"/>
        <v>2.8203355472705103</v>
      </c>
      <c r="Z196" s="112">
        <f t="shared" si="145"/>
        <v>2.804094951568731</v>
      </c>
      <c r="AA196" s="112">
        <f t="shared" si="145"/>
        <v>2.868319443497533</v>
      </c>
      <c r="AB196" s="112">
        <f t="shared" si="145"/>
        <v>2.8484105047540678</v>
      </c>
      <c r="AC196" s="112">
        <f t="shared" si="145"/>
        <v>2.9178761828261535</v>
      </c>
      <c r="AD196" s="112">
        <f t="shared" si="145"/>
        <v>2.8975366728623904</v>
      </c>
      <c r="AE196" s="112">
        <f t="shared" si="145"/>
        <v>2.9081602829772062</v>
      </c>
      <c r="AF196" s="112">
        <f t="shared" si="145"/>
        <v>2.8886864158802195</v>
      </c>
      <c r="AG196" s="112">
        <f t="shared" si="145"/>
        <v>2.9365375380770873</v>
      </c>
      <c r="AH196" s="113">
        <f t="shared" si="146"/>
        <v>2.9330648886364923</v>
      </c>
      <c r="AI196" s="113">
        <f t="shared" si="146"/>
        <v>2.9377302274492254</v>
      </c>
      <c r="AJ196" s="113">
        <f t="shared" si="146"/>
        <v>2.9466122813927509</v>
      </c>
      <c r="AK196" s="113">
        <f t="shared" si="146"/>
        <v>2.9540047675107561</v>
      </c>
      <c r="AL196" s="113">
        <f t="shared" si="146"/>
        <v>2.9684862338888887</v>
      </c>
      <c r="AM196" s="113">
        <f t="shared" si="146"/>
        <v>2.9728530412473062</v>
      </c>
      <c r="AN196" s="113">
        <f t="shared" si="146"/>
        <v>2.9817083775604054</v>
      </c>
      <c r="AO196" s="113">
        <f t="shared" si="146"/>
        <v>2.9904890810099256</v>
      </c>
      <c r="AP196" s="113">
        <f t="shared" si="146"/>
        <v>2.9992631050518388</v>
      </c>
      <c r="AQ196" s="113">
        <f t="shared" si="146"/>
        <v>3.0083841834266312</v>
      </c>
      <c r="AR196" s="113">
        <f t="shared" si="146"/>
        <v>3.0160784012173689</v>
      </c>
      <c r="AS196" s="113">
        <f t="shared" si="146"/>
        <v>3.0249611867622002</v>
      </c>
      <c r="AT196" s="113">
        <f t="shared" si="146"/>
        <v>3.033553692676441</v>
      </c>
      <c r="AU196" s="113">
        <f t="shared" si="146"/>
        <v>3.0421717191145095</v>
      </c>
      <c r="AV196" s="113">
        <f t="shared" si="146"/>
        <v>3.0507443660206603</v>
      </c>
      <c r="AW196" s="113">
        <f t="shared" si="146"/>
        <v>3.0591912499426299</v>
      </c>
      <c r="AX196" s="113">
        <f t="shared" si="147"/>
        <v>3.0678577411434529</v>
      </c>
      <c r="AY196" s="113">
        <f t="shared" si="147"/>
        <v>3.0764152569385601</v>
      </c>
      <c r="AZ196" s="113">
        <f t="shared" si="147"/>
        <v>3.0849912690553127</v>
      </c>
      <c r="BA196" s="113">
        <f t="shared" si="147"/>
        <v>3.0935521535113257</v>
      </c>
      <c r="BB196" s="113">
        <f t="shared" si="147"/>
        <v>3.1021138792699889</v>
      </c>
      <c r="BC196" s="113">
        <f t="shared" si="147"/>
        <v>3.1107041051621622</v>
      </c>
      <c r="BD196" s="113">
        <f t="shared" si="147"/>
        <v>3.1192681396937969</v>
      </c>
      <c r="BE196" s="113">
        <f t="shared" si="147"/>
        <v>3.1278403517496973</v>
      </c>
      <c r="BF196" s="113">
        <f t="shared" si="147"/>
        <v>3.1364095694093179</v>
      </c>
      <c r="BG196" s="114"/>
      <c r="BH196" s="114"/>
      <c r="BI196" s="114"/>
      <c r="BJ196" s="114"/>
      <c r="BK196" s="114"/>
      <c r="BL196" s="114"/>
      <c r="BM196" s="114"/>
      <c r="BN196" s="114"/>
      <c r="BO196" s="114"/>
      <c r="BP196" s="114"/>
      <c r="BQ196" s="114"/>
      <c r="BR196" s="114"/>
      <c r="BS196" s="114"/>
      <c r="BT196" s="114"/>
      <c r="BU196" s="114"/>
    </row>
    <row r="197" spans="1:73">
      <c r="A197" s="69" t="s">
        <v>30</v>
      </c>
      <c r="W197" s="112">
        <v>2.82</v>
      </c>
      <c r="X197" s="112">
        <f t="shared" si="148"/>
        <v>2.8075179637719621</v>
      </c>
      <c r="Y197" s="112">
        <f t="shared" si="145"/>
        <v>2.8518034806839436</v>
      </c>
      <c r="Z197" s="112">
        <f t="shared" si="145"/>
        <v>2.8409243552687804</v>
      </c>
      <c r="AA197" s="112">
        <f t="shared" si="145"/>
        <v>2.9337284268614643</v>
      </c>
      <c r="AB197" s="112">
        <f t="shared" si="145"/>
        <v>2.9333506956588313</v>
      </c>
      <c r="AC197" s="112">
        <f t="shared" si="145"/>
        <v>2.9687673387522064</v>
      </c>
      <c r="AD197" s="112">
        <f t="shared" si="145"/>
        <v>2.935882617573514</v>
      </c>
      <c r="AE197" s="112">
        <f t="shared" si="145"/>
        <v>2.9101902414630461</v>
      </c>
      <c r="AF197" s="112">
        <f t="shared" si="145"/>
        <v>2.9105961803123499</v>
      </c>
      <c r="AG197" s="112">
        <f t="shared" si="145"/>
        <v>2.9562412966157874</v>
      </c>
      <c r="AH197" s="113">
        <f t="shared" si="146"/>
        <v>2.9613590945252786</v>
      </c>
      <c r="AI197" s="113">
        <f t="shared" si="146"/>
        <v>2.958227583991174</v>
      </c>
      <c r="AJ197" s="113">
        <f t="shared" si="146"/>
        <v>2.9645967032291152</v>
      </c>
      <c r="AK197" s="113">
        <f t="shared" si="146"/>
        <v>2.9766060388611475</v>
      </c>
      <c r="AL197" s="113">
        <f t="shared" si="146"/>
        <v>2.9901061695903386</v>
      </c>
      <c r="AM197" s="113">
        <f t="shared" si="146"/>
        <v>2.9951973551516788</v>
      </c>
      <c r="AN197" s="113">
        <f t="shared" si="146"/>
        <v>3.0023841239179436</v>
      </c>
      <c r="AO197" s="113">
        <f t="shared" si="146"/>
        <v>3.0116265667080699</v>
      </c>
      <c r="AP197" s="113">
        <f t="shared" si="146"/>
        <v>3.0210734218802768</v>
      </c>
      <c r="AQ197" s="113">
        <f t="shared" si="146"/>
        <v>3.0298285538420076</v>
      </c>
      <c r="AR197" s="113">
        <f t="shared" si="146"/>
        <v>3.0375703669144918</v>
      </c>
      <c r="AS197" s="113">
        <f t="shared" si="146"/>
        <v>3.0462281665870741</v>
      </c>
      <c r="AT197" s="113">
        <f t="shared" si="146"/>
        <v>3.0550247273362112</v>
      </c>
      <c r="AU197" s="113">
        <f t="shared" si="146"/>
        <v>3.0636751273059626</v>
      </c>
      <c r="AV197" s="113">
        <f t="shared" si="146"/>
        <v>3.0721629536699457</v>
      </c>
      <c r="AW197" s="113">
        <f t="shared" si="146"/>
        <v>3.0806245970359352</v>
      </c>
      <c r="AX197" s="113">
        <f t="shared" si="147"/>
        <v>3.089272743724798</v>
      </c>
      <c r="AY197" s="113">
        <f t="shared" si="147"/>
        <v>3.0978718513370134</v>
      </c>
      <c r="AZ197" s="113">
        <f t="shared" si="147"/>
        <v>3.1064338554341604</v>
      </c>
      <c r="BA197" s="113">
        <f t="shared" si="147"/>
        <v>3.1149830364419229</v>
      </c>
      <c r="BB197" s="113">
        <f t="shared" si="147"/>
        <v>3.1235507618829765</v>
      </c>
      <c r="BC197" s="113">
        <f t="shared" si="147"/>
        <v>3.1321403717344736</v>
      </c>
      <c r="BD197" s="113">
        <f t="shared" si="147"/>
        <v>3.140709876274018</v>
      </c>
      <c r="BE197" s="113">
        <f t="shared" si="147"/>
        <v>3.1492770063733833</v>
      </c>
      <c r="BF197" s="113">
        <f t="shared" si="147"/>
        <v>3.1578460115833478</v>
      </c>
      <c r="BG197" s="114"/>
      <c r="BH197" s="114"/>
      <c r="BI197" s="114"/>
      <c r="BJ197" s="114"/>
      <c r="BK197" s="114"/>
      <c r="BL197" s="114"/>
      <c r="BM197" s="114"/>
      <c r="BN197" s="114"/>
      <c r="BO197" s="114"/>
      <c r="BP197" s="114"/>
      <c r="BQ197" s="114"/>
      <c r="BR197" s="114"/>
      <c r="BS197" s="114"/>
      <c r="BT197" s="114"/>
      <c r="BU197" s="114"/>
    </row>
    <row r="198" spans="1:73">
      <c r="A198" s="69" t="s">
        <v>31</v>
      </c>
      <c r="W198" s="112">
        <v>2.82</v>
      </c>
      <c r="X198" s="112">
        <f t="shared" si="148"/>
        <v>2.7291313721074526</v>
      </c>
      <c r="Y198" s="112">
        <f t="shared" si="145"/>
        <v>2.7522754985965623</v>
      </c>
      <c r="Z198" s="112">
        <f t="shared" si="145"/>
        <v>2.7967702789224829</v>
      </c>
      <c r="AA198" s="112">
        <f t="shared" si="145"/>
        <v>2.8706843277204719</v>
      </c>
      <c r="AB198" s="112">
        <f t="shared" si="145"/>
        <v>2.8947398560286444</v>
      </c>
      <c r="AC198" s="112">
        <f t="shared" si="145"/>
        <v>2.8298484904990313</v>
      </c>
      <c r="AD198" s="112">
        <f t="shared" si="145"/>
        <v>2.8498605107446369</v>
      </c>
      <c r="AE198" s="112">
        <f t="shared" si="145"/>
        <v>2.9008612998355447</v>
      </c>
      <c r="AF198" s="112">
        <f t="shared" si="145"/>
        <v>2.9090349163124056</v>
      </c>
      <c r="AG198" s="113">
        <f t="shared" ref="AG198:AG204" si="149">AVERAGE(AB198:AF198)+0.04</f>
        <v>2.9168690146840524</v>
      </c>
      <c r="AH198" s="113">
        <f t="shared" si="146"/>
        <v>2.9024013043479044</v>
      </c>
      <c r="AI198" s="113">
        <f t="shared" si="146"/>
        <v>2.9241564353941594</v>
      </c>
      <c r="AJ198" s="113">
        <f t="shared" si="146"/>
        <v>2.9372916337949766</v>
      </c>
      <c r="AK198" s="113">
        <f t="shared" si="146"/>
        <v>2.9431154176846301</v>
      </c>
      <c r="AL198" s="113">
        <f t="shared" si="146"/>
        <v>2.9501795970552727</v>
      </c>
      <c r="AM198" s="113">
        <f t="shared" si="146"/>
        <v>2.9567411978054179</v>
      </c>
      <c r="AN198" s="113">
        <f t="shared" si="146"/>
        <v>2.9686857709822596</v>
      </c>
      <c r="AO198" s="113">
        <f t="shared" si="146"/>
        <v>2.976831961585074</v>
      </c>
      <c r="AP198" s="113">
        <f t="shared" si="146"/>
        <v>2.9846804958818951</v>
      </c>
      <c r="AQ198" s="113">
        <f t="shared" si="146"/>
        <v>2.9931096318570058</v>
      </c>
      <c r="AR198" s="113">
        <f t="shared" si="146"/>
        <v>3.0017348565636612</v>
      </c>
      <c r="AS198" s="113">
        <f t="shared" si="146"/>
        <v>3.0108269650765584</v>
      </c>
      <c r="AT198" s="113">
        <f t="shared" si="146"/>
        <v>3.0190892364719089</v>
      </c>
      <c r="AU198" s="113">
        <f t="shared" si="146"/>
        <v>3.0275879873447802</v>
      </c>
      <c r="AV198" s="113">
        <f t="shared" si="146"/>
        <v>3.0361901724922835</v>
      </c>
      <c r="AW198" s="113">
        <f t="shared" si="146"/>
        <v>3.0448097613642271</v>
      </c>
      <c r="AX198" s="113">
        <f t="shared" si="147"/>
        <v>3.0534235903463824</v>
      </c>
      <c r="AY198" s="113">
        <f t="shared" si="147"/>
        <v>3.0619192894182996</v>
      </c>
      <c r="AZ198" s="113">
        <f t="shared" si="147"/>
        <v>3.0705028778869181</v>
      </c>
      <c r="BA198" s="113">
        <f t="shared" si="147"/>
        <v>3.0790857034052981</v>
      </c>
      <c r="BB198" s="113">
        <f t="shared" si="147"/>
        <v>3.0876638797539568</v>
      </c>
      <c r="BC198" s="113">
        <f t="shared" si="147"/>
        <v>3.0962328652642244</v>
      </c>
      <c r="BD198" s="113">
        <f t="shared" si="147"/>
        <v>3.1047929376161183</v>
      </c>
      <c r="BE198" s="113">
        <f t="shared" si="147"/>
        <v>3.1133713315775986</v>
      </c>
      <c r="BF198" s="113">
        <f t="shared" si="147"/>
        <v>3.121943846509899</v>
      </c>
      <c r="BG198" s="114"/>
      <c r="BH198" s="114"/>
      <c r="BI198" s="114"/>
      <c r="BJ198" s="114"/>
      <c r="BK198" s="114"/>
      <c r="BL198" s="114"/>
      <c r="BM198" s="114"/>
      <c r="BN198" s="114"/>
      <c r="BO198" s="114"/>
      <c r="BP198" s="114"/>
      <c r="BQ198" s="114"/>
      <c r="BR198" s="114"/>
      <c r="BS198" s="114"/>
      <c r="BT198" s="114"/>
      <c r="BU198" s="114"/>
    </row>
    <row r="199" spans="1:73">
      <c r="A199" s="69" t="s">
        <v>32</v>
      </c>
      <c r="W199" s="112">
        <v>2.82</v>
      </c>
      <c r="X199" s="112">
        <f t="shared" si="148"/>
        <v>2.8634145516299352</v>
      </c>
      <c r="Y199" s="112">
        <f t="shared" si="145"/>
        <v>2.8366750560030822</v>
      </c>
      <c r="Z199" s="112">
        <f t="shared" si="145"/>
        <v>2.8474625942833884</v>
      </c>
      <c r="AA199" s="112">
        <f t="shared" si="145"/>
        <v>2.8606999658628189</v>
      </c>
      <c r="AB199" s="112">
        <f t="shared" si="145"/>
        <v>2.9979977397905038</v>
      </c>
      <c r="AC199" s="112">
        <f t="shared" si="145"/>
        <v>2.903638365769857</v>
      </c>
      <c r="AD199" s="112">
        <f t="shared" si="145"/>
        <v>2.9276389987894467</v>
      </c>
      <c r="AE199" s="112">
        <f t="shared" si="145"/>
        <v>2.9006968849846735</v>
      </c>
      <c r="AF199" s="112">
        <f t="shared" si="145"/>
        <v>2.9211323110699459</v>
      </c>
      <c r="AG199" s="113">
        <f t="shared" si="149"/>
        <v>2.9702208600808855</v>
      </c>
      <c r="AH199" s="113">
        <f t="shared" si="146"/>
        <v>2.9432766401534809</v>
      </c>
      <c r="AI199" s="113">
        <f t="shared" si="146"/>
        <v>2.9599222637312379</v>
      </c>
      <c r="AJ199" s="113">
        <f t="shared" si="146"/>
        <v>2.9638316740722463</v>
      </c>
      <c r="AK199" s="113">
        <f t="shared" si="146"/>
        <v>2.9786380187588875</v>
      </c>
      <c r="AL199" s="113">
        <f t="shared" si="146"/>
        <v>2.9893128595094622</v>
      </c>
      <c r="AM199" s="113">
        <f t="shared" si="146"/>
        <v>2.9914171491789632</v>
      </c>
      <c r="AN199" s="113">
        <f t="shared" si="146"/>
        <v>3.0029262040179585</v>
      </c>
      <c r="AO199" s="113">
        <f t="shared" si="146"/>
        <v>3.0107999253798896</v>
      </c>
      <c r="AP199" s="113">
        <f t="shared" si="146"/>
        <v>3.0205735578663178</v>
      </c>
      <c r="AQ199" s="113">
        <f t="shared" si="146"/>
        <v>3.0286140345215684</v>
      </c>
      <c r="AR199" s="113">
        <f t="shared" si="146"/>
        <v>3.0364292091107816</v>
      </c>
      <c r="AS199" s="113">
        <f t="shared" si="146"/>
        <v>3.0457284304464336</v>
      </c>
      <c r="AT199" s="113">
        <f t="shared" si="146"/>
        <v>3.0541041817196395</v>
      </c>
      <c r="AU199" s="113">
        <f t="shared" si="146"/>
        <v>3.062836307986275</v>
      </c>
      <c r="AV199" s="113">
        <f t="shared" si="146"/>
        <v>3.0712189639496055</v>
      </c>
      <c r="AW199" s="113">
        <f t="shared" si="146"/>
        <v>3.0797745323157821</v>
      </c>
      <c r="AX199" s="113">
        <f t="shared" si="147"/>
        <v>3.0884719710254882</v>
      </c>
      <c r="AY199" s="113">
        <f t="shared" si="147"/>
        <v>3.0969834964928249</v>
      </c>
      <c r="AZ199" s="113">
        <f t="shared" si="147"/>
        <v>3.1055754438192875</v>
      </c>
      <c r="BA199" s="113">
        <f t="shared" si="147"/>
        <v>3.114112240945925</v>
      </c>
      <c r="BB199" s="113">
        <f t="shared" si="147"/>
        <v>3.1227013609133456</v>
      </c>
      <c r="BC199" s="113">
        <f t="shared" si="147"/>
        <v>3.1312857880708811</v>
      </c>
      <c r="BD199" s="113">
        <f t="shared" si="147"/>
        <v>3.1398431355428458</v>
      </c>
      <c r="BE199" s="113">
        <f t="shared" si="147"/>
        <v>3.1484187084373598</v>
      </c>
      <c r="BF199" s="113">
        <f t="shared" si="147"/>
        <v>3.1569856313682489</v>
      </c>
    </row>
    <row r="200" spans="1:73">
      <c r="A200" s="69" t="s">
        <v>33</v>
      </c>
      <c r="W200" s="112">
        <v>2.82</v>
      </c>
      <c r="X200" s="112">
        <f t="shared" si="148"/>
        <v>2.8160087486280072</v>
      </c>
      <c r="Y200" s="112">
        <f t="shared" si="145"/>
        <v>2.7337989852127142</v>
      </c>
      <c r="Z200" s="112">
        <f t="shared" si="145"/>
        <v>2.8292737040984752</v>
      </c>
      <c r="AA200" s="112">
        <f t="shared" si="145"/>
        <v>2.8792519709475219</v>
      </c>
      <c r="AB200" s="112">
        <f>(AB39-7.66667)/SUM(AB136,AB152,AB168)</f>
        <v>2.6854219757328792</v>
      </c>
      <c r="AC200" s="112">
        <f t="shared" si="145"/>
        <v>2.6234185898594973</v>
      </c>
      <c r="AD200" s="112">
        <f t="shared" si="145"/>
        <v>2.8518062317501212</v>
      </c>
      <c r="AE200" s="112">
        <f t="shared" si="145"/>
        <v>2.9116617829754667</v>
      </c>
      <c r="AF200" s="112">
        <f t="shared" si="145"/>
        <v>2.8981642066001427</v>
      </c>
      <c r="AG200" s="113">
        <f t="shared" si="149"/>
        <v>2.8340945573836214</v>
      </c>
      <c r="AH200" s="113">
        <f t="shared" si="146"/>
        <v>2.8512627027963067</v>
      </c>
      <c r="AI200" s="113">
        <f t="shared" si="146"/>
        <v>2.9039316946773375</v>
      </c>
      <c r="AJ200" s="113">
        <f t="shared" si="146"/>
        <v>2.9037958124388838</v>
      </c>
      <c r="AK200" s="113">
        <f t="shared" si="146"/>
        <v>2.9018632903643518</v>
      </c>
      <c r="AL200" s="113">
        <f t="shared" si="146"/>
        <v>2.9032711918240373</v>
      </c>
      <c r="AM200" s="113">
        <f t="shared" si="146"/>
        <v>2.9202133750692196</v>
      </c>
      <c r="AN200" s="113">
        <f t="shared" si="146"/>
        <v>2.9332154973261524</v>
      </c>
      <c r="AO200" s="113">
        <f t="shared" si="146"/>
        <v>2.937285917424123</v>
      </c>
      <c r="AP200" s="113">
        <f t="shared" si="146"/>
        <v>2.9446408386459404</v>
      </c>
      <c r="AQ200" s="113">
        <f t="shared" si="146"/>
        <v>2.9534964954108829</v>
      </c>
      <c r="AR200" s="113">
        <f t="shared" si="146"/>
        <v>2.9638389071163584</v>
      </c>
      <c r="AS200" s="113">
        <f t="shared" si="146"/>
        <v>2.9721596872017746</v>
      </c>
      <c r="AT200" s="113">
        <f t="shared" si="146"/>
        <v>2.979815539649326</v>
      </c>
      <c r="AU200" s="113">
        <f t="shared" si="146"/>
        <v>2.9885339820937387</v>
      </c>
      <c r="AV200" s="113">
        <f t="shared" si="146"/>
        <v>2.9973276573445853</v>
      </c>
      <c r="AW200" s="113">
        <f t="shared" si="146"/>
        <v>3.006087029015299</v>
      </c>
      <c r="AX200" s="113">
        <f t="shared" si="147"/>
        <v>3.0144592165723556</v>
      </c>
      <c r="AY200" s="113">
        <f t="shared" si="147"/>
        <v>3.0229410520257369</v>
      </c>
      <c r="AZ200" s="113">
        <f t="shared" si="147"/>
        <v>3.0316019712564946</v>
      </c>
      <c r="BA200" s="113">
        <f t="shared" si="147"/>
        <v>3.040203738739494</v>
      </c>
      <c r="BB200" s="113">
        <f t="shared" si="147"/>
        <v>3.0487723172174714</v>
      </c>
      <c r="BC200" s="113">
        <f t="shared" si="147"/>
        <v>3.0573014946485202</v>
      </c>
      <c r="BD200" s="113">
        <f t="shared" si="147"/>
        <v>3.0658797698097993</v>
      </c>
      <c r="BE200" s="113">
        <f t="shared" si="147"/>
        <v>3.0744698804654949</v>
      </c>
      <c r="BF200" s="113">
        <f t="shared" si="147"/>
        <v>3.083039330103821</v>
      </c>
    </row>
    <row r="201" spans="1:73">
      <c r="A201" s="69" t="s">
        <v>14</v>
      </c>
      <c r="W201" s="112">
        <v>2.82</v>
      </c>
      <c r="X201" s="112">
        <f t="shared" si="148"/>
        <v>2.9090786943674685</v>
      </c>
      <c r="Y201" s="112">
        <f t="shared" si="145"/>
        <v>2.8535838770211122</v>
      </c>
      <c r="Z201" s="112">
        <f t="shared" si="145"/>
        <v>2.8134056137004975</v>
      </c>
      <c r="AA201" s="112">
        <f t="shared" si="145"/>
        <v>2.8939892980152173</v>
      </c>
      <c r="AB201" s="112">
        <f t="shared" si="145"/>
        <v>2.928387404378507</v>
      </c>
      <c r="AC201" s="112">
        <f t="shared" si="145"/>
        <v>2.9480165837836845</v>
      </c>
      <c r="AD201" s="112">
        <f t="shared" si="145"/>
        <v>2.8795992307544096</v>
      </c>
      <c r="AE201" s="112">
        <f t="shared" si="145"/>
        <v>2.9006775067281589</v>
      </c>
      <c r="AF201" s="112">
        <f t="shared" si="145"/>
        <v>2.9040397342894231</v>
      </c>
      <c r="AG201" s="113">
        <f t="shared" si="149"/>
        <v>2.9521440919868369</v>
      </c>
      <c r="AH201" s="113">
        <f t="shared" si="146"/>
        <v>2.9380832638889189</v>
      </c>
      <c r="AI201" s="113">
        <f t="shared" si="146"/>
        <v>2.9391151409397067</v>
      </c>
      <c r="AJ201" s="113">
        <f t="shared" si="146"/>
        <v>2.9537361492233343</v>
      </c>
      <c r="AK201" s="113">
        <f t="shared" si="146"/>
        <v>2.9633455577762211</v>
      </c>
      <c r="AL201" s="113">
        <f t="shared" si="146"/>
        <v>2.9757696615096987</v>
      </c>
      <c r="AM201" s="113">
        <f t="shared" si="146"/>
        <v>2.9785700279570455</v>
      </c>
      <c r="AN201" s="113">
        <f t="shared" si="146"/>
        <v>2.98799162736224</v>
      </c>
      <c r="AO201" s="113">
        <f t="shared" si="146"/>
        <v>2.9978553491165747</v>
      </c>
      <c r="AP201" s="113">
        <f t="shared" si="146"/>
        <v>3.0064192186513012</v>
      </c>
      <c r="AQ201" s="113">
        <f t="shared" si="146"/>
        <v>3.0150466664863895</v>
      </c>
      <c r="AR201" s="113">
        <f t="shared" si="146"/>
        <v>3.0227090557717902</v>
      </c>
      <c r="AS201" s="113">
        <f t="shared" si="146"/>
        <v>3.0318282154041261</v>
      </c>
      <c r="AT201" s="113">
        <f t="shared" si="146"/>
        <v>3.0405075725065136</v>
      </c>
      <c r="AU201" s="113">
        <f t="shared" si="146"/>
        <v>3.0490007890784012</v>
      </c>
      <c r="AV201" s="113">
        <f t="shared" si="146"/>
        <v>3.0575228775422043</v>
      </c>
      <c r="AW201" s="113">
        <f t="shared" si="146"/>
        <v>3.0660114081902079</v>
      </c>
      <c r="AX201" s="113">
        <f t="shared" si="147"/>
        <v>3.0747148636328112</v>
      </c>
      <c r="AY201" s="113">
        <f t="shared" si="147"/>
        <v>3.0832606618293319</v>
      </c>
      <c r="AZ201" s="113">
        <f t="shared" si="147"/>
        <v>3.0918124846109061</v>
      </c>
      <c r="BA201" s="113">
        <f t="shared" si="147"/>
        <v>3.1003774527986385</v>
      </c>
      <c r="BB201" s="113">
        <f t="shared" si="147"/>
        <v>3.1089498545658141</v>
      </c>
      <c r="BC201" s="113">
        <f t="shared" si="147"/>
        <v>3.1175413657179223</v>
      </c>
      <c r="BD201" s="113">
        <f t="shared" si="147"/>
        <v>3.1261001134511726</v>
      </c>
      <c r="BE201" s="113">
        <f t="shared" si="147"/>
        <v>3.1346702894233203</v>
      </c>
      <c r="BF201" s="113">
        <f t="shared" si="147"/>
        <v>3.1432421966333868</v>
      </c>
    </row>
    <row r="202" spans="1:73">
      <c r="A202" s="69" t="s">
        <v>34</v>
      </c>
      <c r="W202" s="112">
        <v>2.82</v>
      </c>
      <c r="X202" s="112">
        <f t="shared" si="148"/>
        <v>2.8794021840096056</v>
      </c>
      <c r="Y202" s="112">
        <f>(Y41-7.66667)/SUM(Y138,Y154,Y170)</f>
        <v>2.91346016233258</v>
      </c>
      <c r="Z202" s="112">
        <f t="shared" si="145"/>
        <v>2.822517896332537</v>
      </c>
      <c r="AA202" s="112">
        <f t="shared" si="145"/>
        <v>2.8459952338130043</v>
      </c>
      <c r="AB202" s="112">
        <f t="shared" si="145"/>
        <v>2.8123249774461927</v>
      </c>
      <c r="AC202" s="112">
        <f t="shared" si="145"/>
        <v>2.8469801057969928</v>
      </c>
      <c r="AD202" s="112">
        <f t="shared" si="145"/>
        <v>2.9211863299739171</v>
      </c>
      <c r="AE202" s="112">
        <f t="shared" si="145"/>
        <v>2.9073738071805324</v>
      </c>
      <c r="AF202" s="112">
        <f>(AF41-7.66667)/SUM(AF138,AF154,AF170)</f>
        <v>2.9147376117227144</v>
      </c>
      <c r="AG202" s="113">
        <f t="shared" si="149"/>
        <v>2.9205205664240701</v>
      </c>
      <c r="AH202" s="113">
        <f t="shared" si="146"/>
        <v>2.9275694636685388</v>
      </c>
      <c r="AI202" s="113">
        <f t="shared" si="146"/>
        <v>2.9459545788253081</v>
      </c>
      <c r="AJ202" s="113">
        <f t="shared" si="146"/>
        <v>2.9475503622489638</v>
      </c>
      <c r="AK202" s="113">
        <f t="shared" si="146"/>
        <v>2.9571955551601574</v>
      </c>
      <c r="AL202" s="113">
        <f t="shared" si="146"/>
        <v>2.9653987427917197</v>
      </c>
      <c r="AM202" s="113">
        <f t="shared" si="146"/>
        <v>2.9745674899757417</v>
      </c>
      <c r="AN202" s="113">
        <f t="shared" si="146"/>
        <v>2.9840248097565372</v>
      </c>
      <c r="AO202" s="113">
        <f t="shared" si="146"/>
        <v>2.9911780375441457</v>
      </c>
      <c r="AP202" s="113">
        <f t="shared" si="146"/>
        <v>3.0002966494210388</v>
      </c>
      <c r="AQ202" s="113">
        <f t="shared" si="146"/>
        <v>3.0087922700170355</v>
      </c>
      <c r="AR202" s="113">
        <f t="shared" si="146"/>
        <v>3.0175167466743655</v>
      </c>
      <c r="AS202" s="113">
        <f t="shared" si="146"/>
        <v>3.026072941684689</v>
      </c>
      <c r="AT202" s="113">
        <f t="shared" si="146"/>
        <v>3.0344459259141461</v>
      </c>
      <c r="AU202" s="113">
        <f t="shared" si="146"/>
        <v>3.0431696519492819</v>
      </c>
      <c r="AV202" s="113">
        <f t="shared" si="146"/>
        <v>3.0517069710725591</v>
      </c>
      <c r="AW202" s="113">
        <f t="shared" si="146"/>
        <v>3.0603013165556203</v>
      </c>
      <c r="AX202" s="113">
        <f t="shared" si="147"/>
        <v>3.068848872655169</v>
      </c>
      <c r="AY202" s="113">
        <f t="shared" si="147"/>
        <v>3.0774059663729014</v>
      </c>
      <c r="AZ202" s="113">
        <f t="shared" si="147"/>
        <v>3.0860067030581573</v>
      </c>
      <c r="BA202" s="113">
        <f t="shared" si="147"/>
        <v>3.0945657816640622</v>
      </c>
      <c r="BB202" s="113">
        <f t="shared" si="147"/>
        <v>3.1031407146604617</v>
      </c>
      <c r="BC202" s="113">
        <f t="shared" si="147"/>
        <v>3.1117068309375724</v>
      </c>
      <c r="BD202" s="113">
        <f t="shared" si="147"/>
        <v>3.1202797914388958</v>
      </c>
      <c r="BE202" s="113">
        <f t="shared" si="147"/>
        <v>3.1288550075800634</v>
      </c>
      <c r="BF202" s="113">
        <f t="shared" si="147"/>
        <v>3.1374232796752479</v>
      </c>
    </row>
    <row r="203" spans="1:73">
      <c r="A203" s="69" t="s">
        <v>35</v>
      </c>
      <c r="W203" s="112">
        <v>2.82</v>
      </c>
      <c r="X203" s="112">
        <f t="shared" si="148"/>
        <v>2.8190016993902725</v>
      </c>
      <c r="Y203" s="112">
        <f>(Y42-7.66667)/SUM(Y139,Y155,Y171)</f>
        <v>2.7613152041821696</v>
      </c>
      <c r="Z203" s="112">
        <f t="shared" si="145"/>
        <v>2.8750670202173203</v>
      </c>
      <c r="AA203" s="112">
        <f t="shared" si="145"/>
        <v>2.9485536031916104</v>
      </c>
      <c r="AB203" s="112">
        <f t="shared" si="145"/>
        <v>2.8489809214931388</v>
      </c>
      <c r="AC203" s="112">
        <f t="shared" si="145"/>
        <v>2.8019320058964285</v>
      </c>
      <c r="AD203" s="112">
        <f t="shared" si="145"/>
        <v>2.9268076179531408</v>
      </c>
      <c r="AE203" s="112">
        <f t="shared" si="145"/>
        <v>2.9076500170553694</v>
      </c>
      <c r="AF203" s="112">
        <f t="shared" si="145"/>
        <v>2.9042216558830272</v>
      </c>
      <c r="AG203" s="113">
        <f t="shared" si="149"/>
        <v>2.9179184436562213</v>
      </c>
      <c r="AH203" s="113">
        <f t="shared" si="146"/>
        <v>2.9151528241969915</v>
      </c>
      <c r="AI203" s="113">
        <f t="shared" si="146"/>
        <v>2.9441494336369396</v>
      </c>
      <c r="AJ203" s="113">
        <f t="shared" si="146"/>
        <v>2.9412357351979019</v>
      </c>
      <c r="AK203" s="113">
        <f t="shared" si="146"/>
        <v>2.9503605893432949</v>
      </c>
      <c r="AL203" s="113">
        <f t="shared" si="146"/>
        <v>2.9596141091720134</v>
      </c>
      <c r="AM203" s="113">
        <f t="shared" si="146"/>
        <v>2.967724645593782</v>
      </c>
      <c r="AN203" s="113">
        <f t="shared" si="146"/>
        <v>2.9788399668375374</v>
      </c>
      <c r="AO203" s="113">
        <f t="shared" si="146"/>
        <v>2.984733769826748</v>
      </c>
      <c r="AP203" s="113">
        <f t="shared" si="146"/>
        <v>2.9941348277366564</v>
      </c>
      <c r="AQ203" s="113">
        <f t="shared" si="146"/>
        <v>3.00272812285752</v>
      </c>
      <c r="AR203" s="113">
        <f t="shared" si="146"/>
        <v>3.0113583024986808</v>
      </c>
      <c r="AS203" s="113">
        <f t="shared" si="146"/>
        <v>3.0201091718146151</v>
      </c>
      <c r="AT203" s="113">
        <f t="shared" si="146"/>
        <v>3.0282387557299013</v>
      </c>
      <c r="AU203" s="113">
        <f t="shared" si="146"/>
        <v>3.0370826062268677</v>
      </c>
      <c r="AV203" s="113">
        <f t="shared" si="146"/>
        <v>3.0456085882251793</v>
      </c>
      <c r="AW203" s="113">
        <f t="shared" si="146"/>
        <v>3.054197209067516</v>
      </c>
      <c r="AX203" s="113">
        <f t="shared" si="147"/>
        <v>3.0627597804991402</v>
      </c>
      <c r="AY203" s="113">
        <f t="shared" si="147"/>
        <v>3.0712817898123657</v>
      </c>
      <c r="AZ203" s="113">
        <f t="shared" si="147"/>
        <v>3.0799120460046758</v>
      </c>
      <c r="BA203" s="113">
        <f t="shared" si="147"/>
        <v>3.0884618419010503</v>
      </c>
      <c r="BB203" s="113">
        <f t="shared" si="147"/>
        <v>3.0970377063459242</v>
      </c>
      <c r="BC203" s="113">
        <f t="shared" si="147"/>
        <v>3.105603864554308</v>
      </c>
      <c r="BD203" s="113">
        <f t="shared" si="147"/>
        <v>3.1141733460160039</v>
      </c>
      <c r="BE203" s="113">
        <f t="shared" si="147"/>
        <v>3.1227538647014894</v>
      </c>
      <c r="BF203" s="113">
        <f t="shared" si="147"/>
        <v>3.1313191897043215</v>
      </c>
    </row>
    <row r="204" spans="1:73">
      <c r="A204" s="69" t="s">
        <v>36</v>
      </c>
      <c r="W204" s="112">
        <v>2.82</v>
      </c>
      <c r="X204" s="112">
        <f t="shared" si="148"/>
        <v>2.8549932534208882</v>
      </c>
      <c r="Y204" s="112">
        <f>(Y43-7.66667)/SUM(Y140,Y156,Y172)</f>
        <v>2.8027382548788822</v>
      </c>
      <c r="Z204" s="112">
        <f t="shared" si="145"/>
        <v>2.9056615233428245</v>
      </c>
      <c r="AA204" s="112">
        <f>(AA43-7.66667)/SUM(AA140,AA156,AA172)</f>
        <v>2.8863101388249408</v>
      </c>
      <c r="AB204" s="112">
        <f t="shared" si="145"/>
        <v>2.872546087374146</v>
      </c>
      <c r="AC204" s="112">
        <f t="shared" si="145"/>
        <v>2.5516633513789029</v>
      </c>
      <c r="AD204" s="112">
        <f t="shared" si="145"/>
        <v>2.9078400129625463</v>
      </c>
      <c r="AE204" s="112">
        <f t="shared" si="145"/>
        <v>2.9105066482764994</v>
      </c>
      <c r="AF204" s="112">
        <f t="shared" si="145"/>
        <v>2.9439411752487379</v>
      </c>
      <c r="AG204" s="113">
        <f t="shared" si="149"/>
        <v>2.8772994550481665</v>
      </c>
      <c r="AH204" s="113">
        <f t="shared" si="146"/>
        <v>2.8584877969666711</v>
      </c>
      <c r="AI204" s="113">
        <f t="shared" si="146"/>
        <v>2.9398968228839872</v>
      </c>
      <c r="AJ204" s="113">
        <f t="shared" si="146"/>
        <v>2.9275587688850186</v>
      </c>
      <c r="AK204" s="113">
        <f t="shared" si="146"/>
        <v>2.9349063125368904</v>
      </c>
      <c r="AL204" s="113">
        <f t="shared" si="146"/>
        <v>2.9308107109459609</v>
      </c>
      <c r="AM204" s="113">
        <f t="shared" si="146"/>
        <v>2.9452124253181418</v>
      </c>
      <c r="AN204" s="113">
        <f t="shared" si="146"/>
        <v>2.9632931538129643</v>
      </c>
      <c r="AO204" s="113">
        <f t="shared" si="146"/>
        <v>2.9646220544215027</v>
      </c>
      <c r="AP204" s="113">
        <f t="shared" si="146"/>
        <v>2.973555650653489</v>
      </c>
      <c r="AQ204" s="113">
        <f t="shared" si="146"/>
        <v>2.980984586124642</v>
      </c>
      <c r="AR204" s="113">
        <f t="shared" si="146"/>
        <v>2.9916708210515242</v>
      </c>
      <c r="AS204" s="113">
        <f t="shared" si="146"/>
        <v>3.0006138612531492</v>
      </c>
      <c r="AT204" s="113">
        <f t="shared" si="146"/>
        <v>3.0077082780627893</v>
      </c>
      <c r="AU204" s="113">
        <f t="shared" si="146"/>
        <v>3.0167062297707008</v>
      </c>
      <c r="AV204" s="113">
        <f t="shared" si="146"/>
        <v>3.0252443866230263</v>
      </c>
      <c r="AW204" s="113">
        <f t="shared" si="146"/>
        <v>3.0341747975345408</v>
      </c>
      <c r="AX204" s="113">
        <f t="shared" si="147"/>
        <v>3.0425681889274161</v>
      </c>
      <c r="AY204" s="113">
        <f t="shared" si="147"/>
        <v>3.050958422997764</v>
      </c>
      <c r="AZ204" s="113">
        <f t="shared" si="147"/>
        <v>3.0596734007139204</v>
      </c>
      <c r="BA204" s="113">
        <f t="shared" si="147"/>
        <v>3.068236449020687</v>
      </c>
      <c r="BB204" s="113">
        <f t="shared" si="147"/>
        <v>3.0768437025434103</v>
      </c>
      <c r="BC204" s="113">
        <f t="shared" si="147"/>
        <v>3.0853591154149469</v>
      </c>
      <c r="BD204" s="113">
        <f t="shared" si="147"/>
        <v>3.0939279938189452</v>
      </c>
      <c r="BE204" s="113">
        <f t="shared" si="147"/>
        <v>3.102528166923241</v>
      </c>
      <c r="BF204" s="113">
        <f t="shared" si="147"/>
        <v>3.1110918151994968</v>
      </c>
    </row>
    <row r="205" spans="1:73" ht="12" thickBot="1">
      <c r="A205" s="69" t="s">
        <v>138</v>
      </c>
      <c r="W205" s="112"/>
      <c r="X205" s="112">
        <f t="shared" ref="X205:BF205" si="150">AVERAGE(X193:X204)</f>
        <v>2.8206450760265214</v>
      </c>
      <c r="Y205" s="112">
        <f t="shared" si="150"/>
        <v>2.8113966211313941</v>
      </c>
      <c r="Z205" s="112">
        <f t="shared" si="150"/>
        <v>2.8336007384455226</v>
      </c>
      <c r="AA205" s="112">
        <f t="shared" si="150"/>
        <v>2.8725118018792544</v>
      </c>
      <c r="AB205" s="112">
        <f t="shared" si="150"/>
        <v>2.8726258106303781</v>
      </c>
      <c r="AC205" s="112">
        <f t="shared" si="150"/>
        <v>2.8304247690137401</v>
      </c>
      <c r="AD205" s="112">
        <f t="shared" si="150"/>
        <v>2.8920143175187234</v>
      </c>
      <c r="AE205" s="112">
        <f t="shared" si="150"/>
        <v>2.9034033827375487</v>
      </c>
      <c r="AF205" s="112">
        <f t="shared" si="150"/>
        <v>2.9043640383623512</v>
      </c>
      <c r="AG205" s="113">
        <f t="shared" si="150"/>
        <v>2.9176796622112504</v>
      </c>
      <c r="AH205" s="113">
        <f t="shared" si="150"/>
        <v>2.9125516269080909</v>
      </c>
      <c r="AI205" s="113">
        <f t="shared" si="150"/>
        <v>2.9343653502074676</v>
      </c>
      <c r="AJ205" s="113">
        <f t="shared" si="150"/>
        <v>2.9394996775548101</v>
      </c>
      <c r="AK205" s="113">
        <f t="shared" si="150"/>
        <v>2.9472401694222898</v>
      </c>
      <c r="AL205" s="113">
        <f t="shared" si="150"/>
        <v>2.9560240792204042</v>
      </c>
      <c r="AM205" s="113">
        <f t="shared" si="150"/>
        <v>2.9634142060231645</v>
      </c>
      <c r="AN205" s="113">
        <f t="shared" si="150"/>
        <v>2.9742823191012424</v>
      </c>
      <c r="AO205" s="113">
        <f t="shared" si="150"/>
        <v>2.9815445330551671</v>
      </c>
      <c r="AP205" s="113">
        <f t="shared" si="150"/>
        <v>2.9902401934417751</v>
      </c>
      <c r="AQ205" s="113">
        <f t="shared" si="150"/>
        <v>2.9988162843499944</v>
      </c>
      <c r="AR205" s="113">
        <f t="shared" si="150"/>
        <v>3.0073703129053366</v>
      </c>
      <c r="AS205" s="113">
        <f t="shared" si="150"/>
        <v>3.0162208324870448</v>
      </c>
      <c r="AT205" s="113">
        <f t="shared" si="150"/>
        <v>3.0244928309380676</v>
      </c>
      <c r="AU205" s="113">
        <f t="shared" si="150"/>
        <v>3.0331619057960371</v>
      </c>
      <c r="AV205" s="113">
        <f t="shared" si="150"/>
        <v>3.0417250651701111</v>
      </c>
      <c r="AW205" s="113">
        <f t="shared" si="150"/>
        <v>3.0503114705316214</v>
      </c>
      <c r="AX205" s="113">
        <f t="shared" si="150"/>
        <v>3.0589001585978153</v>
      </c>
      <c r="AY205" s="113">
        <f t="shared" si="150"/>
        <v>3.0674228181089593</v>
      </c>
      <c r="AZ205" s="113">
        <f t="shared" si="150"/>
        <v>3.0760246500238964</v>
      </c>
      <c r="BA205" s="113">
        <f t="shared" si="150"/>
        <v>3.0845898781021268</v>
      </c>
      <c r="BB205" s="113">
        <f t="shared" si="150"/>
        <v>3.0931647743155728</v>
      </c>
      <c r="BC205" s="113">
        <f t="shared" si="150"/>
        <v>3.1017343762081993</v>
      </c>
      <c r="BD205" s="113">
        <f t="shared" si="150"/>
        <v>3.1103005301376392</v>
      </c>
      <c r="BE205" s="113">
        <f t="shared" si="150"/>
        <v>3.1188784196624479</v>
      </c>
      <c r="BF205" s="113">
        <f t="shared" si="150"/>
        <v>3.1274473896908841</v>
      </c>
    </row>
    <row r="206" spans="1:73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</row>
    <row r="207" spans="1:73" ht="12" thickBot="1">
      <c r="A207" s="69" t="s">
        <v>166</v>
      </c>
      <c r="Z207" s="76"/>
      <c r="AA207" s="76"/>
      <c r="AB207" s="76"/>
      <c r="AC207" s="76"/>
    </row>
    <row r="208" spans="1:73" ht="12" thickBot="1">
      <c r="A208" s="84"/>
      <c r="B208" s="85" t="s">
        <v>66</v>
      </c>
      <c r="C208" s="86" t="s">
        <v>67</v>
      </c>
      <c r="D208" s="86" t="s">
        <v>68</v>
      </c>
      <c r="E208" s="86" t="s">
        <v>69</v>
      </c>
      <c r="F208" s="86" t="s">
        <v>70</v>
      </c>
      <c r="G208" s="86" t="s">
        <v>71</v>
      </c>
      <c r="H208" s="86" t="s">
        <v>72</v>
      </c>
      <c r="I208" s="86" t="s">
        <v>73</v>
      </c>
      <c r="J208" s="86" t="s">
        <v>74</v>
      </c>
      <c r="K208" s="86" t="s">
        <v>75</v>
      </c>
      <c r="L208" s="86" t="s">
        <v>76</v>
      </c>
      <c r="M208" s="86" t="s">
        <v>77</v>
      </c>
      <c r="N208" s="86" t="s">
        <v>78</v>
      </c>
      <c r="O208" s="86" t="s">
        <v>79</v>
      </c>
      <c r="P208" s="86" t="s">
        <v>80</v>
      </c>
      <c r="Q208" s="86" t="s">
        <v>81</v>
      </c>
      <c r="R208" s="86" t="s">
        <v>82</v>
      </c>
      <c r="S208" s="86" t="s">
        <v>83</v>
      </c>
      <c r="T208" s="86" t="s">
        <v>84</v>
      </c>
      <c r="U208" s="86" t="s">
        <v>85</v>
      </c>
      <c r="V208" s="86" t="s">
        <v>86</v>
      </c>
      <c r="W208" s="86" t="s">
        <v>87</v>
      </c>
      <c r="X208" s="86" t="s">
        <v>88</v>
      </c>
      <c r="Y208" s="86" t="s">
        <v>89</v>
      </c>
      <c r="Z208" s="86" t="s">
        <v>90</v>
      </c>
      <c r="AA208" s="86" t="s">
        <v>91</v>
      </c>
      <c r="AB208" s="86" t="s">
        <v>92</v>
      </c>
      <c r="AC208" s="86" t="s">
        <v>93</v>
      </c>
      <c r="AD208" s="86" t="str">
        <f>AD2</f>
        <v>21/22</v>
      </c>
      <c r="AE208" s="86" t="str">
        <f t="shared" ref="AE208:BF208" si="151">AE2</f>
        <v>22/23</v>
      </c>
      <c r="AF208" s="86" t="str">
        <f t="shared" si="151"/>
        <v>23/24</v>
      </c>
      <c r="AG208" s="86" t="str">
        <f t="shared" si="151"/>
        <v>24/25</v>
      </c>
      <c r="AH208" s="86" t="str">
        <f t="shared" si="151"/>
        <v>25/26</v>
      </c>
      <c r="AI208" s="86" t="str">
        <f t="shared" si="151"/>
        <v>26/27</v>
      </c>
      <c r="AJ208" s="86" t="str">
        <f t="shared" si="151"/>
        <v>27/28</v>
      </c>
      <c r="AK208" s="86" t="str">
        <f t="shared" si="151"/>
        <v>28/29</v>
      </c>
      <c r="AL208" s="86" t="str">
        <f t="shared" si="151"/>
        <v>29/30</v>
      </c>
      <c r="AM208" s="86" t="str">
        <f t="shared" si="151"/>
        <v>30/31</v>
      </c>
      <c r="AN208" s="86" t="str">
        <f t="shared" si="151"/>
        <v>31/32</v>
      </c>
      <c r="AO208" s="86" t="str">
        <f t="shared" si="151"/>
        <v>32/33</v>
      </c>
      <c r="AP208" s="86" t="str">
        <f t="shared" si="151"/>
        <v>33/34</v>
      </c>
      <c r="AQ208" s="86" t="str">
        <f t="shared" si="151"/>
        <v>34/35</v>
      </c>
      <c r="AR208" s="86" t="str">
        <f t="shared" si="151"/>
        <v>35/36</v>
      </c>
      <c r="AS208" s="86" t="str">
        <f t="shared" si="151"/>
        <v>36/37</v>
      </c>
      <c r="AT208" s="86" t="str">
        <f t="shared" si="151"/>
        <v>37/38</v>
      </c>
      <c r="AU208" s="86" t="str">
        <f t="shared" si="151"/>
        <v>38/39</v>
      </c>
      <c r="AV208" s="86" t="str">
        <f t="shared" si="151"/>
        <v>39/40</v>
      </c>
      <c r="AW208" s="86" t="str">
        <f t="shared" si="151"/>
        <v>40/41</v>
      </c>
      <c r="AX208" s="86" t="str">
        <f t="shared" si="151"/>
        <v>41/42</v>
      </c>
      <c r="AY208" s="86" t="str">
        <f t="shared" si="151"/>
        <v>42/43</v>
      </c>
      <c r="AZ208" s="86" t="str">
        <f t="shared" si="151"/>
        <v>43/44</v>
      </c>
      <c r="BA208" s="86" t="str">
        <f t="shared" si="151"/>
        <v>44/45</v>
      </c>
      <c r="BB208" s="86" t="str">
        <f t="shared" si="151"/>
        <v>45/46</v>
      </c>
      <c r="BC208" s="86" t="str">
        <f t="shared" si="151"/>
        <v>42/47</v>
      </c>
      <c r="BD208" s="86" t="str">
        <f t="shared" si="151"/>
        <v>42/48</v>
      </c>
      <c r="BE208" s="86" t="str">
        <f t="shared" si="151"/>
        <v>42/49</v>
      </c>
      <c r="BF208" s="86" t="str">
        <f t="shared" si="151"/>
        <v>42/50</v>
      </c>
    </row>
    <row r="209" spans="1:73">
      <c r="A209" s="69" t="s">
        <v>37</v>
      </c>
      <c r="Y209" s="115">
        <f t="shared" ref="Y209:AG220" si="152">(Y129+Y145)/SUM(Y129,Y145,Y161,Y177)</f>
        <v>0.98214083314752954</v>
      </c>
      <c r="Z209" s="115">
        <f t="shared" si="152"/>
        <v>0.98348995698925734</v>
      </c>
      <c r="AA209" s="115">
        <f t="shared" si="152"/>
        <v>0.97572359616544979</v>
      </c>
      <c r="AB209" s="115">
        <f t="shared" si="152"/>
        <v>0.96803301031692823</v>
      </c>
      <c r="AC209" s="115">
        <f t="shared" si="152"/>
        <v>0.98939124825825209</v>
      </c>
      <c r="AD209" s="115">
        <f t="shared" si="152"/>
        <v>0.99228846412171468</v>
      </c>
      <c r="AE209" s="115">
        <f t="shared" si="152"/>
        <v>0.97516332940719275</v>
      </c>
      <c r="AF209" s="115">
        <f t="shared" si="152"/>
        <v>0.98611899648168244</v>
      </c>
      <c r="AG209" s="115">
        <f t="shared" si="152"/>
        <v>0.98906543478903242</v>
      </c>
      <c r="AH209" s="116">
        <f t="shared" ref="AG209:AM220" si="153">((SUM(AB209:AF209)/SUM(AB$221:AF$221))*AH$221)</f>
        <v>0.97711482038469866</v>
      </c>
      <c r="AI209" s="116">
        <f t="shared" si="153"/>
        <v>0.97812975071918751</v>
      </c>
      <c r="AJ209" s="116">
        <f t="shared" si="153"/>
        <v>0.97878314453400062</v>
      </c>
      <c r="AK209" s="116">
        <f t="shared" si="153"/>
        <v>0.97499316874343278</v>
      </c>
      <c r="AL209" s="116">
        <f t="shared" si="153"/>
        <v>0.97243550876303797</v>
      </c>
      <c r="AM209" s="116">
        <f t="shared" si="153"/>
        <v>0.97190544251719602</v>
      </c>
      <c r="AN209" s="116">
        <f t="shared" ref="AN209:AN220" si="154">((SUM(AH209:AL209)/SUM(AH$221:AL$221))*AN$221)</f>
        <v>0.96958890409271159</v>
      </c>
      <c r="AO209" s="116">
        <f t="shared" ref="AO209:BD220" si="155">((SUM(AI209:AM209)/SUM(AI$221:AM$221))*AO$221)</f>
        <v>0.96811050698477563</v>
      </c>
      <c r="AP209" s="116">
        <f t="shared" si="155"/>
        <v>0.9655109200570765</v>
      </c>
      <c r="AQ209" s="116">
        <f t="shared" si="155"/>
        <v>0.96371913710596957</v>
      </c>
      <c r="AR209" s="116">
        <f t="shared" si="155"/>
        <v>0.96244843365271127</v>
      </c>
      <c r="AS209" s="116">
        <f t="shared" si="155"/>
        <v>0.96031690830638061</v>
      </c>
      <c r="AT209" s="116">
        <f t="shared" si="155"/>
        <v>0.95821553783817903</v>
      </c>
      <c r="AU209" s="116">
        <f t="shared" si="155"/>
        <v>0.95649191267173272</v>
      </c>
      <c r="AV209" s="116">
        <f t="shared" si="155"/>
        <v>0.95469269057620532</v>
      </c>
      <c r="AW209" s="116">
        <f t="shared" si="155"/>
        <v>0.95278993201612761</v>
      </c>
      <c r="AX209" s="116">
        <f t="shared" si="155"/>
        <v>0.95086603214983934</v>
      </c>
      <c r="AY209" s="116">
        <f t="shared" si="155"/>
        <v>0.94902366876740885</v>
      </c>
      <c r="AZ209" s="116">
        <f t="shared" si="155"/>
        <v>0.94717604082871987</v>
      </c>
      <c r="BA209" s="116">
        <f t="shared" si="155"/>
        <v>0.94530159684444481</v>
      </c>
      <c r="BB209" s="116">
        <f t="shared" si="155"/>
        <v>0.94340357463552904</v>
      </c>
      <c r="BC209" s="116">
        <f t="shared" si="155"/>
        <v>0.94155129464589171</v>
      </c>
      <c r="BD209" s="116">
        <f t="shared" si="155"/>
        <v>0.93969588623062317</v>
      </c>
      <c r="BE209" s="116">
        <f t="shared" ref="BE209:BF220" si="156">((SUM(AY209:BC209)/SUM(AY$221:BC$221))*BE$221)</f>
        <v>0.93781255966792465</v>
      </c>
      <c r="BF209" s="116">
        <f t="shared" si="156"/>
        <v>0.93593882190598332</v>
      </c>
      <c r="BG209" s="117"/>
      <c r="BH209" s="117"/>
      <c r="BI209" s="117"/>
      <c r="BJ209" s="117"/>
      <c r="BK209" s="117"/>
      <c r="BL209" s="117"/>
      <c r="BM209" s="117"/>
      <c r="BN209" s="117"/>
      <c r="BO209" s="117"/>
      <c r="BP209" s="117"/>
      <c r="BQ209" s="117"/>
      <c r="BR209" s="117"/>
      <c r="BS209" s="117"/>
      <c r="BT209" s="117"/>
      <c r="BU209" s="117"/>
    </row>
    <row r="210" spans="1:73">
      <c r="A210" s="69" t="s">
        <v>38</v>
      </c>
      <c r="X210" s="115">
        <f t="shared" ref="X210:Z220" si="157">(X130+X146)/SUM(X130,X146,X162,X178)</f>
        <v>0.97316443134105568</v>
      </c>
      <c r="Y210" s="115">
        <f>(Y130+Y146)/SUM(Y130,Y146,Y162,Y178)</f>
        <v>0.97418804338366438</v>
      </c>
      <c r="Z210" s="115">
        <f>(Z130+Z146)/SUM(Z130,Z146,Z162,Z178)</f>
        <v>0.98372883668725686</v>
      </c>
      <c r="AA210" s="115">
        <f t="shared" si="152"/>
        <v>0.974096707636671</v>
      </c>
      <c r="AB210" s="115">
        <f t="shared" si="152"/>
        <v>0.97478734085674312</v>
      </c>
      <c r="AC210" s="115">
        <f t="shared" si="152"/>
        <v>0.99000500084956955</v>
      </c>
      <c r="AD210" s="115">
        <f t="shared" si="152"/>
        <v>0.99126392645390049</v>
      </c>
      <c r="AE210" s="115">
        <f t="shared" si="152"/>
        <v>0.97945042668808058</v>
      </c>
      <c r="AF210" s="115">
        <f t="shared" si="152"/>
        <v>0.98913241213625569</v>
      </c>
      <c r="AG210" s="115">
        <f t="shared" si="152"/>
        <v>0.98586886120606831</v>
      </c>
      <c r="AH210" s="116">
        <f t="shared" si="153"/>
        <v>0.97982950682598924</v>
      </c>
      <c r="AI210" s="116">
        <f t="shared" si="153"/>
        <v>0.97886218460993213</v>
      </c>
      <c r="AJ210" s="116">
        <f t="shared" si="153"/>
        <v>0.97993587680511807</v>
      </c>
      <c r="AK210" s="116">
        <f t="shared" si="153"/>
        <v>0.97649395215780155</v>
      </c>
      <c r="AL210" s="116">
        <f t="shared" si="153"/>
        <v>0.97331038452814589</v>
      </c>
      <c r="AM210" s="116">
        <f t="shared" si="153"/>
        <v>0.97248168268562851</v>
      </c>
      <c r="AN210" s="116">
        <f t="shared" si="154"/>
        <v>0.97097442887877838</v>
      </c>
      <c r="AO210" s="116">
        <f t="shared" si="155"/>
        <v>0.9690708385529494</v>
      </c>
      <c r="AP210" s="116">
        <f t="shared" si="155"/>
        <v>0.96659989416074732</v>
      </c>
      <c r="AQ210" s="116">
        <f t="shared" si="155"/>
        <v>0.96477030311525935</v>
      </c>
      <c r="AR210" s="116">
        <f t="shared" si="155"/>
        <v>0.96341850517488814</v>
      </c>
      <c r="AS210" s="116">
        <f t="shared" si="155"/>
        <v>0.96132156160096593</v>
      </c>
      <c r="AT210" s="116">
        <f t="shared" si="155"/>
        <v>0.95929809737879279</v>
      </c>
      <c r="AU210" s="116">
        <f t="shared" si="155"/>
        <v>0.95749902423733291</v>
      </c>
      <c r="AV210" s="116">
        <f t="shared" si="155"/>
        <v>0.95572423435186937</v>
      </c>
      <c r="AW210" s="116">
        <f t="shared" si="155"/>
        <v>0.95380510824260678</v>
      </c>
      <c r="AX210" s="116">
        <f t="shared" si="155"/>
        <v>0.95187717335071464</v>
      </c>
      <c r="AY210" s="116">
        <f t="shared" si="155"/>
        <v>0.95004383932639458</v>
      </c>
      <c r="AZ210" s="116">
        <f t="shared" si="155"/>
        <v>0.94819752877379793</v>
      </c>
      <c r="BA210" s="116">
        <f t="shared" si="155"/>
        <v>0.94631065039203732</v>
      </c>
      <c r="BB210" s="116">
        <f t="shared" si="155"/>
        <v>0.9444154278657263</v>
      </c>
      <c r="BC210" s="116">
        <f t="shared" si="155"/>
        <v>0.94255869722631391</v>
      </c>
      <c r="BD210" s="116">
        <f t="shared" si="155"/>
        <v>0.94070263702096379</v>
      </c>
      <c r="BE210" s="116">
        <f t="shared" si="156"/>
        <v>0.93881853102608059</v>
      </c>
      <c r="BF210" s="116">
        <f t="shared" si="156"/>
        <v>0.93694210595322291</v>
      </c>
      <c r="BG210" s="117"/>
      <c r="BH210" s="117"/>
      <c r="BI210" s="117"/>
      <c r="BJ210" s="117"/>
      <c r="BK210" s="117"/>
      <c r="BL210" s="117"/>
      <c r="BM210" s="117"/>
      <c r="BN210" s="117"/>
      <c r="BO210" s="117"/>
      <c r="BP210" s="117"/>
      <c r="BQ210" s="117"/>
      <c r="BR210" s="117"/>
      <c r="BS210" s="117"/>
      <c r="BT210" s="117"/>
      <c r="BU210" s="117"/>
    </row>
    <row r="211" spans="1:73">
      <c r="A211" s="69" t="s">
        <v>39</v>
      </c>
      <c r="X211" s="115">
        <f t="shared" si="157"/>
        <v>0.96898024354119061</v>
      </c>
      <c r="Y211" s="115">
        <f t="shared" si="157"/>
        <v>0.97321300173750269</v>
      </c>
      <c r="Z211" s="115">
        <f>(Z131+Z147)/SUM(Z131,Z147,Z163,Z179)</f>
        <v>0.982372858986579</v>
      </c>
      <c r="AA211" s="115">
        <f t="shared" si="152"/>
        <v>0.97124126168172198</v>
      </c>
      <c r="AB211" s="115">
        <f t="shared" si="152"/>
        <v>0.97698459204192012</v>
      </c>
      <c r="AC211" s="115">
        <f t="shared" si="152"/>
        <v>0.99022304279412754</v>
      </c>
      <c r="AD211" s="115">
        <f t="shared" si="152"/>
        <v>0.9876197314839984</v>
      </c>
      <c r="AE211" s="115">
        <f t="shared" si="152"/>
        <v>0.98104074657163931</v>
      </c>
      <c r="AF211" s="115">
        <f t="shared" si="152"/>
        <v>0.99075980271212649</v>
      </c>
      <c r="AG211" s="115">
        <f t="shared" si="152"/>
        <v>0.98254049331278981</v>
      </c>
      <c r="AH211" s="116">
        <f t="shared" si="153"/>
        <v>0.98022520960262927</v>
      </c>
      <c r="AI211" s="116">
        <f t="shared" si="153"/>
        <v>0.9781607571439076</v>
      </c>
      <c r="AJ211" s="116">
        <f t="shared" si="153"/>
        <v>0.97926757489211746</v>
      </c>
      <c r="AK211" s="116">
        <f t="shared" si="153"/>
        <v>0.97641119564273016</v>
      </c>
      <c r="AL211" s="116">
        <f t="shared" si="153"/>
        <v>0.97278050952583506</v>
      </c>
      <c r="AM211" s="116">
        <f t="shared" si="153"/>
        <v>0.97161155671073229</v>
      </c>
      <c r="AN211" s="116">
        <f t="shared" si="154"/>
        <v>0.97065927578027367</v>
      </c>
      <c r="AO211" s="116">
        <f t="shared" si="155"/>
        <v>0.96850451726067421</v>
      </c>
      <c r="AP211" s="116">
        <f t="shared" si="155"/>
        <v>0.96611072020055222</v>
      </c>
      <c r="AQ211" s="116">
        <f t="shared" si="155"/>
        <v>0.96430119877499276</v>
      </c>
      <c r="AR211" s="116">
        <f t="shared" si="155"/>
        <v>0.96286841153982272</v>
      </c>
      <c r="AS211" s="116">
        <f t="shared" si="155"/>
        <v>0.9607837581109635</v>
      </c>
      <c r="AT211" s="116">
        <f t="shared" si="155"/>
        <v>0.95882391873105943</v>
      </c>
      <c r="AU211" s="116">
        <f t="shared" si="155"/>
        <v>0.95698060575625865</v>
      </c>
      <c r="AV211" s="116">
        <f t="shared" si="155"/>
        <v>0.95522401437338156</v>
      </c>
      <c r="AW211" s="116">
        <f t="shared" si="155"/>
        <v>0.95329914390982995</v>
      </c>
      <c r="AX211" s="116">
        <f t="shared" si="155"/>
        <v>0.95136510557865606</v>
      </c>
      <c r="AY211" s="116">
        <f t="shared" si="155"/>
        <v>0.94954048843828542</v>
      </c>
      <c r="AZ211" s="116">
        <f t="shared" si="155"/>
        <v>0.94769927018152045</v>
      </c>
      <c r="BA211" s="116">
        <f t="shared" si="155"/>
        <v>0.94580662966095974</v>
      </c>
      <c r="BB211" s="116">
        <f t="shared" si="155"/>
        <v>0.9439154337075808</v>
      </c>
      <c r="BC211" s="116">
        <f t="shared" si="155"/>
        <v>0.94205794300771717</v>
      </c>
      <c r="BD211" s="116">
        <f t="shared" si="155"/>
        <v>0.9402030636691967</v>
      </c>
      <c r="BE211" s="116">
        <f t="shared" si="156"/>
        <v>0.9383212211533315</v>
      </c>
      <c r="BF211" s="116">
        <f t="shared" si="156"/>
        <v>0.93644555778133798</v>
      </c>
      <c r="BG211" s="117"/>
      <c r="BH211" s="117"/>
      <c r="BI211" s="117"/>
      <c r="BJ211" s="117"/>
      <c r="BK211" s="117"/>
      <c r="BL211" s="117"/>
      <c r="BM211" s="117"/>
      <c r="BN211" s="117"/>
      <c r="BO211" s="117"/>
      <c r="BP211" s="117"/>
      <c r="BQ211" s="117"/>
      <c r="BR211" s="117"/>
      <c r="BS211" s="117"/>
      <c r="BT211" s="117"/>
      <c r="BU211" s="117"/>
    </row>
    <row r="212" spans="1:73">
      <c r="A212" s="69" t="s">
        <v>40</v>
      </c>
      <c r="X212" s="115">
        <f t="shared" si="157"/>
        <v>0.96086719405958154</v>
      </c>
      <c r="Y212" s="115">
        <f t="shared" si="157"/>
        <v>0.97166698764610904</v>
      </c>
      <c r="Z212" s="115">
        <f>(Z132+Z148)/SUM(Z132,Z148,Z164,Z180)</f>
        <v>0.98500548665886878</v>
      </c>
      <c r="AA212" s="115">
        <f t="shared" si="152"/>
        <v>0.98071641545457644</v>
      </c>
      <c r="AB212" s="115">
        <f t="shared" si="152"/>
        <v>0.97222291288888307</v>
      </c>
      <c r="AC212" s="115">
        <f t="shared" si="152"/>
        <v>0.99035274191263667</v>
      </c>
      <c r="AD212" s="115">
        <f t="shared" si="152"/>
        <v>0.98785777495497984</v>
      </c>
      <c r="AE212" s="115">
        <f t="shared" si="152"/>
        <v>0.97909227137668797</v>
      </c>
      <c r="AF212" s="115">
        <f t="shared" si="152"/>
        <v>0.99254138924060642</v>
      </c>
      <c r="AG212" s="115">
        <f t="shared" si="152"/>
        <v>0.97708770337997797</v>
      </c>
      <c r="AH212" s="116">
        <f t="shared" si="153"/>
        <v>0.97931776622682731</v>
      </c>
      <c r="AI212" s="116">
        <f t="shared" si="153"/>
        <v>0.97711918247950957</v>
      </c>
      <c r="AJ212" s="116">
        <f t="shared" si="153"/>
        <v>0.97801636441867412</v>
      </c>
      <c r="AK212" s="116">
        <f t="shared" si="153"/>
        <v>0.97490690685950232</v>
      </c>
      <c r="AL212" s="116">
        <f t="shared" si="153"/>
        <v>0.97141939002373834</v>
      </c>
      <c r="AM212" s="116">
        <f t="shared" si="153"/>
        <v>0.9695960874979479</v>
      </c>
      <c r="AN212" s="116">
        <f t="shared" si="154"/>
        <v>0.96945447670744056</v>
      </c>
      <c r="AO212" s="116">
        <f t="shared" si="155"/>
        <v>0.9670802870792109</v>
      </c>
      <c r="AP212" s="116">
        <f t="shared" si="155"/>
        <v>0.96465544654286894</v>
      </c>
      <c r="AQ212" s="116">
        <f t="shared" si="155"/>
        <v>0.9628111038829501</v>
      </c>
      <c r="AR212" s="116">
        <f t="shared" si="155"/>
        <v>0.96138710210304101</v>
      </c>
      <c r="AS212" s="116">
        <f t="shared" si="155"/>
        <v>0.95927747038624056</v>
      </c>
      <c r="AT212" s="116">
        <f t="shared" si="155"/>
        <v>0.95742396858304457</v>
      </c>
      <c r="AU212" s="116">
        <f t="shared" si="155"/>
        <v>0.95552065891932536</v>
      </c>
      <c r="AV212" s="116">
        <f t="shared" si="155"/>
        <v>0.95376863512636345</v>
      </c>
      <c r="AW212" s="116">
        <f t="shared" si="155"/>
        <v>0.95184300946161404</v>
      </c>
      <c r="AX212" s="116">
        <f t="shared" si="155"/>
        <v>0.94991606249541727</v>
      </c>
      <c r="AY212" s="116">
        <f t="shared" si="155"/>
        <v>0.94809632786157239</v>
      </c>
      <c r="AZ212" s="116">
        <f t="shared" si="155"/>
        <v>0.94626642701818564</v>
      </c>
      <c r="BA212" s="116">
        <f t="shared" si="155"/>
        <v>0.94436509012060255</v>
      </c>
      <c r="BB212" s="116">
        <f t="shared" si="155"/>
        <v>0.94247934768182351</v>
      </c>
      <c r="BC212" s="116">
        <f t="shared" si="155"/>
        <v>0.94062458615678679</v>
      </c>
      <c r="BD212" s="116">
        <f t="shared" si="155"/>
        <v>0.93877367414970603</v>
      </c>
      <c r="BE212" s="116">
        <f t="shared" si="156"/>
        <v>0.93689499747829408</v>
      </c>
      <c r="BF212" s="116">
        <f t="shared" si="156"/>
        <v>0.93502229983068519</v>
      </c>
      <c r="BG212" s="117"/>
      <c r="BH212" s="117"/>
      <c r="BI212" s="117"/>
      <c r="BJ212" s="117"/>
      <c r="BK212" s="117"/>
      <c r="BL212" s="117"/>
      <c r="BM212" s="117"/>
      <c r="BN212" s="117"/>
      <c r="BO212" s="117"/>
      <c r="BP212" s="117"/>
      <c r="BQ212" s="117"/>
      <c r="BR212" s="117"/>
      <c r="BS212" s="117"/>
      <c r="BT212" s="117"/>
      <c r="BU212" s="117"/>
    </row>
    <row r="213" spans="1:73">
      <c r="A213" s="69" t="s">
        <v>30</v>
      </c>
      <c r="X213" s="115">
        <f t="shared" si="157"/>
        <v>0.96312216161456654</v>
      </c>
      <c r="Y213" s="115">
        <f t="shared" si="157"/>
        <v>0.96619599269801504</v>
      </c>
      <c r="Z213" s="115">
        <f>(Z133+Z149)/SUM(Z133,Z149,Z165,Z181)</f>
        <v>0.98251439712817823</v>
      </c>
      <c r="AA213" s="115">
        <f t="shared" si="152"/>
        <v>0.9714035411809423</v>
      </c>
      <c r="AB213" s="115">
        <f t="shared" si="152"/>
        <v>0.97253219751071984</v>
      </c>
      <c r="AC213" s="115">
        <f t="shared" si="152"/>
        <v>0.98995075770983154</v>
      </c>
      <c r="AD213" s="115">
        <f t="shared" si="152"/>
        <v>0.98788817439239152</v>
      </c>
      <c r="AE213" s="115">
        <f t="shared" si="152"/>
        <v>0.98178979951236089</v>
      </c>
      <c r="AF213" s="115">
        <f t="shared" si="152"/>
        <v>0.990501509033195</v>
      </c>
      <c r="AG213" s="115">
        <f t="shared" si="152"/>
        <v>0.97523830730509942</v>
      </c>
      <c r="AH213" s="116">
        <f t="shared" si="153"/>
        <v>0.97943621944006887</v>
      </c>
      <c r="AI213" s="116">
        <f t="shared" si="153"/>
        <v>0.97680913910690681</v>
      </c>
      <c r="AJ213" s="116">
        <f t="shared" si="153"/>
        <v>0.97780888064081939</v>
      </c>
      <c r="AK213" s="116">
        <f t="shared" si="153"/>
        <v>0.97463196648387207</v>
      </c>
      <c r="AL213" s="116">
        <f t="shared" si="153"/>
        <v>0.97056993721895679</v>
      </c>
      <c r="AM213" s="116">
        <f t="shared" si="153"/>
        <v>0.96909537841898885</v>
      </c>
      <c r="AN213" s="116">
        <f t="shared" si="154"/>
        <v>0.96915187504637135</v>
      </c>
      <c r="AO213" s="116">
        <f t="shared" si="155"/>
        <v>0.9666548980376527</v>
      </c>
      <c r="AP213" s="116">
        <f t="shared" si="155"/>
        <v>0.964231931448151</v>
      </c>
      <c r="AQ213" s="116">
        <f t="shared" si="155"/>
        <v>0.96234420969654055</v>
      </c>
      <c r="AR213" s="116">
        <f t="shared" si="155"/>
        <v>0.96089041294991839</v>
      </c>
      <c r="AS213" s="116">
        <f t="shared" si="155"/>
        <v>0.95885691124318206</v>
      </c>
      <c r="AT213" s="116">
        <f t="shared" si="155"/>
        <v>0.9570043055713604</v>
      </c>
      <c r="AU213" s="116">
        <f t="shared" si="155"/>
        <v>0.95507753773627024</v>
      </c>
      <c r="AV213" s="116">
        <f t="shared" si="155"/>
        <v>0.95332657412036004</v>
      </c>
      <c r="AW213" s="116">
        <f t="shared" si="155"/>
        <v>0.95139710995425397</v>
      </c>
      <c r="AX213" s="116">
        <f t="shared" si="155"/>
        <v>0.94947515259070692</v>
      </c>
      <c r="AY213" s="116">
        <f t="shared" si="155"/>
        <v>0.94766546205105739</v>
      </c>
      <c r="AZ213" s="116">
        <f t="shared" si="155"/>
        <v>0.94583151012358968</v>
      </c>
      <c r="BA213" s="116">
        <f t="shared" si="155"/>
        <v>0.9439279734175211</v>
      </c>
      <c r="BB213" s="116">
        <f t="shared" si="155"/>
        <v>0.94204388179887499</v>
      </c>
      <c r="BC213" s="116">
        <f t="shared" si="155"/>
        <v>0.94019009620059757</v>
      </c>
      <c r="BD213" s="116">
        <f t="shared" si="155"/>
        <v>0.93834125121919931</v>
      </c>
      <c r="BE213" s="116">
        <f t="shared" si="156"/>
        <v>0.93646386453946517</v>
      </c>
      <c r="BF213" s="116">
        <f t="shared" si="156"/>
        <v>0.93459086850641826</v>
      </c>
    </row>
    <row r="214" spans="1:73">
      <c r="A214" s="69" t="s">
        <v>31</v>
      </c>
      <c r="X214" s="115">
        <f t="shared" si="157"/>
        <v>0.95492605706514411</v>
      </c>
      <c r="Y214" s="115">
        <f t="shared" si="157"/>
        <v>0.96479489645557281</v>
      </c>
      <c r="Z214" s="115">
        <f t="shared" si="157"/>
        <v>0.98559545306036944</v>
      </c>
      <c r="AA214" s="115">
        <f t="shared" si="152"/>
        <v>0.96866154468794896</v>
      </c>
      <c r="AB214" s="115">
        <f t="shared" si="152"/>
        <v>0.96647767375307436</v>
      </c>
      <c r="AC214" s="115">
        <f t="shared" si="152"/>
        <v>0.98841111150654926</v>
      </c>
      <c r="AD214" s="115">
        <f t="shared" si="152"/>
        <v>0.98707521188543057</v>
      </c>
      <c r="AE214" s="115">
        <f t="shared" si="152"/>
        <v>0.98279179088991264</v>
      </c>
      <c r="AF214" s="115">
        <f t="shared" si="152"/>
        <v>0.98995763433793149</v>
      </c>
      <c r="AG214" s="116">
        <f t="shared" si="153"/>
        <v>0.98145515791361226</v>
      </c>
      <c r="AH214" s="116">
        <f t="shared" si="153"/>
        <v>0.97785464563379532</v>
      </c>
      <c r="AI214" s="116">
        <f t="shared" si="153"/>
        <v>0.97766635807902624</v>
      </c>
      <c r="AJ214" s="116">
        <f t="shared" si="153"/>
        <v>0.97866047123020194</v>
      </c>
      <c r="AK214" s="116">
        <f t="shared" si="153"/>
        <v>0.97581465882817509</v>
      </c>
      <c r="AL214" s="116">
        <f t="shared" si="153"/>
        <v>0.97171886531902307</v>
      </c>
      <c r="AM214" s="116">
        <f t="shared" si="153"/>
        <v>0.97058888357881812</v>
      </c>
      <c r="AN214" s="116">
        <f t="shared" si="154"/>
        <v>0.96964027020877386</v>
      </c>
      <c r="AO214" s="116">
        <f t="shared" si="155"/>
        <v>0.96775358330976924</v>
      </c>
      <c r="AP214" s="116">
        <f t="shared" si="155"/>
        <v>0.9652564327727442</v>
      </c>
      <c r="AQ214" s="116">
        <f t="shared" si="155"/>
        <v>0.96341808462453382</v>
      </c>
      <c r="AR214" s="116">
        <f t="shared" si="155"/>
        <v>0.96193356200205438</v>
      </c>
      <c r="AS214" s="116">
        <f t="shared" si="155"/>
        <v>0.95988472986498041</v>
      </c>
      <c r="AT214" s="116">
        <f t="shared" si="155"/>
        <v>0.95794252651486433</v>
      </c>
      <c r="AU214" s="116">
        <f t="shared" si="155"/>
        <v>0.95612291462681354</v>
      </c>
      <c r="AV214" s="116">
        <f t="shared" si="155"/>
        <v>0.95434028327198772</v>
      </c>
      <c r="AW214" s="116">
        <f t="shared" si="155"/>
        <v>0.95241484190207348</v>
      </c>
      <c r="AX214" s="116">
        <f t="shared" si="155"/>
        <v>0.95048080446823058</v>
      </c>
      <c r="AY214" s="116">
        <f t="shared" si="155"/>
        <v>0.94866614876135413</v>
      </c>
      <c r="AZ214" s="116">
        <f t="shared" si="155"/>
        <v>0.94682782735509541</v>
      </c>
      <c r="BA214" s="116">
        <f t="shared" si="155"/>
        <v>0.94493663273100881</v>
      </c>
      <c r="BB214" s="116">
        <f t="shared" si="155"/>
        <v>0.9430427537556425</v>
      </c>
      <c r="BC214" s="116">
        <f t="shared" si="155"/>
        <v>0.94118797793972053</v>
      </c>
      <c r="BD214" s="116">
        <f t="shared" si="155"/>
        <v>0.93933539816667466</v>
      </c>
      <c r="BE214" s="116">
        <f t="shared" si="156"/>
        <v>0.93745643260126377</v>
      </c>
      <c r="BF214" s="116">
        <f t="shared" si="156"/>
        <v>0.9355821146672848</v>
      </c>
    </row>
    <row r="215" spans="1:73">
      <c r="A215" s="69" t="s">
        <v>32</v>
      </c>
      <c r="X215" s="115">
        <f t="shared" si="157"/>
        <v>0.94796533615019629</v>
      </c>
      <c r="Y215" s="115">
        <f t="shared" si="157"/>
        <v>0.96392946739884888</v>
      </c>
      <c r="Z215" s="115">
        <f t="shared" si="157"/>
        <v>0.98463801415295671</v>
      </c>
      <c r="AA215" s="115">
        <f t="shared" si="152"/>
        <v>0.97066185449166864</v>
      </c>
      <c r="AB215" s="115">
        <f t="shared" si="152"/>
        <v>0.96941537349702189</v>
      </c>
      <c r="AC215" s="115">
        <f t="shared" si="152"/>
        <v>0.99163983526190047</v>
      </c>
      <c r="AD215" s="115">
        <f t="shared" si="152"/>
        <v>0.989521394753344</v>
      </c>
      <c r="AE215" s="115">
        <f t="shared" si="152"/>
        <v>0.98267599686600493</v>
      </c>
      <c r="AF215" s="115">
        <f t="shared" si="152"/>
        <v>0.99044325394334443</v>
      </c>
      <c r="AG215" s="116">
        <f t="shared" si="153"/>
        <v>0.98356052804126348</v>
      </c>
      <c r="AH215" s="116">
        <f t="shared" si="153"/>
        <v>0.97964183281141548</v>
      </c>
      <c r="AI215" s="116">
        <f t="shared" si="153"/>
        <v>0.97928270300133147</v>
      </c>
      <c r="AJ215" s="116">
        <f t="shared" si="153"/>
        <v>0.97999513857909459</v>
      </c>
      <c r="AK215" s="116">
        <f t="shared" si="153"/>
        <v>0.97698306400070078</v>
      </c>
      <c r="AL215" s="116">
        <f t="shared" si="153"/>
        <v>0.97317065912984702</v>
      </c>
      <c r="AM215" s="116">
        <f t="shared" si="153"/>
        <v>0.97217866402702757</v>
      </c>
      <c r="AN215" s="116">
        <f t="shared" si="154"/>
        <v>0.97110184661079657</v>
      </c>
      <c r="AO215" s="116">
        <f t="shared" si="155"/>
        <v>0.96917529785502321</v>
      </c>
      <c r="AP215" s="116">
        <f t="shared" si="155"/>
        <v>0.96664611915821297</v>
      </c>
      <c r="AQ215" s="116">
        <f t="shared" si="155"/>
        <v>0.96482551168160036</v>
      </c>
      <c r="AR215" s="116">
        <f t="shared" si="155"/>
        <v>0.96338581661726985</v>
      </c>
      <c r="AS215" s="116">
        <f t="shared" si="155"/>
        <v>0.96132757335008123</v>
      </c>
      <c r="AT215" s="116">
        <f t="shared" si="155"/>
        <v>0.9593577449598818</v>
      </c>
      <c r="AU215" s="116">
        <f t="shared" si="155"/>
        <v>0.95753458750354359</v>
      </c>
      <c r="AV215" s="116">
        <f t="shared" si="155"/>
        <v>0.95575090986344635</v>
      </c>
      <c r="AW215" s="116">
        <f t="shared" si="155"/>
        <v>0.95382966479232723</v>
      </c>
      <c r="AX215" s="116">
        <f t="shared" si="155"/>
        <v>0.95189606492023715</v>
      </c>
      <c r="AY215" s="116">
        <f t="shared" si="155"/>
        <v>0.95007409188622249</v>
      </c>
      <c r="AZ215" s="116">
        <f t="shared" si="155"/>
        <v>0.94823033812129864</v>
      </c>
      <c r="BA215" s="116">
        <f t="shared" si="155"/>
        <v>0.94633762508721564</v>
      </c>
      <c r="BB215" s="116">
        <f t="shared" si="155"/>
        <v>0.9444418547107496</v>
      </c>
      <c r="BC215" s="116">
        <f t="shared" si="155"/>
        <v>0.94258518374834288</v>
      </c>
      <c r="BD215" s="116">
        <f t="shared" si="155"/>
        <v>0.94072949485573565</v>
      </c>
      <c r="BE215" s="116">
        <f t="shared" si="156"/>
        <v>0.93884689483013861</v>
      </c>
      <c r="BF215" s="116">
        <f t="shared" si="156"/>
        <v>0.93696979550505266</v>
      </c>
    </row>
    <row r="216" spans="1:73">
      <c r="A216" s="69" t="s">
        <v>33</v>
      </c>
      <c r="X216" s="115">
        <f t="shared" si="157"/>
        <v>0.95730207399876122</v>
      </c>
      <c r="Y216" s="115">
        <f t="shared" si="157"/>
        <v>0.96988479092462654</v>
      </c>
      <c r="Z216" s="115">
        <f t="shared" si="157"/>
        <v>0.98209683429025862</v>
      </c>
      <c r="AA216" s="115">
        <f t="shared" si="152"/>
        <v>0.97382310509359438</v>
      </c>
      <c r="AB216" s="115">
        <f t="shared" si="152"/>
        <v>0.96999631989447155</v>
      </c>
      <c r="AC216" s="115">
        <f t="shared" si="152"/>
        <v>0.9927240340364808</v>
      </c>
      <c r="AD216" s="115">
        <f t="shared" si="152"/>
        <v>0.98589277968430822</v>
      </c>
      <c r="AE216" s="115">
        <f t="shared" si="152"/>
        <v>0.98269724189889129</v>
      </c>
      <c r="AF216" s="115">
        <f t="shared" si="152"/>
        <v>0.98888045661656576</v>
      </c>
      <c r="AG216" s="116">
        <f t="shared" si="153"/>
        <v>0.98380502365989764</v>
      </c>
      <c r="AH216" s="116">
        <f t="shared" si="153"/>
        <v>0.97894445700577504</v>
      </c>
      <c r="AI216" s="116">
        <f t="shared" si="153"/>
        <v>0.97852085424465174</v>
      </c>
      <c r="AJ216" s="116">
        <f t="shared" si="153"/>
        <v>0.97887643478448361</v>
      </c>
      <c r="AK216" s="116">
        <f t="shared" si="153"/>
        <v>0.97643524934428017</v>
      </c>
      <c r="AL216" s="116">
        <f t="shared" si="153"/>
        <v>0.97239887898423327</v>
      </c>
      <c r="AM216" s="116">
        <f t="shared" si="153"/>
        <v>0.97160695094528693</v>
      </c>
      <c r="AN216" s="116">
        <f t="shared" si="154"/>
        <v>0.97032769338601621</v>
      </c>
      <c r="AO216" s="116">
        <f t="shared" si="155"/>
        <v>0.9684264478261736</v>
      </c>
      <c r="AP216" s="116">
        <f t="shared" si="155"/>
        <v>0.96589552896013686</v>
      </c>
      <c r="AQ216" s="116">
        <f t="shared" si="155"/>
        <v>0.96414805352487132</v>
      </c>
      <c r="AR216" s="116">
        <f t="shared" si="155"/>
        <v>0.96266766858626751</v>
      </c>
      <c r="AS216" s="116">
        <f t="shared" si="155"/>
        <v>0.96062844420879956</v>
      </c>
      <c r="AT216" s="116">
        <f t="shared" si="155"/>
        <v>0.95862972487585396</v>
      </c>
      <c r="AU216" s="116">
        <f t="shared" si="155"/>
        <v>0.95682136669077633</v>
      </c>
      <c r="AV216" s="116">
        <f t="shared" si="155"/>
        <v>0.95504170043780057</v>
      </c>
      <c r="AW216" s="116">
        <f t="shared" si="155"/>
        <v>0.9531279551757954</v>
      </c>
      <c r="AX216" s="116">
        <f t="shared" si="155"/>
        <v>0.95118815303808246</v>
      </c>
      <c r="AY216" s="116">
        <f t="shared" si="155"/>
        <v>0.9493693867169678</v>
      </c>
      <c r="AZ216" s="116">
        <f t="shared" si="155"/>
        <v>0.94752386942320588</v>
      </c>
      <c r="BA216" s="116">
        <f t="shared" si="155"/>
        <v>0.94563582046276096</v>
      </c>
      <c r="BB216" s="116">
        <f t="shared" si="155"/>
        <v>0.94374142663982497</v>
      </c>
      <c r="BC216" s="116">
        <f t="shared" si="155"/>
        <v>0.94188621669784922</v>
      </c>
      <c r="BD216" s="116">
        <f t="shared" si="155"/>
        <v>0.94003077683972658</v>
      </c>
      <c r="BE216" s="116">
        <f t="shared" si="156"/>
        <v>0.93814997773913822</v>
      </c>
      <c r="BF216" s="116">
        <f t="shared" si="156"/>
        <v>0.93627408342368634</v>
      </c>
    </row>
    <row r="217" spans="1:73">
      <c r="A217" s="69" t="s">
        <v>14</v>
      </c>
      <c r="X217" s="115">
        <f t="shared" si="157"/>
        <v>0.96372432579369416</v>
      </c>
      <c r="Y217" s="115">
        <f t="shared" si="157"/>
        <v>0.96367670805891359</v>
      </c>
      <c r="Z217" s="115">
        <f>(Z137+Z153)/SUM(Z137,Z153,Z169,Z185)</f>
        <v>0.97873636810160713</v>
      </c>
      <c r="AA217" s="115">
        <f t="shared" si="152"/>
        <v>0.97147560241670694</v>
      </c>
      <c r="AB217" s="115">
        <f t="shared" si="152"/>
        <v>0.97703005142368715</v>
      </c>
      <c r="AC217" s="115">
        <f t="shared" si="152"/>
        <v>0.99336293913490281</v>
      </c>
      <c r="AD217" s="115">
        <f t="shared" si="152"/>
        <v>0.98363202551540752</v>
      </c>
      <c r="AE217" s="115">
        <f t="shared" si="152"/>
        <v>0.98205609722931042</v>
      </c>
      <c r="AF217" s="115">
        <f t="shared" si="152"/>
        <v>0.99012128260501364</v>
      </c>
      <c r="AG217" s="116">
        <f t="shared" si="153"/>
        <v>0.98429104323232786</v>
      </c>
      <c r="AH217" s="116">
        <f t="shared" si="153"/>
        <v>0.98014054618987556</v>
      </c>
      <c r="AI217" s="116">
        <f t="shared" si="153"/>
        <v>0.97841452424391329</v>
      </c>
      <c r="AJ217" s="116">
        <f t="shared" si="153"/>
        <v>0.97888061987241193</v>
      </c>
      <c r="AK217" s="116">
        <f t="shared" si="153"/>
        <v>0.97686762500214441</v>
      </c>
      <c r="AL217" s="116">
        <f t="shared" si="153"/>
        <v>0.97295763181737094</v>
      </c>
      <c r="AM217" s="116">
        <f t="shared" si="153"/>
        <v>0.97200625050563305</v>
      </c>
      <c r="AN217" s="116">
        <f t="shared" si="154"/>
        <v>0.97074184507594696</v>
      </c>
      <c r="AO217" s="116">
        <f t="shared" si="155"/>
        <v>0.96868221838875668</v>
      </c>
      <c r="AP217" s="116">
        <f t="shared" si="155"/>
        <v>0.96625429798478801</v>
      </c>
      <c r="AQ217" s="116">
        <f t="shared" si="155"/>
        <v>0.96455686252408024</v>
      </c>
      <c r="AR217" s="116">
        <f t="shared" si="155"/>
        <v>0.96306212306905381</v>
      </c>
      <c r="AS217" s="116">
        <f t="shared" si="155"/>
        <v>0.96099297616182322</v>
      </c>
      <c r="AT217" s="116">
        <f t="shared" si="155"/>
        <v>0.95899321010117766</v>
      </c>
      <c r="AU217" s="116">
        <f t="shared" si="155"/>
        <v>0.95717504959062638</v>
      </c>
      <c r="AV217" s="116">
        <f t="shared" si="155"/>
        <v>0.95541682257750238</v>
      </c>
      <c r="AW217" s="116">
        <f t="shared" si="155"/>
        <v>0.95350202360061831</v>
      </c>
      <c r="AX217" s="116">
        <f t="shared" si="155"/>
        <v>0.95155548512146304</v>
      </c>
      <c r="AY217" s="116">
        <f t="shared" si="155"/>
        <v>0.94973270214162309</v>
      </c>
      <c r="AZ217" s="116">
        <f t="shared" si="155"/>
        <v>0.94788775116443202</v>
      </c>
      <c r="BA217" s="116">
        <f t="shared" si="155"/>
        <v>0.94599964911469936</v>
      </c>
      <c r="BB217" s="116">
        <f t="shared" si="155"/>
        <v>0.94410725988615374</v>
      </c>
      <c r="BC217" s="116">
        <f t="shared" si="155"/>
        <v>0.94224981336729974</v>
      </c>
      <c r="BD217" s="116">
        <f t="shared" si="155"/>
        <v>0.94039274217724822</v>
      </c>
      <c r="BE217" s="116">
        <f t="shared" si="156"/>
        <v>0.93851118837726055</v>
      </c>
      <c r="BF217" s="116">
        <f t="shared" si="156"/>
        <v>0.93663501733384535</v>
      </c>
    </row>
    <row r="218" spans="1:73">
      <c r="A218" s="69" t="s">
        <v>34</v>
      </c>
      <c r="X218" s="115">
        <f t="shared" si="157"/>
        <v>0.96596234543545312</v>
      </c>
      <c r="Y218" s="115">
        <f t="shared" si="157"/>
        <v>0.97077615595182842</v>
      </c>
      <c r="Z218" s="115">
        <f>(Z138+Z154)/SUM(Z138,Z154,Z170,Z186)</f>
        <v>0.97596951645429586</v>
      </c>
      <c r="AA218" s="115">
        <f t="shared" si="152"/>
        <v>0.9729025210390998</v>
      </c>
      <c r="AB218" s="115">
        <f t="shared" si="152"/>
        <v>0.98636783184245835</v>
      </c>
      <c r="AC218" s="115">
        <f t="shared" si="152"/>
        <v>0.99238542548905539</v>
      </c>
      <c r="AD218" s="115">
        <f t="shared" si="152"/>
        <v>0.97511822852627505</v>
      </c>
      <c r="AE218" s="115">
        <f t="shared" si="152"/>
        <v>0.9826583981292899</v>
      </c>
      <c r="AF218" s="115">
        <f t="shared" si="152"/>
        <v>0.98814520171645515</v>
      </c>
      <c r="AG218" s="116">
        <f t="shared" si="153"/>
        <v>0.9846672435069026</v>
      </c>
      <c r="AH218" s="116">
        <f t="shared" si="153"/>
        <v>0.97983666532221869</v>
      </c>
      <c r="AI218" s="116">
        <f t="shared" si="153"/>
        <v>0.97633434611059655</v>
      </c>
      <c r="AJ218" s="116">
        <f t="shared" si="153"/>
        <v>0.97692787702397921</v>
      </c>
      <c r="AK218" s="116">
        <f t="shared" si="153"/>
        <v>0.9761955196939025</v>
      </c>
      <c r="AL218" s="116">
        <f t="shared" si="153"/>
        <v>0.97178167106055446</v>
      </c>
      <c r="AM218" s="116">
        <f t="shared" si="153"/>
        <v>0.97108700312209406</v>
      </c>
      <c r="AN218" s="116">
        <f t="shared" si="154"/>
        <v>0.9695133634876314</v>
      </c>
      <c r="AO218" s="116">
        <f t="shared" si="155"/>
        <v>0.96733212714412653</v>
      </c>
      <c r="AP218" s="116">
        <f t="shared" si="155"/>
        <v>0.96507440378253229</v>
      </c>
      <c r="AQ218" s="116">
        <f t="shared" si="155"/>
        <v>0.96349614657857019</v>
      </c>
      <c r="AR218" s="116">
        <f t="shared" si="155"/>
        <v>0.96189991555940613</v>
      </c>
      <c r="AS218" s="116">
        <f t="shared" si="155"/>
        <v>0.9598541252178332</v>
      </c>
      <c r="AT218" s="116">
        <f t="shared" si="155"/>
        <v>0.95780641929247068</v>
      </c>
      <c r="AU218" s="116">
        <f t="shared" si="155"/>
        <v>0.95600590087192405</v>
      </c>
      <c r="AV218" s="116">
        <f t="shared" si="155"/>
        <v>0.9542798831794661</v>
      </c>
      <c r="AW218" s="116">
        <f t="shared" si="155"/>
        <v>0.95236735113942927</v>
      </c>
      <c r="AX218" s="116">
        <f t="shared" si="155"/>
        <v>0.95040584655708849</v>
      </c>
      <c r="AY218" s="116">
        <f t="shared" si="155"/>
        <v>0.94858843778055224</v>
      </c>
      <c r="AZ218" s="116">
        <f t="shared" si="155"/>
        <v>0.94674131253386751</v>
      </c>
      <c r="BA218" s="116">
        <f t="shared" si="155"/>
        <v>0.94486171018563991</v>
      </c>
      <c r="BB218" s="116">
        <f t="shared" si="155"/>
        <v>0.94297388677536509</v>
      </c>
      <c r="BC218" s="116">
        <f t="shared" si="155"/>
        <v>0.94111622854891619</v>
      </c>
      <c r="BD218" s="116">
        <f t="shared" si="155"/>
        <v>0.93925940665786889</v>
      </c>
      <c r="BE218" s="116">
        <f t="shared" si="156"/>
        <v>0.93738108055959246</v>
      </c>
      <c r="BF218" s="116">
        <f t="shared" si="156"/>
        <v>0.93550710563782258</v>
      </c>
    </row>
    <row r="219" spans="1:73">
      <c r="A219" s="69" t="s">
        <v>35</v>
      </c>
      <c r="X219" s="115">
        <f t="shared" si="157"/>
        <v>0.96821347752731002</v>
      </c>
      <c r="Y219" s="115">
        <f t="shared" si="157"/>
        <v>0.97175555189383067</v>
      </c>
      <c r="Z219" s="115">
        <f>(Z139+Z155)/SUM(Z139,Z155,Z171,Z187)</f>
        <v>0.97965391692543646</v>
      </c>
      <c r="AA219" s="115">
        <f t="shared" si="152"/>
        <v>0.96947467386668518</v>
      </c>
      <c r="AB219" s="115">
        <f t="shared" si="152"/>
        <v>0.98919281170832607</v>
      </c>
      <c r="AC219" s="115">
        <f t="shared" si="152"/>
        <v>0.99286174198735555</v>
      </c>
      <c r="AD219" s="115">
        <f t="shared" si="152"/>
        <v>0.9747173391710825</v>
      </c>
      <c r="AE219" s="115">
        <f t="shared" si="152"/>
        <v>0.98277782017748971</v>
      </c>
      <c r="AF219" s="115">
        <f t="shared" si="152"/>
        <v>0.98876689336059698</v>
      </c>
      <c r="AG219" s="116">
        <f t="shared" si="153"/>
        <v>0.98458540877740874</v>
      </c>
      <c r="AH219" s="116">
        <f t="shared" si="153"/>
        <v>0.9805611995175888</v>
      </c>
      <c r="AI219" s="116">
        <f t="shared" si="153"/>
        <v>0.97648005452446807</v>
      </c>
      <c r="AJ219" s="116">
        <f t="shared" si="153"/>
        <v>0.97712342944968666</v>
      </c>
      <c r="AK219" s="116">
        <f t="shared" si="153"/>
        <v>0.97649951419311332</v>
      </c>
      <c r="AL219" s="116">
        <f t="shared" si="153"/>
        <v>0.97209972473674078</v>
      </c>
      <c r="AM219" s="116">
        <f t="shared" si="153"/>
        <v>0.97134256625487736</v>
      </c>
      <c r="AN219" s="116">
        <f t="shared" si="154"/>
        <v>0.96984861467432593</v>
      </c>
      <c r="AO219" s="116">
        <f t="shared" si="155"/>
        <v>0.96757411712724661</v>
      </c>
      <c r="AP219" s="116">
        <f t="shared" si="155"/>
        <v>0.96535376328753941</v>
      </c>
      <c r="AQ219" s="116">
        <f t="shared" si="155"/>
        <v>0.96378481437666808</v>
      </c>
      <c r="AR219" s="116">
        <f t="shared" si="155"/>
        <v>0.96218387554185136</v>
      </c>
      <c r="AS219" s="116">
        <f t="shared" si="155"/>
        <v>0.96013213475968717</v>
      </c>
      <c r="AT219" s="116">
        <f t="shared" si="155"/>
        <v>0.95808999803508976</v>
      </c>
      <c r="AU219" s="116">
        <f t="shared" si="155"/>
        <v>0.95627815511573555</v>
      </c>
      <c r="AV219" s="116">
        <f t="shared" si="155"/>
        <v>0.95456043849854977</v>
      </c>
      <c r="AW219" s="116">
        <f t="shared" si="155"/>
        <v>0.95264646323692248</v>
      </c>
      <c r="AX219" s="116">
        <f t="shared" si="155"/>
        <v>0.95068331004741768</v>
      </c>
      <c r="AY219" s="116">
        <f t="shared" si="155"/>
        <v>0.94886496093576722</v>
      </c>
      <c r="AZ219" s="116">
        <f t="shared" si="155"/>
        <v>0.94701773543701684</v>
      </c>
      <c r="BA219" s="116">
        <f t="shared" si="155"/>
        <v>0.94513671830294266</v>
      </c>
      <c r="BB219" s="116">
        <f t="shared" si="155"/>
        <v>0.94324970762680327</v>
      </c>
      <c r="BC219" s="116">
        <f t="shared" si="155"/>
        <v>0.94139095195995359</v>
      </c>
      <c r="BD219" s="116">
        <f t="shared" si="155"/>
        <v>0.93953347906899665</v>
      </c>
      <c r="BE219" s="116">
        <f t="shared" si="156"/>
        <v>0.93765459904801385</v>
      </c>
      <c r="BF219" s="116">
        <f t="shared" si="156"/>
        <v>0.93578013116316583</v>
      </c>
    </row>
    <row r="220" spans="1:73">
      <c r="A220" s="69" t="s">
        <v>36</v>
      </c>
      <c r="X220" s="115">
        <f t="shared" si="157"/>
        <v>0.97499489317001964</v>
      </c>
      <c r="Y220" s="115">
        <f t="shared" si="157"/>
        <v>0.97879733372824751</v>
      </c>
      <c r="Z220" s="115">
        <f>(Z140+Z156)/SUM(Z140,Z156,Z172,Z188)</f>
        <v>0.97964775791784253</v>
      </c>
      <c r="AA220" s="115">
        <f>(AA140+AA156)/SUM(AA140,AA156,AA172,AA188)</f>
        <v>0.96696126890939793</v>
      </c>
      <c r="AB220" s="115">
        <f t="shared" si="152"/>
        <v>0.9893400415215583</v>
      </c>
      <c r="AC220" s="115">
        <f t="shared" si="152"/>
        <v>0.9931817048553736</v>
      </c>
      <c r="AD220" s="115">
        <f t="shared" si="152"/>
        <v>0.95979654965866479</v>
      </c>
      <c r="AE220" s="115">
        <f t="shared" si="152"/>
        <v>0.98131223755217611</v>
      </c>
      <c r="AF220" s="115">
        <f t="shared" si="152"/>
        <v>0.98776341441890236</v>
      </c>
      <c r="AG220" s="116">
        <f t="shared" si="153"/>
        <v>0.98088845145361858</v>
      </c>
      <c r="AH220" s="116">
        <f t="shared" si="153"/>
        <v>0.97719418730161722</v>
      </c>
      <c r="AI220" s="116">
        <f t="shared" si="153"/>
        <v>0.97236153134966241</v>
      </c>
      <c r="AJ220" s="116">
        <f t="shared" si="153"/>
        <v>0.97225834842796544</v>
      </c>
      <c r="AK220" s="116">
        <f t="shared" si="153"/>
        <v>0.97378624915455025</v>
      </c>
      <c r="AL220" s="116">
        <f t="shared" si="153"/>
        <v>0.96872218704033031</v>
      </c>
      <c r="AM220" s="116">
        <f t="shared" si="153"/>
        <v>0.96761993661478674</v>
      </c>
      <c r="AN220" s="116">
        <f t="shared" si="154"/>
        <v>0.96618565142298474</v>
      </c>
      <c r="AO220" s="116">
        <f t="shared" si="155"/>
        <v>0.96384222894600358</v>
      </c>
      <c r="AP220" s="116">
        <f t="shared" si="155"/>
        <v>0.96171572611352318</v>
      </c>
      <c r="AQ220" s="116">
        <f t="shared" si="155"/>
        <v>0.96037039437812588</v>
      </c>
      <c r="AR220" s="116">
        <f t="shared" si="155"/>
        <v>0.95858368025292573</v>
      </c>
      <c r="AS220" s="116">
        <f t="shared" si="155"/>
        <v>0.95652612231214773</v>
      </c>
      <c r="AT220" s="116">
        <f t="shared" si="155"/>
        <v>0.9545091230234839</v>
      </c>
      <c r="AU220" s="116">
        <f t="shared" si="155"/>
        <v>0.95270814672369397</v>
      </c>
      <c r="AV220" s="116">
        <f t="shared" si="155"/>
        <v>0.95101978745669957</v>
      </c>
      <c r="AW220" s="116">
        <f t="shared" si="155"/>
        <v>0.94911973130493699</v>
      </c>
      <c r="AX220" s="116">
        <f t="shared" si="155"/>
        <v>0.94713202302420973</v>
      </c>
      <c r="AY220" s="116">
        <f t="shared" si="155"/>
        <v>0.94532797446624106</v>
      </c>
      <c r="AZ220" s="116">
        <f t="shared" si="155"/>
        <v>0.94349150510026447</v>
      </c>
      <c r="BA220" s="116">
        <f t="shared" si="155"/>
        <v>0.94161938479693863</v>
      </c>
      <c r="BB220" s="116">
        <f t="shared" si="155"/>
        <v>0.93974124500569012</v>
      </c>
      <c r="BC220" s="116">
        <f t="shared" si="155"/>
        <v>0.93788707467892496</v>
      </c>
      <c r="BD220" s="116">
        <f t="shared" si="155"/>
        <v>0.9360332005283265</v>
      </c>
      <c r="BE220" s="116">
        <f t="shared" si="156"/>
        <v>0.93416385824971881</v>
      </c>
      <c r="BF220" s="116">
        <f t="shared" si="156"/>
        <v>0.93229675924790067</v>
      </c>
    </row>
    <row r="221" spans="1:73" ht="12" thickBot="1">
      <c r="A221" s="69" t="s">
        <v>138</v>
      </c>
      <c r="Y221" s="115">
        <f t="shared" ref="Y221:AF221" si="158">AVERAGE(Y209:Y220)</f>
        <v>0.9709183135853906</v>
      </c>
      <c r="Z221" s="115">
        <f t="shared" si="158"/>
        <v>0.98195411644607544</v>
      </c>
      <c r="AA221" s="115">
        <f t="shared" si="158"/>
        <v>0.97226184105203861</v>
      </c>
      <c r="AB221" s="115">
        <f t="shared" si="158"/>
        <v>0.976031679771316</v>
      </c>
      <c r="AC221" s="115">
        <f t="shared" si="158"/>
        <v>0.99120746531633641</v>
      </c>
      <c r="AD221" s="115">
        <f t="shared" si="158"/>
        <v>0.98355596671679146</v>
      </c>
      <c r="AE221" s="115">
        <f t="shared" si="158"/>
        <v>0.98112551302491957</v>
      </c>
      <c r="AF221" s="115">
        <f t="shared" si="158"/>
        <v>0.98942768721688956</v>
      </c>
      <c r="AG221" s="116">
        <f>FORECAST(AG353,AA221:AF221,AA353:AF353)-0.008</f>
        <v>0.98361428204826762</v>
      </c>
      <c r="AH221" s="116">
        <f t="shared" ref="AH221" si="159">FORECAST(AH353,AB221:AG221,AB353:AG353)-0.008</f>
        <v>0.97917475468854154</v>
      </c>
      <c r="AI221" s="116">
        <f>FORECAST(AI353,AC221:AH221,AC353:AH353)-0.002</f>
        <v>0.97751563487336646</v>
      </c>
      <c r="AJ221" s="116">
        <f>FORECAST(AJ353,AD221:AI221,AD353:AI353)</f>
        <v>0.97821557248864144</v>
      </c>
      <c r="AK221" s="116">
        <f t="shared" ref="AK221:BF221" si="160">FORECAST(AK353,AE221:AJ221,AE353:AJ353)</f>
        <v>0.97603970201626922</v>
      </c>
      <c r="AL221" s="116">
        <f t="shared" si="160"/>
        <v>0.97218508810561399</v>
      </c>
      <c r="AM221" s="116">
        <f t="shared" si="160"/>
        <v>0.97120572002530237</v>
      </c>
      <c r="AN221" s="116">
        <f t="shared" si="160"/>
        <v>0.96992147695710695</v>
      </c>
      <c r="AO221" s="116">
        <f t="shared" si="160"/>
        <v>0.96789503632285312</v>
      </c>
      <c r="AP221" s="116">
        <f t="shared" si="160"/>
        <v>0.96548342691062405</v>
      </c>
      <c r="AQ221" s="116">
        <f t="shared" si="160"/>
        <v>0.96376149766182451</v>
      </c>
      <c r="AR221" s="116">
        <f t="shared" si="160"/>
        <v>0.96227758044416367</v>
      </c>
      <c r="AS221" s="116">
        <f t="shared" si="160"/>
        <v>0.96020423186660198</v>
      </c>
      <c r="AT221" s="116">
        <f t="shared" si="160"/>
        <v>0.95820782279345584</v>
      </c>
      <c r="AU221" s="116">
        <f t="shared" si="160"/>
        <v>0.95639584233358299</v>
      </c>
      <c r="AV221" s="116">
        <f t="shared" si="160"/>
        <v>0.95463783739492136</v>
      </c>
      <c r="AW221" s="116">
        <f t="shared" si="160"/>
        <v>0.9527214762751508</v>
      </c>
      <c r="AX221" s="116">
        <f t="shared" si="160"/>
        <v>0.95077829671264835</v>
      </c>
      <c r="AY221" s="116">
        <f t="shared" si="160"/>
        <v>0.94895624586972582</v>
      </c>
      <c r="AZ221" s="116">
        <f t="shared" si="160"/>
        <v>0.94711356530312463</v>
      </c>
      <c r="BA221" s="116">
        <f t="shared" si="160"/>
        <v>0.9452272767191543</v>
      </c>
      <c r="BB221" s="116">
        <f t="shared" si="160"/>
        <v>0.94333592433200364</v>
      </c>
      <c r="BC221" s="116">
        <f t="shared" si="160"/>
        <v>0.94147978084235273</v>
      </c>
      <c r="BD221" s="116">
        <f t="shared" si="160"/>
        <v>0.93962453170830695</v>
      </c>
      <c r="BE221" s="116">
        <f t="shared" si="160"/>
        <v>0.93774442647145539</v>
      </c>
      <c r="BF221" s="116">
        <f t="shared" si="160"/>
        <v>0.93586991029467903</v>
      </c>
    </row>
    <row r="222" spans="1:73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</row>
    <row r="223" spans="1:73" ht="12" thickBot="1">
      <c r="A223" s="69" t="s">
        <v>167</v>
      </c>
      <c r="Z223" s="76"/>
      <c r="AA223" s="76"/>
      <c r="AB223" s="76"/>
      <c r="AC223" s="76"/>
    </row>
    <row r="224" spans="1:73" ht="12" thickBot="1">
      <c r="A224" s="84"/>
      <c r="B224" s="85" t="s">
        <v>66</v>
      </c>
      <c r="C224" s="86" t="s">
        <v>67</v>
      </c>
      <c r="D224" s="86" t="s">
        <v>68</v>
      </c>
      <c r="E224" s="86" t="s">
        <v>69</v>
      </c>
      <c r="F224" s="86" t="s">
        <v>70</v>
      </c>
      <c r="G224" s="86" t="s">
        <v>71</v>
      </c>
      <c r="H224" s="86" t="s">
        <v>72</v>
      </c>
      <c r="I224" s="86" t="s">
        <v>73</v>
      </c>
      <c r="J224" s="86" t="s">
        <v>74</v>
      </c>
      <c r="K224" s="86" t="s">
        <v>75</v>
      </c>
      <c r="L224" s="86" t="s">
        <v>76</v>
      </c>
      <c r="M224" s="86" t="s">
        <v>77</v>
      </c>
      <c r="N224" s="86" t="s">
        <v>78</v>
      </c>
      <c r="O224" s="86" t="s">
        <v>79</v>
      </c>
      <c r="P224" s="86" t="s">
        <v>80</v>
      </c>
      <c r="Q224" s="86" t="s">
        <v>81</v>
      </c>
      <c r="R224" s="86" t="s">
        <v>82</v>
      </c>
      <c r="S224" s="86" t="s">
        <v>83</v>
      </c>
      <c r="T224" s="86" t="s">
        <v>84</v>
      </c>
      <c r="U224" s="86" t="s">
        <v>85</v>
      </c>
      <c r="V224" s="86" t="s">
        <v>86</v>
      </c>
      <c r="W224" s="86" t="s">
        <v>87</v>
      </c>
      <c r="X224" s="86" t="s">
        <v>88</v>
      </c>
      <c r="Y224" s="86" t="s">
        <v>89</v>
      </c>
      <c r="Z224" s="86" t="s">
        <v>90</v>
      </c>
      <c r="AA224" s="86" t="s">
        <v>91</v>
      </c>
      <c r="AB224" s="86" t="s">
        <v>92</v>
      </c>
      <c r="AC224" s="86" t="s">
        <v>93</v>
      </c>
      <c r="AD224" s="86" t="str">
        <f>AD2</f>
        <v>21/22</v>
      </c>
      <c r="AE224" s="86" t="str">
        <f t="shared" ref="AE224:BF224" si="161">AE2</f>
        <v>22/23</v>
      </c>
      <c r="AF224" s="86" t="str">
        <f t="shared" si="161"/>
        <v>23/24</v>
      </c>
      <c r="AG224" s="86" t="str">
        <f t="shared" si="161"/>
        <v>24/25</v>
      </c>
      <c r="AH224" s="86" t="str">
        <f t="shared" si="161"/>
        <v>25/26</v>
      </c>
      <c r="AI224" s="86" t="str">
        <f t="shared" si="161"/>
        <v>26/27</v>
      </c>
      <c r="AJ224" s="86" t="str">
        <f t="shared" si="161"/>
        <v>27/28</v>
      </c>
      <c r="AK224" s="86" t="str">
        <f t="shared" si="161"/>
        <v>28/29</v>
      </c>
      <c r="AL224" s="86" t="str">
        <f t="shared" si="161"/>
        <v>29/30</v>
      </c>
      <c r="AM224" s="86" t="str">
        <f t="shared" si="161"/>
        <v>30/31</v>
      </c>
      <c r="AN224" s="86" t="str">
        <f t="shared" si="161"/>
        <v>31/32</v>
      </c>
      <c r="AO224" s="86" t="str">
        <f t="shared" si="161"/>
        <v>32/33</v>
      </c>
      <c r="AP224" s="86" t="str">
        <f t="shared" si="161"/>
        <v>33/34</v>
      </c>
      <c r="AQ224" s="86" t="str">
        <f t="shared" si="161"/>
        <v>34/35</v>
      </c>
      <c r="AR224" s="86" t="str">
        <f t="shared" si="161"/>
        <v>35/36</v>
      </c>
      <c r="AS224" s="86" t="str">
        <f t="shared" si="161"/>
        <v>36/37</v>
      </c>
      <c r="AT224" s="86" t="str">
        <f t="shared" si="161"/>
        <v>37/38</v>
      </c>
      <c r="AU224" s="86" t="str">
        <f t="shared" si="161"/>
        <v>38/39</v>
      </c>
      <c r="AV224" s="86" t="str">
        <f t="shared" si="161"/>
        <v>39/40</v>
      </c>
      <c r="AW224" s="86" t="str">
        <f t="shared" si="161"/>
        <v>40/41</v>
      </c>
      <c r="AX224" s="86" t="str">
        <f t="shared" si="161"/>
        <v>41/42</v>
      </c>
      <c r="AY224" s="86" t="str">
        <f t="shared" si="161"/>
        <v>42/43</v>
      </c>
      <c r="AZ224" s="86" t="str">
        <f t="shared" si="161"/>
        <v>43/44</v>
      </c>
      <c r="BA224" s="86" t="str">
        <f t="shared" si="161"/>
        <v>44/45</v>
      </c>
      <c r="BB224" s="86" t="str">
        <f t="shared" si="161"/>
        <v>45/46</v>
      </c>
      <c r="BC224" s="86" t="str">
        <f t="shared" si="161"/>
        <v>42/47</v>
      </c>
      <c r="BD224" s="86" t="str">
        <f t="shared" si="161"/>
        <v>42/48</v>
      </c>
      <c r="BE224" s="86" t="str">
        <f t="shared" si="161"/>
        <v>42/49</v>
      </c>
      <c r="BF224" s="86" t="str">
        <f t="shared" si="161"/>
        <v>42/50</v>
      </c>
    </row>
    <row r="225" spans="1:73">
      <c r="A225" s="69" t="s">
        <v>37</v>
      </c>
      <c r="X225" s="115">
        <f t="shared" ref="X225:AG236" si="162">X129/X113</f>
        <v>0.89448692115246453</v>
      </c>
      <c r="Y225" s="115">
        <f t="shared" si="162"/>
        <v>0.88935897435897437</v>
      </c>
      <c r="Z225" s="115">
        <f t="shared" si="162"/>
        <v>0.88675020396580473</v>
      </c>
      <c r="AA225" s="115">
        <f t="shared" si="162"/>
        <v>0.90480488943294202</v>
      </c>
      <c r="AB225" s="115">
        <f t="shared" si="162"/>
        <v>0.89594644612379071</v>
      </c>
      <c r="AC225" s="115">
        <f t="shared" si="162"/>
        <v>0.88968659089454738</v>
      </c>
      <c r="AD225" s="115">
        <f t="shared" si="162"/>
        <v>0.90064247206168502</v>
      </c>
      <c r="AE225" s="115">
        <f t="shared" si="162"/>
        <v>0.9269998147534525</v>
      </c>
      <c r="AF225" s="115">
        <f t="shared" si="162"/>
        <v>0.92033262737968757</v>
      </c>
      <c r="AG225" s="115">
        <f t="shared" si="162"/>
        <v>0.91620990730141627</v>
      </c>
      <c r="AH225" s="116">
        <f t="shared" ref="AH225:AW236" si="163">AVERAGE(AB225:AF225)+0.015+0.004</f>
        <v>0.92572159024263267</v>
      </c>
      <c r="AI225" s="116">
        <f t="shared" si="163"/>
        <v>0.92977428247815785</v>
      </c>
      <c r="AJ225" s="116">
        <f t="shared" si="163"/>
        <v>0.93698128234777489</v>
      </c>
      <c r="AK225" s="116">
        <f t="shared" si="163"/>
        <v>0.94280764443106924</v>
      </c>
      <c r="AL225" s="116">
        <f t="shared" si="163"/>
        <v>0.94480393794993389</v>
      </c>
      <c r="AM225" s="116">
        <f t="shared" si="163"/>
        <v>0.9492989413602102</v>
      </c>
      <c r="AN225" s="116">
        <f t="shared" si="163"/>
        <v>0.95501774748991375</v>
      </c>
      <c r="AO225" s="116">
        <f t="shared" si="163"/>
        <v>0.95973321771342912</v>
      </c>
      <c r="AP225" s="116">
        <f t="shared" si="163"/>
        <v>0.96478191071578034</v>
      </c>
      <c r="AQ225" s="116">
        <f t="shared" si="163"/>
        <v>0.96933229778891128</v>
      </c>
      <c r="AR225" s="116">
        <f t="shared" si="163"/>
        <v>0.9737271510458535</v>
      </c>
      <c r="AS225" s="116">
        <f t="shared" si="163"/>
        <v>0.97863282301364896</v>
      </c>
      <c r="AT225" s="116">
        <f t="shared" si="163"/>
        <v>0.98351846495077766</v>
      </c>
      <c r="AU225" s="116">
        <f t="shared" si="163"/>
        <v>0.9882414800555247</v>
      </c>
      <c r="AV225" s="116">
        <f t="shared" si="163"/>
        <v>0.9929985295029945</v>
      </c>
      <c r="AW225" s="116">
        <f t="shared" si="163"/>
        <v>0.99769044337094326</v>
      </c>
      <c r="AX225" s="116">
        <f t="shared" ref="AX225:BF236" si="164">AVERAGE(AR225:AV225)+0.015+0.004</f>
        <v>1.0024236897137597</v>
      </c>
      <c r="AY225" s="116">
        <f t="shared" si="164"/>
        <v>1.0072163481787777</v>
      </c>
      <c r="AZ225" s="116">
        <f t="shared" si="164"/>
        <v>1.0119745215187999</v>
      </c>
      <c r="BA225" s="116">
        <f t="shared" si="164"/>
        <v>1.0167140981644001</v>
      </c>
      <c r="BB225" s="116">
        <f t="shared" si="164"/>
        <v>1.0214607064570551</v>
      </c>
      <c r="BC225" s="116">
        <f t="shared" si="164"/>
        <v>1.0262038201893362</v>
      </c>
      <c r="BD225" s="116">
        <f t="shared" si="164"/>
        <v>1.0309578728065585</v>
      </c>
      <c r="BE225" s="116">
        <f t="shared" si="164"/>
        <v>1.0357138989016736</v>
      </c>
      <c r="BF225" s="116">
        <f t="shared" si="164"/>
        <v>1.0404622038272298</v>
      </c>
      <c r="BG225" s="117"/>
      <c r="BH225" s="117"/>
      <c r="BI225" s="117"/>
      <c r="BJ225" s="117"/>
      <c r="BK225" s="117"/>
      <c r="BL225" s="117"/>
      <c r="BM225" s="117"/>
      <c r="BN225" s="117"/>
      <c r="BO225" s="117"/>
      <c r="BP225" s="117"/>
      <c r="BQ225" s="117"/>
      <c r="BR225" s="117"/>
      <c r="BS225" s="117"/>
      <c r="BT225" s="117"/>
      <c r="BU225" s="117"/>
    </row>
    <row r="226" spans="1:73">
      <c r="A226" s="69" t="s">
        <v>38</v>
      </c>
      <c r="W226" s="115">
        <v>0.89360870674182802</v>
      </c>
      <c r="X226" s="115">
        <f t="shared" si="162"/>
        <v>0.89550636123092542</v>
      </c>
      <c r="Y226" s="115">
        <f t="shared" si="162"/>
        <v>0.90218344285233532</v>
      </c>
      <c r="Z226" s="115">
        <f t="shared" si="162"/>
        <v>0.90002813870016385</v>
      </c>
      <c r="AA226" s="115">
        <f t="shared" si="162"/>
        <v>0.91012354696980569</v>
      </c>
      <c r="AB226" s="115">
        <f t="shared" si="162"/>
        <v>0.90046101007307011</v>
      </c>
      <c r="AC226" s="115">
        <f t="shared" si="162"/>
        <v>0.90128266561108916</v>
      </c>
      <c r="AD226" s="115">
        <f t="shared" si="162"/>
        <v>0.91895166583810572</v>
      </c>
      <c r="AE226" s="115">
        <f t="shared" si="162"/>
        <v>0.92382795085329106</v>
      </c>
      <c r="AF226" s="115">
        <f t="shared" si="162"/>
        <v>0.91949220702997636</v>
      </c>
      <c r="AG226" s="115">
        <f t="shared" si="162"/>
        <v>0.92484083803515593</v>
      </c>
      <c r="AH226" s="116">
        <f t="shared" si="163"/>
        <v>0.93180309988110654</v>
      </c>
      <c r="AI226" s="116">
        <f t="shared" si="163"/>
        <v>0.93667906547352353</v>
      </c>
      <c r="AJ226" s="116">
        <f t="shared" si="163"/>
        <v>0.94278315232752719</v>
      </c>
      <c r="AK226" s="116">
        <f t="shared" si="163"/>
        <v>0.94632863225461061</v>
      </c>
      <c r="AL226" s="116">
        <f t="shared" si="163"/>
        <v>0.95011967254945795</v>
      </c>
      <c r="AM226" s="116">
        <f t="shared" si="163"/>
        <v>0.95548695759438484</v>
      </c>
      <c r="AN226" s="116">
        <f t="shared" si="163"/>
        <v>0.9605427244972452</v>
      </c>
      <c r="AO226" s="116">
        <f t="shared" si="163"/>
        <v>0.96527949603990093</v>
      </c>
      <c r="AP226" s="116">
        <f t="shared" si="163"/>
        <v>0.97005222784464518</v>
      </c>
      <c r="AQ226" s="116">
        <f t="shared" si="163"/>
        <v>0.97455149658711993</v>
      </c>
      <c r="AR226" s="116">
        <f t="shared" si="163"/>
        <v>0.97929621570512682</v>
      </c>
      <c r="AS226" s="116">
        <f t="shared" si="163"/>
        <v>0.98418258051265917</v>
      </c>
      <c r="AT226" s="116">
        <f t="shared" si="163"/>
        <v>0.98894443213480754</v>
      </c>
      <c r="AU226" s="116">
        <f t="shared" si="163"/>
        <v>0.99367240333789042</v>
      </c>
      <c r="AV226" s="116">
        <f t="shared" si="163"/>
        <v>0.99840539055687172</v>
      </c>
      <c r="AW226" s="116">
        <f t="shared" si="163"/>
        <v>1.0031294256555208</v>
      </c>
      <c r="AX226" s="116">
        <f t="shared" si="164"/>
        <v>1.0079002044494709</v>
      </c>
      <c r="AY226" s="116">
        <f t="shared" si="164"/>
        <v>1.0126668464395499</v>
      </c>
      <c r="AZ226" s="116">
        <f t="shared" si="164"/>
        <v>1.0174103712269122</v>
      </c>
      <c r="BA226" s="116">
        <f t="shared" si="164"/>
        <v>1.0221548540878607</v>
      </c>
      <c r="BB226" s="116">
        <f t="shared" si="164"/>
        <v>1.026902447665665</v>
      </c>
      <c r="BC226" s="116">
        <f t="shared" si="164"/>
        <v>1.0316523403718627</v>
      </c>
      <c r="BD226" s="116">
        <f t="shared" si="164"/>
        <v>1.0364069447738917</v>
      </c>
      <c r="BE226" s="116">
        <f t="shared" si="164"/>
        <v>1.04115737195837</v>
      </c>
      <c r="BF226" s="116">
        <f t="shared" si="164"/>
        <v>1.0459053916252383</v>
      </c>
      <c r="BG226" s="117"/>
      <c r="BH226" s="117"/>
      <c r="BI226" s="117"/>
      <c r="BJ226" s="117"/>
      <c r="BK226" s="117"/>
      <c r="BL226" s="117"/>
      <c r="BM226" s="117"/>
      <c r="BN226" s="117"/>
      <c r="BO226" s="117"/>
      <c r="BP226" s="117"/>
      <c r="BQ226" s="117"/>
      <c r="BR226" s="117"/>
      <c r="BS226" s="117"/>
      <c r="BT226" s="117"/>
      <c r="BU226" s="117"/>
    </row>
    <row r="227" spans="1:73">
      <c r="A227" s="69" t="s">
        <v>39</v>
      </c>
      <c r="W227" s="115">
        <v>0.89507972318689955</v>
      </c>
      <c r="X227" s="115">
        <f t="shared" si="162"/>
        <v>0.88565712210596992</v>
      </c>
      <c r="Y227" s="115">
        <f t="shared" si="162"/>
        <v>0.89254248712146744</v>
      </c>
      <c r="Z227" s="115">
        <f t="shared" si="162"/>
        <v>0.8998043643729281</v>
      </c>
      <c r="AA227" s="115">
        <f t="shared" si="162"/>
        <v>0.90452183202497338</v>
      </c>
      <c r="AB227" s="115">
        <f t="shared" si="162"/>
        <v>0.89656899628559106</v>
      </c>
      <c r="AC227" s="115">
        <f t="shared" si="162"/>
        <v>0.89941944746935976</v>
      </c>
      <c r="AD227" s="115">
        <f t="shared" si="162"/>
        <v>0.91727949426495947</v>
      </c>
      <c r="AE227" s="115">
        <f t="shared" si="162"/>
        <v>0.92302928740275447</v>
      </c>
      <c r="AF227" s="115">
        <f t="shared" si="162"/>
        <v>0.92174901866450898</v>
      </c>
      <c r="AG227" s="115">
        <f t="shared" si="162"/>
        <v>0.91706304353819101</v>
      </c>
      <c r="AH227" s="116">
        <f t="shared" si="163"/>
        <v>0.93060924881743479</v>
      </c>
      <c r="AI227" s="116">
        <f t="shared" si="163"/>
        <v>0.93470805826795478</v>
      </c>
      <c r="AJ227" s="116">
        <f t="shared" si="163"/>
        <v>0.94094601853756987</v>
      </c>
      <c r="AK227" s="116">
        <f t="shared" si="163"/>
        <v>0.94443173133816871</v>
      </c>
      <c r="AL227" s="116">
        <f t="shared" si="163"/>
        <v>0.94801507756513204</v>
      </c>
      <c r="AM227" s="116">
        <f t="shared" si="163"/>
        <v>0.95255162009986383</v>
      </c>
      <c r="AN227" s="116">
        <f t="shared" si="163"/>
        <v>0.95874202690525212</v>
      </c>
      <c r="AO227" s="116">
        <f t="shared" si="163"/>
        <v>0.96313050116173771</v>
      </c>
      <c r="AP227" s="116">
        <f t="shared" si="163"/>
        <v>0.96793729488919722</v>
      </c>
      <c r="AQ227" s="116">
        <f t="shared" si="163"/>
        <v>0.97237419141403092</v>
      </c>
      <c r="AR227" s="116">
        <f t="shared" si="163"/>
        <v>0.97707530412423671</v>
      </c>
      <c r="AS227" s="116">
        <f t="shared" si="163"/>
        <v>0.98194712689401631</v>
      </c>
      <c r="AT227" s="116">
        <f t="shared" si="163"/>
        <v>0.986851863698891</v>
      </c>
      <c r="AU227" s="116">
        <f t="shared" si="163"/>
        <v>0.99149288369664379</v>
      </c>
      <c r="AV227" s="116">
        <f t="shared" si="163"/>
        <v>0.99623715620407449</v>
      </c>
      <c r="AW227" s="116">
        <f t="shared" si="163"/>
        <v>1.0009482739655637</v>
      </c>
      <c r="AX227" s="116">
        <f t="shared" si="164"/>
        <v>1.0057208669235724</v>
      </c>
      <c r="AY227" s="116">
        <f t="shared" si="164"/>
        <v>1.0104954608918377</v>
      </c>
      <c r="AZ227" s="116">
        <f t="shared" si="164"/>
        <v>1.0152502088977491</v>
      </c>
      <c r="BA227" s="116">
        <f t="shared" si="164"/>
        <v>1.0199789283363385</v>
      </c>
      <c r="BB227" s="116">
        <f t="shared" si="164"/>
        <v>1.0247303933765595</v>
      </c>
      <c r="BC227" s="116">
        <f t="shared" si="164"/>
        <v>1.0294787478030123</v>
      </c>
      <c r="BD227" s="116">
        <f t="shared" si="164"/>
        <v>1.0342351716852114</v>
      </c>
      <c r="BE227" s="116">
        <f t="shared" si="164"/>
        <v>1.0389867478610995</v>
      </c>
      <c r="BF227" s="116">
        <f t="shared" si="164"/>
        <v>1.0437346900197741</v>
      </c>
      <c r="BG227" s="117"/>
      <c r="BH227" s="117"/>
      <c r="BI227" s="117"/>
      <c r="BJ227" s="117"/>
      <c r="BK227" s="117"/>
      <c r="BL227" s="117"/>
      <c r="BM227" s="117"/>
      <c r="BN227" s="117"/>
      <c r="BO227" s="117"/>
      <c r="BP227" s="117"/>
      <c r="BQ227" s="117"/>
      <c r="BR227" s="117"/>
      <c r="BS227" s="117"/>
      <c r="BT227" s="117"/>
      <c r="BU227" s="117"/>
    </row>
    <row r="228" spans="1:73">
      <c r="A228" s="69" t="s">
        <v>40</v>
      </c>
      <c r="W228" s="115">
        <v>0.89193694128380807</v>
      </c>
      <c r="X228" s="115">
        <f t="shared" si="162"/>
        <v>0.89512994980479643</v>
      </c>
      <c r="Y228" s="115">
        <f t="shared" si="162"/>
        <v>0.89589786300907714</v>
      </c>
      <c r="Z228" s="115">
        <f t="shared" si="162"/>
        <v>0.90784879401713636</v>
      </c>
      <c r="AA228" s="115">
        <f t="shared" si="162"/>
        <v>0.91554367037458029</v>
      </c>
      <c r="AB228" s="115">
        <f t="shared" si="162"/>
        <v>0.90196963711270384</v>
      </c>
      <c r="AC228" s="115">
        <f t="shared" si="162"/>
        <v>0.90391107758359768</v>
      </c>
      <c r="AD228" s="115">
        <f t="shared" si="162"/>
        <v>0.92480626684636125</v>
      </c>
      <c r="AE228" s="115">
        <f t="shared" si="162"/>
        <v>0.92022086108579859</v>
      </c>
      <c r="AF228" s="115">
        <f t="shared" si="162"/>
        <v>0.91921470912129977</v>
      </c>
      <c r="AG228" s="115">
        <f t="shared" si="162"/>
        <v>0.92070265999253642</v>
      </c>
      <c r="AH228" s="116">
        <f t="shared" si="163"/>
        <v>0.93302451034995226</v>
      </c>
      <c r="AI228" s="116">
        <f t="shared" si="163"/>
        <v>0.93677111492591869</v>
      </c>
      <c r="AJ228" s="116">
        <f t="shared" si="163"/>
        <v>0.9425938014791897</v>
      </c>
      <c r="AK228" s="116">
        <f t="shared" si="163"/>
        <v>0.94498677109510121</v>
      </c>
      <c r="AL228" s="116">
        <f t="shared" si="163"/>
        <v>0.9494613591737795</v>
      </c>
      <c r="AM228" s="116">
        <f t="shared" si="163"/>
        <v>0.95461577156853972</v>
      </c>
      <c r="AN228" s="116">
        <f t="shared" si="163"/>
        <v>0.96036751140478838</v>
      </c>
      <c r="AO228" s="116">
        <f t="shared" si="163"/>
        <v>0.96468576364850578</v>
      </c>
      <c r="AP228" s="116">
        <f t="shared" si="163"/>
        <v>0.96940504294427976</v>
      </c>
      <c r="AQ228" s="116">
        <f t="shared" si="163"/>
        <v>0.97382343537814298</v>
      </c>
      <c r="AR228" s="116">
        <f t="shared" si="163"/>
        <v>0.97870708974797849</v>
      </c>
      <c r="AS228" s="116">
        <f t="shared" si="163"/>
        <v>0.98357950498885149</v>
      </c>
      <c r="AT228" s="116">
        <f t="shared" si="163"/>
        <v>0.98839776862473916</v>
      </c>
      <c r="AU228" s="116">
        <f t="shared" si="163"/>
        <v>0.99304016734155176</v>
      </c>
      <c r="AV228" s="116">
        <f t="shared" si="163"/>
        <v>0.99778256833679846</v>
      </c>
      <c r="AW228" s="116">
        <f t="shared" si="163"/>
        <v>1.0025095932162527</v>
      </c>
      <c r="AX228" s="116">
        <f t="shared" si="164"/>
        <v>1.0073014198079837</v>
      </c>
      <c r="AY228" s="116">
        <f t="shared" si="164"/>
        <v>1.0120619205016388</v>
      </c>
      <c r="AZ228" s="116">
        <f t="shared" si="164"/>
        <v>1.0168063034654651</v>
      </c>
      <c r="BA228" s="116">
        <f t="shared" si="164"/>
        <v>1.021539133840845</v>
      </c>
      <c r="BB228" s="116">
        <f t="shared" si="164"/>
        <v>1.0262923610656276</v>
      </c>
      <c r="BC228" s="116">
        <f t="shared" si="164"/>
        <v>1.0310436741664371</v>
      </c>
      <c r="BD228" s="116">
        <f t="shared" si="164"/>
        <v>1.0358002277363119</v>
      </c>
      <c r="BE228" s="116">
        <f t="shared" si="164"/>
        <v>1.0405486786080025</v>
      </c>
      <c r="BF228" s="116">
        <f t="shared" si="164"/>
        <v>1.0452963400549371</v>
      </c>
      <c r="BG228" s="117"/>
      <c r="BH228" s="117"/>
      <c r="BI228" s="117"/>
      <c r="BJ228" s="117"/>
      <c r="BK228" s="117"/>
      <c r="BL228" s="117"/>
      <c r="BM228" s="117"/>
      <c r="BN228" s="117"/>
      <c r="BO228" s="117"/>
      <c r="BP228" s="117"/>
      <c r="BQ228" s="117"/>
      <c r="BR228" s="117"/>
      <c r="BS228" s="117"/>
      <c r="BT228" s="117"/>
      <c r="BU228" s="117"/>
    </row>
    <row r="229" spans="1:73">
      <c r="A229" s="69" t="s">
        <v>30</v>
      </c>
      <c r="W229" s="115">
        <f>W133/W117</f>
        <v>0.89212868052895988</v>
      </c>
      <c r="X229" s="115">
        <f>X133/X117</f>
        <v>0.90144516216921911</v>
      </c>
      <c r="Y229" s="115">
        <f t="shared" si="162"/>
        <v>0.91165556111847668</v>
      </c>
      <c r="Z229" s="115">
        <f t="shared" si="162"/>
        <v>0.91456998842675996</v>
      </c>
      <c r="AA229" s="115">
        <f t="shared" si="162"/>
        <v>0.91924049197982205</v>
      </c>
      <c r="AB229" s="115">
        <f t="shared" si="162"/>
        <v>0.90685197266765105</v>
      </c>
      <c r="AC229" s="115">
        <f t="shared" si="162"/>
        <v>0.92505930772164258</v>
      </c>
      <c r="AD229" s="115">
        <f t="shared" si="162"/>
        <v>0.93935115551408033</v>
      </c>
      <c r="AE229" s="115">
        <f t="shared" si="162"/>
        <v>0.91593360864112705</v>
      </c>
      <c r="AF229" s="115">
        <f t="shared" si="162"/>
        <v>0.92492903717273212</v>
      </c>
      <c r="AG229" s="115">
        <f t="shared" si="162"/>
        <v>0.91679471370534282</v>
      </c>
      <c r="AH229" s="116">
        <f t="shared" si="163"/>
        <v>0.94142501634344655</v>
      </c>
      <c r="AI229" s="116">
        <f t="shared" si="163"/>
        <v>0.94341356455098502</v>
      </c>
      <c r="AJ229" s="116">
        <f t="shared" si="163"/>
        <v>0.94668670627534568</v>
      </c>
      <c r="AK229" s="116">
        <f t="shared" si="163"/>
        <v>0.94749918808272671</v>
      </c>
      <c r="AL229" s="116">
        <f t="shared" si="163"/>
        <v>0.95364980760957041</v>
      </c>
      <c r="AM229" s="116">
        <f t="shared" si="163"/>
        <v>0.95816383779156944</v>
      </c>
      <c r="AN229" s="116">
        <f t="shared" si="163"/>
        <v>0.96553485657241489</v>
      </c>
      <c r="AO229" s="116">
        <f t="shared" si="163"/>
        <v>0.96888262086203947</v>
      </c>
      <c r="AP229" s="116">
        <f t="shared" si="163"/>
        <v>0.97330687926632542</v>
      </c>
      <c r="AQ229" s="116">
        <f t="shared" si="163"/>
        <v>0.97774606218366433</v>
      </c>
      <c r="AR229" s="116">
        <f t="shared" si="163"/>
        <v>0.98290760042038383</v>
      </c>
      <c r="AS229" s="116">
        <f t="shared" si="163"/>
        <v>0.98772685133520277</v>
      </c>
      <c r="AT229" s="116">
        <f t="shared" si="163"/>
        <v>0.99267560386096554</v>
      </c>
      <c r="AU229" s="116">
        <f t="shared" si="163"/>
        <v>0.99711400281352314</v>
      </c>
      <c r="AV229" s="116">
        <f t="shared" si="163"/>
        <v>1.0018725994133084</v>
      </c>
      <c r="AW229" s="116">
        <f t="shared" si="163"/>
        <v>1.0066340241227478</v>
      </c>
      <c r="AX229" s="116">
        <f t="shared" si="164"/>
        <v>1.0114593315686766</v>
      </c>
      <c r="AY229" s="116">
        <f t="shared" si="164"/>
        <v>1.0162046163091494</v>
      </c>
      <c r="AZ229" s="116">
        <f t="shared" si="164"/>
        <v>1.0209511123558441</v>
      </c>
      <c r="BA229" s="116">
        <f t="shared" si="164"/>
        <v>1.025656914845481</v>
      </c>
      <c r="BB229" s="116">
        <f t="shared" si="164"/>
        <v>1.0304243367539452</v>
      </c>
      <c r="BC229" s="116">
        <f t="shared" si="164"/>
        <v>1.0351811998403797</v>
      </c>
      <c r="BD229" s="116">
        <f t="shared" si="164"/>
        <v>1.0399392623666193</v>
      </c>
      <c r="BE229" s="116">
        <f t="shared" si="164"/>
        <v>1.0446836360209597</v>
      </c>
      <c r="BF229" s="116">
        <f t="shared" si="164"/>
        <v>1.0494305652324538</v>
      </c>
    </row>
    <row r="230" spans="1:73">
      <c r="A230" s="69" t="s">
        <v>31</v>
      </c>
      <c r="W230" s="115">
        <f t="shared" ref="W230:X236" si="165">W134/W118</f>
        <v>0.8976865279649211</v>
      </c>
      <c r="X230" s="115">
        <f t="shared" si="165"/>
        <v>0.88832051351434016</v>
      </c>
      <c r="Y230" s="115">
        <f t="shared" si="162"/>
        <v>0.89126710532756226</v>
      </c>
      <c r="Z230" s="115">
        <f t="shared" si="162"/>
        <v>0.89939494276423804</v>
      </c>
      <c r="AA230" s="115">
        <f t="shared" si="162"/>
        <v>0.9037451708949531</v>
      </c>
      <c r="AB230" s="115">
        <f t="shared" si="162"/>
        <v>0.90634085930643726</v>
      </c>
      <c r="AC230" s="115">
        <f t="shared" si="162"/>
        <v>0.89425692365380838</v>
      </c>
      <c r="AD230" s="115">
        <f t="shared" si="162"/>
        <v>0.91844168703177431</v>
      </c>
      <c r="AE230" s="115">
        <f t="shared" si="162"/>
        <v>0.91473167599992988</v>
      </c>
      <c r="AF230" s="115">
        <f t="shared" si="162"/>
        <v>0.9245607025168131</v>
      </c>
      <c r="AG230" s="116">
        <f t="shared" ref="AG230:AM236" si="166">AVERAGE(AA230:AE230)+0.015+0.004</f>
        <v>0.92650326337738054</v>
      </c>
      <c r="AH230" s="116">
        <f t="shared" si="166"/>
        <v>0.93066636970175254</v>
      </c>
      <c r="AI230" s="116">
        <f t="shared" si="166"/>
        <v>0.93469885051594137</v>
      </c>
      <c r="AJ230" s="116">
        <f t="shared" si="166"/>
        <v>0.9419807397255302</v>
      </c>
      <c r="AK230" s="116">
        <f t="shared" si="166"/>
        <v>0.94523217242236346</v>
      </c>
      <c r="AL230" s="116">
        <f t="shared" si="166"/>
        <v>0.95068198516748359</v>
      </c>
      <c r="AM230" s="116">
        <f t="shared" si="166"/>
        <v>0.95481627914859368</v>
      </c>
      <c r="AN230" s="116">
        <f t="shared" si="163"/>
        <v>0.95965202350661427</v>
      </c>
      <c r="AO230" s="116">
        <f t="shared" si="163"/>
        <v>0.9644820053959825</v>
      </c>
      <c r="AP230" s="116">
        <f t="shared" si="163"/>
        <v>0.96947263999411704</v>
      </c>
      <c r="AQ230" s="116">
        <f t="shared" si="163"/>
        <v>0.97397289312820734</v>
      </c>
      <c r="AR230" s="116">
        <f t="shared" si="163"/>
        <v>0.97882098664255823</v>
      </c>
      <c r="AS230" s="116">
        <f t="shared" si="163"/>
        <v>0.98347916823470305</v>
      </c>
      <c r="AT230" s="116">
        <f t="shared" si="163"/>
        <v>0.98828010973349589</v>
      </c>
      <c r="AU230" s="116">
        <f t="shared" si="163"/>
        <v>0.99304553867911372</v>
      </c>
      <c r="AV230" s="116">
        <f t="shared" si="163"/>
        <v>0.9978051595466163</v>
      </c>
      <c r="AW230" s="116">
        <f t="shared" si="163"/>
        <v>1.0025197392836156</v>
      </c>
      <c r="AX230" s="116">
        <f t="shared" si="164"/>
        <v>1.0072861925672973</v>
      </c>
      <c r="AY230" s="116">
        <f t="shared" si="164"/>
        <v>1.012025943095509</v>
      </c>
      <c r="AZ230" s="116">
        <f t="shared" si="164"/>
        <v>1.0167873479620277</v>
      </c>
      <c r="BA230" s="116">
        <f t="shared" si="164"/>
        <v>1.0215365146344302</v>
      </c>
      <c r="BB230" s="116">
        <f t="shared" si="164"/>
        <v>1.0262848764910131</v>
      </c>
      <c r="BC230" s="116">
        <f t="shared" si="164"/>
        <v>1.0310311475085758</v>
      </c>
      <c r="BD230" s="116">
        <f t="shared" si="164"/>
        <v>1.0357841749500556</v>
      </c>
      <c r="BE230" s="116">
        <f t="shared" si="164"/>
        <v>1.0405331659383112</v>
      </c>
      <c r="BF230" s="116">
        <f t="shared" si="164"/>
        <v>1.0452848123092204</v>
      </c>
    </row>
    <row r="231" spans="1:73">
      <c r="A231" s="69" t="s">
        <v>32</v>
      </c>
      <c r="W231" s="115">
        <f t="shared" si="165"/>
        <v>0.89472578272746384</v>
      </c>
      <c r="X231" s="115">
        <f t="shared" si="165"/>
        <v>0.90227531863231603</v>
      </c>
      <c r="Y231" s="115">
        <f t="shared" si="162"/>
        <v>0.89770806527555069</v>
      </c>
      <c r="Z231" s="115">
        <f t="shared" si="162"/>
        <v>0.9154953928116335</v>
      </c>
      <c r="AA231" s="115">
        <f t="shared" si="162"/>
        <v>0.90774420684424417</v>
      </c>
      <c r="AB231" s="115">
        <f t="shared" si="162"/>
        <v>0.92252927774094007</v>
      </c>
      <c r="AC231" s="115">
        <f t="shared" si="162"/>
        <v>0.91135775539445263</v>
      </c>
      <c r="AD231" s="115">
        <f t="shared" si="162"/>
        <v>0.93537242874941773</v>
      </c>
      <c r="AE231" s="115">
        <f t="shared" si="162"/>
        <v>0.91513427004420644</v>
      </c>
      <c r="AF231" s="115">
        <f t="shared" si="162"/>
        <v>0.92270736067921266</v>
      </c>
      <c r="AG231" s="116">
        <f t="shared" si="166"/>
        <v>0.93742758775465218</v>
      </c>
      <c r="AH231" s="116">
        <f t="shared" si="166"/>
        <v>0.94042021852164592</v>
      </c>
      <c r="AI231" s="116">
        <f t="shared" si="166"/>
        <v>0.94339988052438839</v>
      </c>
      <c r="AJ231" s="116">
        <f t="shared" si="166"/>
        <v>0.94921237314982698</v>
      </c>
      <c r="AK231" s="116">
        <f t="shared" si="166"/>
        <v>0.95081786350482134</v>
      </c>
      <c r="AL231" s="116">
        <f t="shared" si="166"/>
        <v>0.95763348412594529</v>
      </c>
      <c r="AM231" s="116">
        <f t="shared" si="166"/>
        <v>0.96325558469106698</v>
      </c>
      <c r="AN231" s="116">
        <f t="shared" si="163"/>
        <v>0.96729676396532549</v>
      </c>
      <c r="AO231" s="116">
        <f t="shared" si="163"/>
        <v>0.97186383719920988</v>
      </c>
      <c r="AP231" s="116">
        <f t="shared" si="163"/>
        <v>0.97664321388739728</v>
      </c>
      <c r="AQ231" s="116">
        <f t="shared" si="163"/>
        <v>0.98117350669727377</v>
      </c>
      <c r="AR231" s="116">
        <f t="shared" si="163"/>
        <v>0.98633857677378911</v>
      </c>
      <c r="AS231" s="116">
        <f t="shared" si="163"/>
        <v>0.99104658128805478</v>
      </c>
      <c r="AT231" s="116">
        <f t="shared" si="163"/>
        <v>0.99566317970459928</v>
      </c>
      <c r="AU231" s="116">
        <f t="shared" si="163"/>
        <v>1.0004131431691448</v>
      </c>
      <c r="AV231" s="116">
        <f t="shared" si="163"/>
        <v>1.0051730116702227</v>
      </c>
      <c r="AW231" s="116">
        <f t="shared" si="163"/>
        <v>1.0099269975265721</v>
      </c>
      <c r="AX231" s="116">
        <f t="shared" si="164"/>
        <v>1.0147268985211619</v>
      </c>
      <c r="AY231" s="116">
        <f t="shared" si="164"/>
        <v>1.0194445826717187</v>
      </c>
      <c r="AZ231" s="116">
        <f t="shared" si="164"/>
        <v>1.02418064611834</v>
      </c>
      <c r="BA231" s="116">
        <f t="shared" si="164"/>
        <v>1.0289369267117641</v>
      </c>
      <c r="BB231" s="116">
        <f t="shared" si="164"/>
        <v>1.033690427301603</v>
      </c>
      <c r="BC231" s="116">
        <f t="shared" si="164"/>
        <v>1.038443210309911</v>
      </c>
      <c r="BD231" s="116">
        <f t="shared" si="164"/>
        <v>1.0431958962649175</v>
      </c>
      <c r="BE231" s="116">
        <f t="shared" si="164"/>
        <v>1.0479391586226672</v>
      </c>
      <c r="BF231" s="116">
        <f t="shared" si="164"/>
        <v>1.0526894213413069</v>
      </c>
    </row>
    <row r="232" spans="1:73">
      <c r="A232" s="69" t="s">
        <v>33</v>
      </c>
      <c r="W232" s="115">
        <f t="shared" si="165"/>
        <v>0.89529308175483602</v>
      </c>
      <c r="X232" s="115">
        <f t="shared" si="165"/>
        <v>0.88578871530223613</v>
      </c>
      <c r="Y232" s="115">
        <f t="shared" si="162"/>
        <v>0.89343955333129066</v>
      </c>
      <c r="Z232" s="115">
        <f t="shared" si="162"/>
        <v>0.91009663266130125</v>
      </c>
      <c r="AA232" s="115">
        <f t="shared" si="162"/>
        <v>0.90655064023187149</v>
      </c>
      <c r="AB232" s="115">
        <f t="shared" si="162"/>
        <v>0.82837635832733081</v>
      </c>
      <c r="AC232" s="115">
        <f t="shared" si="162"/>
        <v>0.91820347952577075</v>
      </c>
      <c r="AD232" s="115">
        <f t="shared" si="162"/>
        <v>0.91951078678544529</v>
      </c>
      <c r="AE232" s="115">
        <f t="shared" si="162"/>
        <v>0.91972883091540092</v>
      </c>
      <c r="AF232" s="115">
        <f t="shared" si="162"/>
        <v>0.92249749743827603</v>
      </c>
      <c r="AG232" s="116">
        <f t="shared" si="166"/>
        <v>0.91747401915716376</v>
      </c>
      <c r="AH232" s="116">
        <f t="shared" si="166"/>
        <v>0.92066339059844471</v>
      </c>
      <c r="AI232" s="116">
        <f t="shared" si="166"/>
        <v>0.93848292276441136</v>
      </c>
      <c r="AJ232" s="116">
        <f t="shared" si="166"/>
        <v>0.9389749049789462</v>
      </c>
      <c r="AK232" s="116">
        <f t="shared" si="166"/>
        <v>0.94276933217473935</v>
      </c>
      <c r="AL232" s="116">
        <f t="shared" si="166"/>
        <v>0.94661854698744841</v>
      </c>
      <c r="AM232" s="116">
        <f t="shared" si="166"/>
        <v>0.95067291393474107</v>
      </c>
      <c r="AN232" s="116">
        <f t="shared" si="163"/>
        <v>0.95650181950079805</v>
      </c>
      <c r="AO232" s="116">
        <f t="shared" si="163"/>
        <v>0.96250372416805741</v>
      </c>
      <c r="AP232" s="116">
        <f t="shared" si="163"/>
        <v>0.96610750351533459</v>
      </c>
      <c r="AQ232" s="116">
        <f t="shared" si="163"/>
        <v>0.97081326735315676</v>
      </c>
      <c r="AR232" s="116">
        <f t="shared" si="163"/>
        <v>0.97548090162127599</v>
      </c>
      <c r="AS232" s="116">
        <f t="shared" si="163"/>
        <v>0.98031984569441755</v>
      </c>
      <c r="AT232" s="116">
        <f t="shared" si="163"/>
        <v>0.98528144323172462</v>
      </c>
      <c r="AU232" s="116">
        <f t="shared" si="163"/>
        <v>0.9900450484704485</v>
      </c>
      <c r="AV232" s="116">
        <f t="shared" si="163"/>
        <v>0.99460059228318198</v>
      </c>
      <c r="AW232" s="116">
        <f t="shared" si="163"/>
        <v>0.99938810127420463</v>
      </c>
      <c r="AX232" s="116">
        <f t="shared" si="164"/>
        <v>1.0041455662602097</v>
      </c>
      <c r="AY232" s="116">
        <f t="shared" si="164"/>
        <v>1.0089270061907953</v>
      </c>
      <c r="AZ232" s="116">
        <f t="shared" si="164"/>
        <v>1.0136921503039538</v>
      </c>
      <c r="BA232" s="116">
        <f t="shared" si="164"/>
        <v>1.0184212628957678</v>
      </c>
      <c r="BB232" s="116">
        <f t="shared" si="164"/>
        <v>1.0231506832624691</v>
      </c>
      <c r="BC232" s="116">
        <f t="shared" si="164"/>
        <v>1.0279148173849864</v>
      </c>
      <c r="BD232" s="116">
        <f t="shared" si="164"/>
        <v>1.0326673337826391</v>
      </c>
      <c r="BE232" s="116">
        <f t="shared" si="164"/>
        <v>1.0374211840075944</v>
      </c>
      <c r="BF232" s="116">
        <f t="shared" si="164"/>
        <v>1.0421692495259631</v>
      </c>
    </row>
    <row r="233" spans="1:73">
      <c r="A233" s="69" t="s">
        <v>14</v>
      </c>
      <c r="W233" s="115">
        <f t="shared" si="165"/>
        <v>0.89371336172335758</v>
      </c>
      <c r="X233" s="115">
        <f t="shared" si="165"/>
        <v>0.89449008214786607</v>
      </c>
      <c r="Y233" s="115">
        <f t="shared" si="162"/>
        <v>0.89803054831501483</v>
      </c>
      <c r="Z233" s="115">
        <f t="shared" si="162"/>
        <v>0.9124747402995329</v>
      </c>
      <c r="AA233" s="115">
        <f t="shared" si="162"/>
        <v>0.91138865405231095</v>
      </c>
      <c r="AB233" s="115">
        <f t="shared" si="162"/>
        <v>0.86017673504549608</v>
      </c>
      <c r="AC233" s="115">
        <f t="shared" si="162"/>
        <v>0.9111049276306562</v>
      </c>
      <c r="AD233" s="115">
        <f t="shared" si="162"/>
        <v>0.91906643032743074</v>
      </c>
      <c r="AE233" s="115">
        <f t="shared" si="162"/>
        <v>0.92584012701276275</v>
      </c>
      <c r="AF233" s="115">
        <f t="shared" si="162"/>
        <v>0.92249434012810749</v>
      </c>
      <c r="AG233" s="116">
        <f t="shared" si="166"/>
        <v>0.92451537481373147</v>
      </c>
      <c r="AH233" s="116">
        <f t="shared" si="166"/>
        <v>0.92673651202889062</v>
      </c>
      <c r="AI233" s="116">
        <f t="shared" si="166"/>
        <v>0.93960423998253761</v>
      </c>
      <c r="AJ233" s="116">
        <f t="shared" si="166"/>
        <v>0.94273055686218454</v>
      </c>
      <c r="AK233" s="116">
        <f t="shared" si="166"/>
        <v>0.94683811879320612</v>
      </c>
      <c r="AL233" s="116">
        <f t="shared" si="166"/>
        <v>0.95021620476309032</v>
      </c>
      <c r="AM233" s="116">
        <f t="shared" si="166"/>
        <v>0.95508496049611002</v>
      </c>
      <c r="AN233" s="116">
        <f t="shared" si="163"/>
        <v>0.96022512648598191</v>
      </c>
      <c r="AO233" s="116">
        <f t="shared" si="163"/>
        <v>0.96589481617942574</v>
      </c>
      <c r="AP233" s="116">
        <f t="shared" si="163"/>
        <v>0.97001899348011456</v>
      </c>
      <c r="AQ233" s="116">
        <f t="shared" si="163"/>
        <v>0.97465184534356297</v>
      </c>
      <c r="AR233" s="116">
        <f t="shared" si="163"/>
        <v>0.97928802028094453</v>
      </c>
      <c r="AS233" s="116">
        <f t="shared" si="163"/>
        <v>0.98417514839703923</v>
      </c>
      <c r="AT233" s="116">
        <f t="shared" si="163"/>
        <v>0.98901576035400596</v>
      </c>
      <c r="AU233" s="116">
        <f t="shared" si="163"/>
        <v>0.9938057647362174</v>
      </c>
      <c r="AV233" s="116">
        <f t="shared" si="163"/>
        <v>0.9984299535711334</v>
      </c>
      <c r="AW233" s="116">
        <f t="shared" si="163"/>
        <v>1.0031873078223541</v>
      </c>
      <c r="AX233" s="116">
        <f t="shared" si="164"/>
        <v>1.0079429294678681</v>
      </c>
      <c r="AY233" s="116">
        <f t="shared" si="164"/>
        <v>1.0127227869761499</v>
      </c>
      <c r="AZ233" s="116">
        <f t="shared" si="164"/>
        <v>1.0174763431903158</v>
      </c>
      <c r="BA233" s="116">
        <f t="shared" si="164"/>
        <v>1.0222177485147446</v>
      </c>
      <c r="BB233" s="116">
        <f t="shared" si="164"/>
        <v>1.0269518642055642</v>
      </c>
      <c r="BC233" s="116">
        <f t="shared" si="164"/>
        <v>1.0317094231942863</v>
      </c>
      <c r="BD233" s="116">
        <f t="shared" si="164"/>
        <v>1.0364623344709285</v>
      </c>
      <c r="BE233" s="116">
        <f t="shared" si="164"/>
        <v>1.0412156332162121</v>
      </c>
      <c r="BF233" s="116">
        <f t="shared" si="164"/>
        <v>1.0459635427151677</v>
      </c>
    </row>
    <row r="234" spans="1:73">
      <c r="A234" s="69" t="s">
        <v>34</v>
      </c>
      <c r="W234" s="115">
        <f t="shared" si="165"/>
        <v>0.89673489367102377</v>
      </c>
      <c r="X234" s="115">
        <f t="shared" si="165"/>
        <v>0.8887477798544281</v>
      </c>
      <c r="Y234" s="115">
        <f t="shared" si="162"/>
        <v>0.90138562929019295</v>
      </c>
      <c r="Z234" s="115">
        <f t="shared" si="162"/>
        <v>0.90695327328051101</v>
      </c>
      <c r="AA234" s="115">
        <f t="shared" si="162"/>
        <v>0.90537371221013152</v>
      </c>
      <c r="AB234" s="115">
        <f t="shared" si="162"/>
        <v>0.88242442298043156</v>
      </c>
      <c r="AC234" s="115">
        <f t="shared" si="162"/>
        <v>0.91606901685305608</v>
      </c>
      <c r="AD234" s="115">
        <f t="shared" si="162"/>
        <v>0.9270087261304305</v>
      </c>
      <c r="AE234" s="115">
        <f t="shared" si="162"/>
        <v>0.92356674930780513</v>
      </c>
      <c r="AF234" s="115">
        <f t="shared" si="162"/>
        <v>0.91868847167679812</v>
      </c>
      <c r="AG234" s="116">
        <f t="shared" si="166"/>
        <v>0.92988852549637102</v>
      </c>
      <c r="AH234" s="116">
        <f t="shared" si="166"/>
        <v>0.93255147738970434</v>
      </c>
      <c r="AI234" s="116">
        <f t="shared" si="166"/>
        <v>0.94204429789289224</v>
      </c>
      <c r="AJ234" s="116">
        <f t="shared" si="166"/>
        <v>0.94534079000022175</v>
      </c>
      <c r="AK234" s="116">
        <f t="shared" si="166"/>
        <v>0.94834790435271421</v>
      </c>
      <c r="AL234" s="116">
        <f t="shared" si="166"/>
        <v>0.95270271249119753</v>
      </c>
      <c r="AM234" s="116">
        <f t="shared" si="166"/>
        <v>0.95863459902638071</v>
      </c>
      <c r="AN234" s="116">
        <f t="shared" si="163"/>
        <v>0.96319743642534594</v>
      </c>
      <c r="AO234" s="116">
        <f t="shared" si="163"/>
        <v>0.96841406075268133</v>
      </c>
      <c r="AP234" s="116">
        <f t="shared" si="163"/>
        <v>0.97264468845917207</v>
      </c>
      <c r="AQ234" s="116">
        <f t="shared" si="163"/>
        <v>0.97725934260966385</v>
      </c>
      <c r="AR234" s="116">
        <f t="shared" si="163"/>
        <v>0.98211869943095553</v>
      </c>
      <c r="AS234" s="116">
        <f t="shared" si="163"/>
        <v>0.9870300254546488</v>
      </c>
      <c r="AT234" s="116">
        <f t="shared" si="163"/>
        <v>0.99172684553556378</v>
      </c>
      <c r="AU234" s="116">
        <f t="shared" si="163"/>
        <v>0.99649336334142424</v>
      </c>
      <c r="AV234" s="116">
        <f t="shared" si="163"/>
        <v>1.0011559202980007</v>
      </c>
      <c r="AW234" s="116">
        <f t="shared" si="163"/>
        <v>1.0059256552744513</v>
      </c>
      <c r="AX234" s="116">
        <f t="shared" si="164"/>
        <v>1.0107049708121187</v>
      </c>
      <c r="AY234" s="116">
        <f t="shared" si="164"/>
        <v>1.0154663619808177</v>
      </c>
      <c r="AZ234" s="116">
        <f t="shared" si="164"/>
        <v>1.0202013510523118</v>
      </c>
      <c r="BA234" s="116">
        <f t="shared" si="164"/>
        <v>1.0249492543413623</v>
      </c>
      <c r="BB234" s="116">
        <f t="shared" si="164"/>
        <v>1.0296908518835401</v>
      </c>
      <c r="BC234" s="116">
        <f t="shared" si="164"/>
        <v>1.0344495186922125</v>
      </c>
      <c r="BD234" s="116">
        <f t="shared" si="164"/>
        <v>1.0392025580140301</v>
      </c>
      <c r="BE234" s="116">
        <f t="shared" si="164"/>
        <v>1.0439514675900488</v>
      </c>
      <c r="BF234" s="116">
        <f t="shared" si="164"/>
        <v>1.0486987067966913</v>
      </c>
    </row>
    <row r="235" spans="1:73">
      <c r="A235" s="69" t="s">
        <v>35</v>
      </c>
      <c r="W235" s="115">
        <f t="shared" si="165"/>
        <v>0.89523416592328287</v>
      </c>
      <c r="X235" s="115">
        <f t="shared" si="165"/>
        <v>0.89691407493605291</v>
      </c>
      <c r="Y235" s="115">
        <f t="shared" si="162"/>
        <v>0.89131995036512757</v>
      </c>
      <c r="Z235" s="115">
        <f t="shared" si="162"/>
        <v>0.91188604780896398</v>
      </c>
      <c r="AA235" s="115">
        <f t="shared" si="162"/>
        <v>0.90274194835243737</v>
      </c>
      <c r="AB235" s="115">
        <f t="shared" si="162"/>
        <v>0.90496142019519099</v>
      </c>
      <c r="AC235" s="115">
        <f t="shared" si="162"/>
        <v>0.91731201011756103</v>
      </c>
      <c r="AD235" s="115">
        <f t="shared" si="162"/>
        <v>0.93600492409070657</v>
      </c>
      <c r="AE235" s="115">
        <f t="shared" si="162"/>
        <v>0.91900114444876446</v>
      </c>
      <c r="AF235" s="115">
        <f t="shared" si="162"/>
        <v>0.92336371339409351</v>
      </c>
      <c r="AG235" s="116">
        <f t="shared" si="166"/>
        <v>0.93500428944093206</v>
      </c>
      <c r="AH235" s="116">
        <f t="shared" si="166"/>
        <v>0.93912864244926331</v>
      </c>
      <c r="AI235" s="116">
        <f t="shared" si="166"/>
        <v>0.94513721629841152</v>
      </c>
      <c r="AJ235" s="116">
        <f t="shared" si="166"/>
        <v>0.94950054276475193</v>
      </c>
      <c r="AK235" s="116">
        <f t="shared" si="166"/>
        <v>0.95132700120629299</v>
      </c>
      <c r="AL235" s="116">
        <f t="shared" si="166"/>
        <v>0.95742688086949057</v>
      </c>
      <c r="AM235" s="116">
        <f t="shared" si="166"/>
        <v>0.96301953843193033</v>
      </c>
      <c r="AN235" s="116">
        <f t="shared" si="163"/>
        <v>0.96750405671764195</v>
      </c>
      <c r="AO235" s="116">
        <f t="shared" si="163"/>
        <v>0.9722822359141754</v>
      </c>
      <c r="AP235" s="116">
        <f t="shared" si="163"/>
        <v>0.97675560399802164</v>
      </c>
      <c r="AQ235" s="116">
        <f t="shared" si="163"/>
        <v>0.98131194262790633</v>
      </c>
      <c r="AR235" s="116">
        <f t="shared" si="163"/>
        <v>0.98639766318625199</v>
      </c>
      <c r="AS235" s="116">
        <f t="shared" si="163"/>
        <v>0.99117467553793515</v>
      </c>
      <c r="AT235" s="116">
        <f t="shared" si="163"/>
        <v>0.99585030048879952</v>
      </c>
      <c r="AU235" s="116">
        <f t="shared" si="163"/>
        <v>1.0005844242528581</v>
      </c>
      <c r="AV235" s="116">
        <f t="shared" si="163"/>
        <v>1.0052980371677829</v>
      </c>
      <c r="AW235" s="116">
        <f t="shared" si="163"/>
        <v>1.0100638012187502</v>
      </c>
      <c r="AX235" s="116">
        <f t="shared" si="164"/>
        <v>1.0148610201267254</v>
      </c>
      <c r="AY235" s="116">
        <f t="shared" si="164"/>
        <v>1.0195942477332249</v>
      </c>
      <c r="AZ235" s="116">
        <f t="shared" si="164"/>
        <v>1.0243315166509832</v>
      </c>
      <c r="BA235" s="116">
        <f t="shared" si="164"/>
        <v>1.0290803060998681</v>
      </c>
      <c r="BB235" s="116">
        <f t="shared" si="164"/>
        <v>1.0338297245794934</v>
      </c>
      <c r="BC235" s="116">
        <f t="shared" si="164"/>
        <v>1.0385861783659103</v>
      </c>
      <c r="BD235" s="116">
        <f t="shared" si="164"/>
        <v>1.043339363038059</v>
      </c>
      <c r="BE235" s="116">
        <f t="shared" si="164"/>
        <v>1.048084394685896</v>
      </c>
      <c r="BF235" s="116">
        <f t="shared" si="164"/>
        <v>1.0528334177468626</v>
      </c>
    </row>
    <row r="236" spans="1:73">
      <c r="A236" s="69" t="s">
        <v>36</v>
      </c>
      <c r="W236" s="115">
        <f t="shared" si="165"/>
        <v>0.89343934954388204</v>
      </c>
      <c r="X236" s="115">
        <f t="shared" si="165"/>
        <v>0.89796443990448627</v>
      </c>
      <c r="Y236" s="115">
        <f t="shared" si="162"/>
        <v>0.90445191976981221</v>
      </c>
      <c r="Z236" s="115">
        <f t="shared" si="162"/>
        <v>0.92005674173124863</v>
      </c>
      <c r="AA236" s="115">
        <f t="shared" si="162"/>
        <v>0.91091122391727153</v>
      </c>
      <c r="AB236" s="115">
        <f t="shared" si="162"/>
        <v>0.90264423953499118</v>
      </c>
      <c r="AC236" s="115">
        <f t="shared" si="162"/>
        <v>0.92440808356269311</v>
      </c>
      <c r="AD236" s="115">
        <f t="shared" si="162"/>
        <v>0.93497807348809325</v>
      </c>
      <c r="AE236" s="115">
        <f t="shared" si="162"/>
        <v>0.91898047525900162</v>
      </c>
      <c r="AF236" s="115">
        <f t="shared" si="162"/>
        <v>0.91819283811828711</v>
      </c>
      <c r="AG236" s="116">
        <f t="shared" si="166"/>
        <v>0.93738441915241</v>
      </c>
      <c r="AH236" s="116">
        <f t="shared" si="166"/>
        <v>0.93884074199261325</v>
      </c>
      <c r="AI236" s="116">
        <f t="shared" si="166"/>
        <v>0.94578877791609706</v>
      </c>
      <c r="AJ236" s="116">
        <f t="shared" si="166"/>
        <v>0.94867530960208102</v>
      </c>
      <c r="AK236" s="116">
        <f t="shared" si="166"/>
        <v>0.95083745048768187</v>
      </c>
      <c r="AL236" s="116">
        <f t="shared" si="166"/>
        <v>0.9567764173562977</v>
      </c>
      <c r="AM236" s="116">
        <f t="shared" si="166"/>
        <v>0.96330533983017674</v>
      </c>
      <c r="AN236" s="116">
        <f t="shared" si="163"/>
        <v>0.96718373947095426</v>
      </c>
      <c r="AO236" s="116">
        <f t="shared" si="163"/>
        <v>0.97207665903846696</v>
      </c>
      <c r="AP236" s="116">
        <f t="shared" si="163"/>
        <v>0.97635565134943836</v>
      </c>
      <c r="AQ236" s="116">
        <f t="shared" si="163"/>
        <v>0.98103592123671557</v>
      </c>
      <c r="AR236" s="116">
        <f t="shared" si="163"/>
        <v>0.98613956140906689</v>
      </c>
      <c r="AS236" s="116">
        <f t="shared" si="163"/>
        <v>0.99099146218515033</v>
      </c>
      <c r="AT236" s="116">
        <f t="shared" si="163"/>
        <v>0.99555830650092847</v>
      </c>
      <c r="AU236" s="116">
        <f t="shared" si="163"/>
        <v>1.0003198510437676</v>
      </c>
      <c r="AV236" s="116">
        <f t="shared" si="163"/>
        <v>1.0050161805362599</v>
      </c>
      <c r="AW236" s="116">
        <f t="shared" si="163"/>
        <v>1.0098090204751258</v>
      </c>
      <c r="AX236" s="116">
        <f t="shared" si="164"/>
        <v>1.0146050723350346</v>
      </c>
      <c r="AY236" s="116">
        <f t="shared" si="164"/>
        <v>1.0193389641482462</v>
      </c>
      <c r="AZ236" s="116">
        <f t="shared" si="164"/>
        <v>1.0240616861782232</v>
      </c>
      <c r="BA236" s="116">
        <f t="shared" si="164"/>
        <v>1.0288178177076868</v>
      </c>
      <c r="BB236" s="116">
        <f t="shared" si="164"/>
        <v>1.0335661847345776</v>
      </c>
      <c r="BC236" s="116">
        <f t="shared" si="164"/>
        <v>1.0383265121688632</v>
      </c>
      <c r="BD236" s="116">
        <f t="shared" si="164"/>
        <v>1.0430779450207537</v>
      </c>
      <c r="BE236" s="116">
        <f t="shared" si="164"/>
        <v>1.0478222329875193</v>
      </c>
      <c r="BF236" s="116">
        <f t="shared" si="164"/>
        <v>1.0525700291620208</v>
      </c>
    </row>
    <row r="237" spans="1:73" ht="12" thickBot="1">
      <c r="A237" s="69" t="s">
        <v>138</v>
      </c>
      <c r="W237" s="115">
        <f>W141/SUM(W157,W141)</f>
        <v>0.79584580653723924</v>
      </c>
      <c r="X237" s="115">
        <f>X141/SUM(X157,X141)</f>
        <v>0.89398934767826599</v>
      </c>
      <c r="Y237" s="115">
        <f t="shared" ref="Y237:AB237" si="167">Y141/SUM(Y157,Y141)</f>
        <v>0.89752284167987939</v>
      </c>
      <c r="Z237" s="115">
        <f t="shared" si="167"/>
        <v>0.9072452443364456</v>
      </c>
      <c r="AA237" s="115">
        <f t="shared" si="167"/>
        <v>0.90858520966089429</v>
      </c>
      <c r="AB237" s="115">
        <f t="shared" si="167"/>
        <v>0.89566112910058338</v>
      </c>
      <c r="AC237" s="115">
        <f>AVERAGE(AC225:AC236)</f>
        <v>0.9093392738348528</v>
      </c>
      <c r="AD237" s="115">
        <f>AVERAGE(AD225:AD236)</f>
        <v>0.92428450926070749</v>
      </c>
      <c r="AE237" s="115">
        <f t="shared" ref="AE237:AF237" si="168">AVERAGE(AE225:AE236)</f>
        <v>0.92058289964369111</v>
      </c>
      <c r="AF237" s="115">
        <f t="shared" si="168"/>
        <v>0.92151854360998298</v>
      </c>
      <c r="AG237" s="116">
        <f>FORECAST(AG353,X237:AF237,X353:AF353)</f>
        <v>0.92659179583732154</v>
      </c>
      <c r="AH237" s="116">
        <f t="shared" ref="AH237:BF237" si="169">FORECAST(AH353,Y237:AG237,Y353:AG353)</f>
        <v>0.9300130336551593</v>
      </c>
      <c r="AI237" s="116">
        <f t="shared" si="169"/>
        <v>0.93331762965705245</v>
      </c>
      <c r="AJ237" s="116">
        <f t="shared" si="169"/>
        <v>0.93835415314024129</v>
      </c>
      <c r="AK237" s="116">
        <f t="shared" si="169"/>
        <v>0.94386586657726834</v>
      </c>
      <c r="AL237" s="116">
        <f t="shared" si="169"/>
        <v>0.94539746052515561</v>
      </c>
      <c r="AM237" s="116">
        <f t="shared" si="169"/>
        <v>0.94777213455118403</v>
      </c>
      <c r="AN237" s="116">
        <f t="shared" si="169"/>
        <v>0.95276397007804547</v>
      </c>
      <c r="AO237" s="116">
        <f t="shared" si="169"/>
        <v>0.95688604968188251</v>
      </c>
      <c r="AP237" s="116">
        <f t="shared" si="169"/>
        <v>0.9604443000075964</v>
      </c>
      <c r="AQ237" s="116">
        <f t="shared" si="169"/>
        <v>0.96418686315265578</v>
      </c>
      <c r="AR237" s="116">
        <f t="shared" si="169"/>
        <v>0.96781712390344854</v>
      </c>
      <c r="AS237" s="116">
        <f t="shared" si="169"/>
        <v>0.97122275241926737</v>
      </c>
      <c r="AT237" s="116">
        <f t="shared" si="169"/>
        <v>0.97480597348589182</v>
      </c>
      <c r="AU237" s="116">
        <f t="shared" si="169"/>
        <v>0.97892682197018921</v>
      </c>
      <c r="AV237" s="116">
        <f t="shared" si="169"/>
        <v>0.98276880346697748</v>
      </c>
      <c r="AW237" s="116">
        <f t="shared" si="169"/>
        <v>0.9862498136832043</v>
      </c>
      <c r="AX237" s="116">
        <f t="shared" si="169"/>
        <v>0.98988683355242468</v>
      </c>
      <c r="AY237" s="116">
        <f t="shared" si="169"/>
        <v>0.99360934405315149</v>
      </c>
      <c r="AZ237" s="116">
        <f t="shared" si="169"/>
        <v>0.99732348149784666</v>
      </c>
      <c r="BA237" s="116">
        <f t="shared" si="169"/>
        <v>1.0010681539862665</v>
      </c>
      <c r="BB237" s="116">
        <f t="shared" si="169"/>
        <v>1.0048249868368488</v>
      </c>
      <c r="BC237" s="116">
        <f t="shared" si="169"/>
        <v>1.0085212127161789</v>
      </c>
      <c r="BD237" s="116">
        <f t="shared" si="169"/>
        <v>1.0121548925552135</v>
      </c>
      <c r="BE237" s="116">
        <f t="shared" si="169"/>
        <v>1.0158530860903872</v>
      </c>
      <c r="BF237" s="116">
        <f t="shared" si="169"/>
        <v>1.0195998541053477</v>
      </c>
    </row>
    <row r="238" spans="1:73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</row>
    <row r="239" spans="1:73" ht="12" thickBot="1">
      <c r="A239" s="69" t="s">
        <v>168</v>
      </c>
      <c r="Z239" s="76"/>
      <c r="AA239" s="76"/>
      <c r="AB239" s="76"/>
      <c r="AC239" s="76"/>
    </row>
    <row r="240" spans="1:73" ht="12" thickBot="1">
      <c r="A240" s="84"/>
      <c r="B240" s="85" t="s">
        <v>66</v>
      </c>
      <c r="C240" s="86" t="s">
        <v>67</v>
      </c>
      <c r="D240" s="86" t="s">
        <v>68</v>
      </c>
      <c r="E240" s="86" t="s">
        <v>69</v>
      </c>
      <c r="F240" s="86" t="s">
        <v>70</v>
      </c>
      <c r="G240" s="86" t="s">
        <v>71</v>
      </c>
      <c r="H240" s="86" t="s">
        <v>72</v>
      </c>
      <c r="I240" s="86" t="s">
        <v>73</v>
      </c>
      <c r="J240" s="86" t="s">
        <v>74</v>
      </c>
      <c r="K240" s="86" t="s">
        <v>75</v>
      </c>
      <c r="L240" s="86" t="s">
        <v>76</v>
      </c>
      <c r="M240" s="86" t="s">
        <v>77</v>
      </c>
      <c r="N240" s="86" t="s">
        <v>78</v>
      </c>
      <c r="O240" s="86" t="s">
        <v>79</v>
      </c>
      <c r="P240" s="86" t="s">
        <v>80</v>
      </c>
      <c r="Q240" s="86" t="s">
        <v>81</v>
      </c>
      <c r="R240" s="86" t="s">
        <v>82</v>
      </c>
      <c r="S240" s="86" t="s">
        <v>83</v>
      </c>
      <c r="T240" s="86" t="s">
        <v>84</v>
      </c>
      <c r="U240" s="86" t="s">
        <v>85</v>
      </c>
      <c r="V240" s="86" t="s">
        <v>86</v>
      </c>
      <c r="W240" s="86" t="s">
        <v>87</v>
      </c>
      <c r="X240" s="86" t="s">
        <v>88</v>
      </c>
      <c r="Y240" s="86" t="s">
        <v>89</v>
      </c>
      <c r="Z240" s="86" t="s">
        <v>90</v>
      </c>
      <c r="AA240" s="86" t="s">
        <v>91</v>
      </c>
      <c r="AB240" s="86" t="s">
        <v>92</v>
      </c>
      <c r="AC240" s="86" t="s">
        <v>93</v>
      </c>
      <c r="AD240" s="86" t="str">
        <f>AD2</f>
        <v>21/22</v>
      </c>
      <c r="AE240" s="86" t="str">
        <f t="shared" ref="AE240:BF240" si="170">AE2</f>
        <v>22/23</v>
      </c>
      <c r="AF240" s="86" t="str">
        <f t="shared" si="170"/>
        <v>23/24</v>
      </c>
      <c r="AG240" s="86" t="str">
        <f t="shared" si="170"/>
        <v>24/25</v>
      </c>
      <c r="AH240" s="86" t="str">
        <f t="shared" si="170"/>
        <v>25/26</v>
      </c>
      <c r="AI240" s="86" t="str">
        <f t="shared" si="170"/>
        <v>26/27</v>
      </c>
      <c r="AJ240" s="86" t="str">
        <f t="shared" si="170"/>
        <v>27/28</v>
      </c>
      <c r="AK240" s="86" t="str">
        <f t="shared" si="170"/>
        <v>28/29</v>
      </c>
      <c r="AL240" s="86" t="str">
        <f t="shared" si="170"/>
        <v>29/30</v>
      </c>
      <c r="AM240" s="86" t="str">
        <f t="shared" si="170"/>
        <v>30/31</v>
      </c>
      <c r="AN240" s="86" t="str">
        <f t="shared" si="170"/>
        <v>31/32</v>
      </c>
      <c r="AO240" s="86" t="str">
        <f t="shared" si="170"/>
        <v>32/33</v>
      </c>
      <c r="AP240" s="86" t="str">
        <f t="shared" si="170"/>
        <v>33/34</v>
      </c>
      <c r="AQ240" s="86" t="str">
        <f t="shared" si="170"/>
        <v>34/35</v>
      </c>
      <c r="AR240" s="86" t="str">
        <f t="shared" si="170"/>
        <v>35/36</v>
      </c>
      <c r="AS240" s="86" t="str">
        <f t="shared" si="170"/>
        <v>36/37</v>
      </c>
      <c r="AT240" s="86" t="str">
        <f t="shared" si="170"/>
        <v>37/38</v>
      </c>
      <c r="AU240" s="86" t="str">
        <f t="shared" si="170"/>
        <v>38/39</v>
      </c>
      <c r="AV240" s="86" t="str">
        <f t="shared" si="170"/>
        <v>39/40</v>
      </c>
      <c r="AW240" s="86" t="str">
        <f t="shared" si="170"/>
        <v>40/41</v>
      </c>
      <c r="AX240" s="86" t="str">
        <f t="shared" si="170"/>
        <v>41/42</v>
      </c>
      <c r="AY240" s="86" t="str">
        <f t="shared" si="170"/>
        <v>42/43</v>
      </c>
      <c r="AZ240" s="86" t="str">
        <f t="shared" si="170"/>
        <v>43/44</v>
      </c>
      <c r="BA240" s="86" t="str">
        <f t="shared" si="170"/>
        <v>44/45</v>
      </c>
      <c r="BB240" s="86" t="str">
        <f t="shared" si="170"/>
        <v>45/46</v>
      </c>
      <c r="BC240" s="86" t="str">
        <f t="shared" si="170"/>
        <v>42/47</v>
      </c>
      <c r="BD240" s="86" t="str">
        <f t="shared" si="170"/>
        <v>42/48</v>
      </c>
      <c r="BE240" s="86" t="str">
        <f t="shared" si="170"/>
        <v>42/49</v>
      </c>
      <c r="BF240" s="86" t="str">
        <f t="shared" si="170"/>
        <v>42/50</v>
      </c>
    </row>
    <row r="241" spans="1:58">
      <c r="A241" s="69" t="s">
        <v>37</v>
      </c>
      <c r="X241" s="115">
        <f t="shared" ref="X241:BF248" si="171">1-X225</f>
        <v>0.10551307884753547</v>
      </c>
      <c r="Y241" s="115">
        <f t="shared" si="171"/>
        <v>0.11064102564102563</v>
      </c>
      <c r="Z241" s="115">
        <f t="shared" si="171"/>
        <v>0.11324979603419527</v>
      </c>
      <c r="AA241" s="115">
        <f t="shared" si="171"/>
        <v>9.5195110567057983E-2</v>
      </c>
      <c r="AB241" s="115">
        <f t="shared" si="171"/>
        <v>0.10405355387620929</v>
      </c>
      <c r="AC241" s="115">
        <f t="shared" si="171"/>
        <v>0.11031340910545262</v>
      </c>
      <c r="AD241" s="115">
        <f t="shared" si="171"/>
        <v>9.9357527938314982E-2</v>
      </c>
      <c r="AE241" s="115">
        <f t="shared" si="171"/>
        <v>7.30001852465475E-2</v>
      </c>
      <c r="AF241" s="115">
        <f t="shared" si="171"/>
        <v>7.9667372620312427E-2</v>
      </c>
      <c r="AG241" s="115">
        <f t="shared" si="171"/>
        <v>8.3790092698583729E-2</v>
      </c>
      <c r="AH241" s="116">
        <f t="shared" si="171"/>
        <v>7.4278409757367325E-2</v>
      </c>
      <c r="AI241" s="116">
        <f t="shared" si="171"/>
        <v>7.0225717521842146E-2</v>
      </c>
      <c r="AJ241" s="116">
        <f t="shared" si="171"/>
        <v>6.3018717652225109E-2</v>
      </c>
      <c r="AK241" s="116">
        <f t="shared" si="171"/>
        <v>5.7192355568930764E-2</v>
      </c>
      <c r="AL241" s="116">
        <f t="shared" si="171"/>
        <v>5.5196062050066108E-2</v>
      </c>
      <c r="AM241" s="116">
        <f t="shared" si="171"/>
        <v>5.0701058639789798E-2</v>
      </c>
      <c r="AN241" s="116">
        <f t="shared" si="171"/>
        <v>4.4982252510086251E-2</v>
      </c>
      <c r="AO241" s="116">
        <f t="shared" si="171"/>
        <v>4.0266782286570879E-2</v>
      </c>
      <c r="AP241" s="116">
        <f t="shared" si="171"/>
        <v>3.5218089284219656E-2</v>
      </c>
      <c r="AQ241" s="116">
        <f t="shared" si="171"/>
        <v>3.0667702211088721E-2</v>
      </c>
      <c r="AR241" s="116">
        <f t="shared" si="171"/>
        <v>2.6272848954146499E-2</v>
      </c>
      <c r="AS241" s="116">
        <f t="shared" si="171"/>
        <v>2.1367176986351044E-2</v>
      </c>
      <c r="AT241" s="116">
        <f t="shared" si="171"/>
        <v>1.648153504922234E-2</v>
      </c>
      <c r="AU241" s="116">
        <f t="shared" si="171"/>
        <v>1.1758519944475299E-2</v>
      </c>
      <c r="AV241" s="116">
        <f t="shared" si="171"/>
        <v>7.0014704970055019E-3</v>
      </c>
      <c r="AW241" s="116">
        <f t="shared" si="171"/>
        <v>2.3095566290567415E-3</v>
      </c>
      <c r="AX241" s="116">
        <f t="shared" si="171"/>
        <v>-2.4236897137597246E-3</v>
      </c>
      <c r="AY241" s="116">
        <f t="shared" si="171"/>
        <v>-7.2163481787776984E-3</v>
      </c>
      <c r="AZ241" s="116">
        <f t="shared" si="171"/>
        <v>-1.1974521518799852E-2</v>
      </c>
      <c r="BA241" s="116">
        <f t="shared" si="171"/>
        <v>-1.671409816440006E-2</v>
      </c>
      <c r="BB241" s="116">
        <f t="shared" si="171"/>
        <v>-2.1460706457055112E-2</v>
      </c>
      <c r="BC241" s="116">
        <f t="shared" si="171"/>
        <v>-2.6203820189336202E-2</v>
      </c>
      <c r="BD241" s="116">
        <f t="shared" si="171"/>
        <v>-3.0957872806558484E-2</v>
      </c>
      <c r="BE241" s="116">
        <f t="shared" si="171"/>
        <v>-3.5713898901673646E-2</v>
      </c>
      <c r="BF241" s="116">
        <f t="shared" si="171"/>
        <v>-4.0462203827229759E-2</v>
      </c>
    </row>
    <row r="242" spans="1:58">
      <c r="A242" s="69" t="s">
        <v>38</v>
      </c>
      <c r="W242" s="115">
        <f t="shared" ref="W242:AL252" si="172">1-W226</f>
        <v>0.10639129325817198</v>
      </c>
      <c r="X242" s="115">
        <f t="shared" si="171"/>
        <v>0.10449363876907458</v>
      </c>
      <c r="Y242" s="115">
        <f t="shared" si="171"/>
        <v>9.7816557147664684E-2</v>
      </c>
      <c r="Z242" s="115">
        <f t="shared" si="171"/>
        <v>9.9971861299836151E-2</v>
      </c>
      <c r="AA242" s="115">
        <f t="shared" si="171"/>
        <v>8.9876453030194314E-2</v>
      </c>
      <c r="AB242" s="115">
        <f t="shared" si="171"/>
        <v>9.9538989926929888E-2</v>
      </c>
      <c r="AC242" s="115">
        <f t="shared" si="171"/>
        <v>9.8717334388910838E-2</v>
      </c>
      <c r="AD242" s="115">
        <f t="shared" si="171"/>
        <v>8.1048334161894275E-2</v>
      </c>
      <c r="AE242" s="115">
        <f t="shared" si="171"/>
        <v>7.6172049146708942E-2</v>
      </c>
      <c r="AF242" s="115">
        <f t="shared" si="171"/>
        <v>8.0507792970023639E-2</v>
      </c>
      <c r="AG242" s="115">
        <f t="shared" si="171"/>
        <v>7.5159161964844068E-2</v>
      </c>
      <c r="AH242" s="116">
        <f t="shared" si="171"/>
        <v>6.8196900118893455E-2</v>
      </c>
      <c r="AI242" s="116">
        <f t="shared" si="171"/>
        <v>6.3320934526476469E-2</v>
      </c>
      <c r="AJ242" s="116">
        <f t="shared" si="171"/>
        <v>5.7216847672472815E-2</v>
      </c>
      <c r="AK242" s="116">
        <f t="shared" si="171"/>
        <v>5.3671367745389387E-2</v>
      </c>
      <c r="AL242" s="116">
        <f t="shared" si="171"/>
        <v>4.988032745054205E-2</v>
      </c>
      <c r="AM242" s="116">
        <f t="shared" si="171"/>
        <v>4.4513042405615155E-2</v>
      </c>
      <c r="AN242" s="116">
        <f t="shared" si="171"/>
        <v>3.9457275502754796E-2</v>
      </c>
      <c r="AO242" s="116">
        <f t="shared" si="171"/>
        <v>3.4720503960099069E-2</v>
      </c>
      <c r="AP242" s="116">
        <f t="shared" si="171"/>
        <v>2.9947772155354824E-2</v>
      </c>
      <c r="AQ242" s="116">
        <f t="shared" si="171"/>
        <v>2.5448503412880075E-2</v>
      </c>
      <c r="AR242" s="116">
        <f t="shared" si="171"/>
        <v>2.0703784294873184E-2</v>
      </c>
      <c r="AS242" s="116">
        <f t="shared" si="171"/>
        <v>1.5817419487340834E-2</v>
      </c>
      <c r="AT242" s="116">
        <f t="shared" si="171"/>
        <v>1.1055567865192462E-2</v>
      </c>
      <c r="AU242" s="116">
        <f t="shared" si="171"/>
        <v>6.3275966621095803E-3</v>
      </c>
      <c r="AV242" s="116">
        <f t="shared" si="171"/>
        <v>1.5946094431282809E-3</v>
      </c>
      <c r="AW242" s="116">
        <f t="shared" si="171"/>
        <v>-3.1294256555207678E-3</v>
      </c>
      <c r="AX242" s="116">
        <f t="shared" si="171"/>
        <v>-7.9002044494709267E-3</v>
      </c>
      <c r="AY242" s="116">
        <f t="shared" si="171"/>
        <v>-1.266684643954985E-2</v>
      </c>
      <c r="AZ242" s="116">
        <f t="shared" si="171"/>
        <v>-1.7410371226912247E-2</v>
      </c>
      <c r="BA242" s="116">
        <f t="shared" si="171"/>
        <v>-2.2154854087860665E-2</v>
      </c>
      <c r="BB242" s="116">
        <f t="shared" si="171"/>
        <v>-2.6902447665664964E-2</v>
      </c>
      <c r="BC242" s="116">
        <f t="shared" si="171"/>
        <v>-3.1652340371862708E-2</v>
      </c>
      <c r="BD242" s="116">
        <f t="shared" si="171"/>
        <v>-3.6406944773891725E-2</v>
      </c>
      <c r="BE242" s="116">
        <f t="shared" si="171"/>
        <v>-4.1157371958369993E-2</v>
      </c>
      <c r="BF242" s="116">
        <f t="shared" si="171"/>
        <v>-4.5905391625238323E-2</v>
      </c>
    </row>
    <row r="243" spans="1:58">
      <c r="A243" s="69" t="s">
        <v>39</v>
      </c>
      <c r="W243" s="115">
        <f t="shared" si="172"/>
        <v>0.10492027681310045</v>
      </c>
      <c r="X243" s="115">
        <f t="shared" si="171"/>
        <v>0.11434287789403008</v>
      </c>
      <c r="Y243" s="115">
        <f t="shared" si="171"/>
        <v>0.10745751287853256</v>
      </c>
      <c r="Z243" s="115">
        <f t="shared" si="171"/>
        <v>0.1001956356270719</v>
      </c>
      <c r="AA243" s="115">
        <f t="shared" si="171"/>
        <v>9.5478167975026618E-2</v>
      </c>
      <c r="AB243" s="115">
        <f t="shared" si="171"/>
        <v>0.10343100371440894</v>
      </c>
      <c r="AC243" s="115">
        <f t="shared" si="171"/>
        <v>0.10058055253064024</v>
      </c>
      <c r="AD243" s="115">
        <f t="shared" si="171"/>
        <v>8.2720505735040528E-2</v>
      </c>
      <c r="AE243" s="115">
        <f t="shared" si="171"/>
        <v>7.6970712597245527E-2</v>
      </c>
      <c r="AF243" s="115">
        <f t="shared" si="171"/>
        <v>7.8250981335491021E-2</v>
      </c>
      <c r="AG243" s="115">
        <f t="shared" si="171"/>
        <v>8.2936956461808986E-2</v>
      </c>
      <c r="AH243" s="116">
        <f t="shared" si="171"/>
        <v>6.9390751182565213E-2</v>
      </c>
      <c r="AI243" s="116">
        <f t="shared" si="171"/>
        <v>6.5291941732045222E-2</v>
      </c>
      <c r="AJ243" s="116">
        <f t="shared" si="171"/>
        <v>5.9053981462430127E-2</v>
      </c>
      <c r="AK243" s="116">
        <f t="shared" si="171"/>
        <v>5.5568268661831288E-2</v>
      </c>
      <c r="AL243" s="116">
        <f t="shared" si="171"/>
        <v>5.1984922434867964E-2</v>
      </c>
      <c r="AM243" s="116">
        <f t="shared" si="171"/>
        <v>4.7448379900136173E-2</v>
      </c>
      <c r="AN243" s="116">
        <f t="shared" si="171"/>
        <v>4.125797309474788E-2</v>
      </c>
      <c r="AO243" s="116">
        <f t="shared" si="171"/>
        <v>3.6869498838262293E-2</v>
      </c>
      <c r="AP243" s="116">
        <f t="shared" si="171"/>
        <v>3.2062705110802781E-2</v>
      </c>
      <c r="AQ243" s="116">
        <f t="shared" si="171"/>
        <v>2.7625808585969081E-2</v>
      </c>
      <c r="AR243" s="116">
        <f t="shared" si="171"/>
        <v>2.292469587576329E-2</v>
      </c>
      <c r="AS243" s="116">
        <f t="shared" si="171"/>
        <v>1.8052873105983691E-2</v>
      </c>
      <c r="AT243" s="116">
        <f t="shared" si="171"/>
        <v>1.3148136301109004E-2</v>
      </c>
      <c r="AU243" s="116">
        <f t="shared" si="171"/>
        <v>8.5071163033562103E-3</v>
      </c>
      <c r="AV243" s="116">
        <f t="shared" si="171"/>
        <v>3.7628437959255079E-3</v>
      </c>
      <c r="AW243" s="116">
        <f t="shared" si="171"/>
        <v>-9.4827396556373955E-4</v>
      </c>
      <c r="AX243" s="116">
        <f t="shared" si="171"/>
        <v>-5.7208669235724319E-3</v>
      </c>
      <c r="AY243" s="116">
        <f t="shared" si="171"/>
        <v>-1.0495460891837727E-2</v>
      </c>
      <c r="AZ243" s="116">
        <f t="shared" si="171"/>
        <v>-1.5250208897749085E-2</v>
      </c>
      <c r="BA243" s="116">
        <f t="shared" si="171"/>
        <v>-1.997892833633852E-2</v>
      </c>
      <c r="BB243" s="116">
        <f t="shared" si="171"/>
        <v>-2.4730393376559467E-2</v>
      </c>
      <c r="BC243" s="116">
        <f t="shared" si="171"/>
        <v>-2.9478747803012295E-2</v>
      </c>
      <c r="BD243" s="116">
        <f t="shared" si="171"/>
        <v>-3.4235171685211396E-2</v>
      </c>
      <c r="BE243" s="116">
        <f t="shared" si="171"/>
        <v>-3.8986747861099458E-2</v>
      </c>
      <c r="BF243" s="116">
        <f t="shared" si="171"/>
        <v>-4.3734690019774147E-2</v>
      </c>
    </row>
    <row r="244" spans="1:58">
      <c r="A244" s="69" t="s">
        <v>40</v>
      </c>
      <c r="W244" s="115">
        <f t="shared" si="172"/>
        <v>0.10806305871619193</v>
      </c>
      <c r="X244" s="115">
        <f t="shared" si="171"/>
        <v>0.10487005019520357</v>
      </c>
      <c r="Y244" s="115">
        <f t="shared" si="171"/>
        <v>0.10410213699092286</v>
      </c>
      <c r="Z244" s="115">
        <f t="shared" si="171"/>
        <v>9.2151205982863638E-2</v>
      </c>
      <c r="AA244" s="115">
        <f t="shared" si="171"/>
        <v>8.4456329625419713E-2</v>
      </c>
      <c r="AB244" s="115">
        <f t="shared" si="171"/>
        <v>9.8030362887296163E-2</v>
      </c>
      <c r="AC244" s="115">
        <f t="shared" si="171"/>
        <v>9.6088922416402323E-2</v>
      </c>
      <c r="AD244" s="115">
        <f t="shared" si="171"/>
        <v>7.5193733153638753E-2</v>
      </c>
      <c r="AE244" s="115">
        <f t="shared" si="171"/>
        <v>7.9779138914201408E-2</v>
      </c>
      <c r="AF244" s="115">
        <f t="shared" si="171"/>
        <v>8.0785290878700233E-2</v>
      </c>
      <c r="AG244" s="115">
        <f t="shared" si="171"/>
        <v>7.9297340007463579E-2</v>
      </c>
      <c r="AH244" s="116">
        <f t="shared" si="171"/>
        <v>6.6975489650047737E-2</v>
      </c>
      <c r="AI244" s="116">
        <f t="shared" si="171"/>
        <v>6.3228885074081309E-2</v>
      </c>
      <c r="AJ244" s="116">
        <f t="shared" si="171"/>
        <v>5.7406198520810303E-2</v>
      </c>
      <c r="AK244" s="116">
        <f t="shared" si="171"/>
        <v>5.5013228904898792E-2</v>
      </c>
      <c r="AL244" s="116">
        <f t="shared" si="171"/>
        <v>5.0538640826220504E-2</v>
      </c>
      <c r="AM244" s="116">
        <f t="shared" si="171"/>
        <v>4.5384228431460283E-2</v>
      </c>
      <c r="AN244" s="116">
        <f t="shared" si="171"/>
        <v>3.9632488595211623E-2</v>
      </c>
      <c r="AO244" s="116">
        <f t="shared" si="171"/>
        <v>3.5314236351494221E-2</v>
      </c>
      <c r="AP244" s="116">
        <f t="shared" si="171"/>
        <v>3.059495705572024E-2</v>
      </c>
      <c r="AQ244" s="116">
        <f t="shared" si="171"/>
        <v>2.6176564621857024E-2</v>
      </c>
      <c r="AR244" s="116">
        <f t="shared" si="171"/>
        <v>2.1292910252021513E-2</v>
      </c>
      <c r="AS244" s="116">
        <f t="shared" si="171"/>
        <v>1.6420495011148506E-2</v>
      </c>
      <c r="AT244" s="116">
        <f t="shared" si="171"/>
        <v>1.1602231375260841E-2</v>
      </c>
      <c r="AU244" s="116">
        <f t="shared" si="171"/>
        <v>6.9598326584482395E-3</v>
      </c>
      <c r="AV244" s="116">
        <f t="shared" si="171"/>
        <v>2.2174316632015412E-3</v>
      </c>
      <c r="AW244" s="116">
        <f t="shared" si="171"/>
        <v>-2.5095932162526591E-3</v>
      </c>
      <c r="AX244" s="116">
        <f t="shared" si="171"/>
        <v>-7.3014198079837112E-3</v>
      </c>
      <c r="AY244" s="116">
        <f t="shared" si="171"/>
        <v>-1.206192050163879E-2</v>
      </c>
      <c r="AZ244" s="116">
        <f t="shared" si="171"/>
        <v>-1.6806303465465078E-2</v>
      </c>
      <c r="BA244" s="116">
        <f t="shared" si="171"/>
        <v>-2.1539133840845048E-2</v>
      </c>
      <c r="BB244" s="116">
        <f t="shared" si="171"/>
        <v>-2.6292361065627601E-2</v>
      </c>
      <c r="BC244" s="116">
        <f t="shared" si="171"/>
        <v>-3.1043674166437052E-2</v>
      </c>
      <c r="BD244" s="116">
        <f t="shared" si="171"/>
        <v>-3.5800227736311863E-2</v>
      </c>
      <c r="BE244" s="116">
        <f t="shared" si="171"/>
        <v>-4.0548678608002486E-2</v>
      </c>
      <c r="BF244" s="116">
        <f t="shared" si="171"/>
        <v>-4.5296340054937101E-2</v>
      </c>
    </row>
    <row r="245" spans="1:58">
      <c r="A245" s="69" t="s">
        <v>30</v>
      </c>
      <c r="W245" s="115">
        <f t="shared" si="172"/>
        <v>0.10787131947104012</v>
      </c>
      <c r="X245" s="115">
        <f t="shared" si="171"/>
        <v>9.8554837830780895E-2</v>
      </c>
      <c r="Y245" s="115">
        <f t="shared" si="171"/>
        <v>8.8344438881523324E-2</v>
      </c>
      <c r="Z245" s="115">
        <f t="shared" si="171"/>
        <v>8.5430011573240039E-2</v>
      </c>
      <c r="AA245" s="115">
        <f t="shared" si="171"/>
        <v>8.075950802017795E-2</v>
      </c>
      <c r="AB245" s="115">
        <f t="shared" si="171"/>
        <v>9.3148027332348948E-2</v>
      </c>
      <c r="AC245" s="115">
        <f t="shared" si="171"/>
        <v>7.4940692278357424E-2</v>
      </c>
      <c r="AD245" s="115">
        <f t="shared" si="171"/>
        <v>6.0648844485919673E-2</v>
      </c>
      <c r="AE245" s="115">
        <f t="shared" si="171"/>
        <v>8.4066391358872949E-2</v>
      </c>
      <c r="AF245" s="115">
        <f t="shared" si="171"/>
        <v>7.5070962827267884E-2</v>
      </c>
      <c r="AG245" s="115">
        <f t="shared" si="171"/>
        <v>8.3205286294657177E-2</v>
      </c>
      <c r="AH245" s="116">
        <f t="shared" si="171"/>
        <v>5.8574983656553448E-2</v>
      </c>
      <c r="AI245" s="116">
        <f t="shared" si="171"/>
        <v>5.6586435449014982E-2</v>
      </c>
      <c r="AJ245" s="116">
        <f t="shared" si="171"/>
        <v>5.331329372465432E-2</v>
      </c>
      <c r="AK245" s="116">
        <f t="shared" si="171"/>
        <v>5.2500811917273293E-2</v>
      </c>
      <c r="AL245" s="116">
        <f t="shared" si="171"/>
        <v>4.635019239042959E-2</v>
      </c>
      <c r="AM245" s="116">
        <f t="shared" si="171"/>
        <v>4.1836162208430561E-2</v>
      </c>
      <c r="AN245" s="116">
        <f t="shared" si="171"/>
        <v>3.446514342758511E-2</v>
      </c>
      <c r="AO245" s="116">
        <f t="shared" si="171"/>
        <v>3.1117379137960532E-2</v>
      </c>
      <c r="AP245" s="116">
        <f t="shared" si="171"/>
        <v>2.669312073367458E-2</v>
      </c>
      <c r="AQ245" s="116">
        <f t="shared" si="171"/>
        <v>2.2253937816335667E-2</v>
      </c>
      <c r="AR245" s="116">
        <f t="shared" si="171"/>
        <v>1.7092399579616169E-2</v>
      </c>
      <c r="AS245" s="116">
        <f t="shared" si="171"/>
        <v>1.2273148664797229E-2</v>
      </c>
      <c r="AT245" s="116">
        <f t="shared" si="171"/>
        <v>7.3243961390344614E-3</v>
      </c>
      <c r="AU245" s="116">
        <f t="shared" si="171"/>
        <v>2.885997186476863E-3</v>
      </c>
      <c r="AV245" s="116">
        <f t="shared" si="171"/>
        <v>-1.8725994133084178E-3</v>
      </c>
      <c r="AW245" s="116">
        <f t="shared" si="171"/>
        <v>-6.634024122747828E-3</v>
      </c>
      <c r="AX245" s="116">
        <f t="shared" si="171"/>
        <v>-1.1459331568676623E-2</v>
      </c>
      <c r="AY245" s="116">
        <f t="shared" si="171"/>
        <v>-1.6204616309149378E-2</v>
      </c>
      <c r="AZ245" s="116">
        <f t="shared" si="171"/>
        <v>-2.0951112355844126E-2</v>
      </c>
      <c r="BA245" s="116">
        <f t="shared" si="171"/>
        <v>-2.5656914845481049E-2</v>
      </c>
      <c r="BB245" s="116">
        <f t="shared" si="171"/>
        <v>-3.042433675394518E-2</v>
      </c>
      <c r="BC245" s="116">
        <f t="shared" si="171"/>
        <v>-3.5181199840379707E-2</v>
      </c>
      <c r="BD245" s="116">
        <f t="shared" si="171"/>
        <v>-3.9939262366619266E-2</v>
      </c>
      <c r="BE245" s="116">
        <f t="shared" si="171"/>
        <v>-4.4683636020959705E-2</v>
      </c>
      <c r="BF245" s="116">
        <f t="shared" si="171"/>
        <v>-4.9430565232453816E-2</v>
      </c>
    </row>
    <row r="246" spans="1:58">
      <c r="A246" s="69" t="s">
        <v>31</v>
      </c>
      <c r="W246" s="115">
        <f t="shared" si="172"/>
        <v>0.1023134720350789</v>
      </c>
      <c r="X246" s="115">
        <f t="shared" si="171"/>
        <v>0.11167948648565984</v>
      </c>
      <c r="Y246" s="115">
        <f t="shared" si="171"/>
        <v>0.10873289467243774</v>
      </c>
      <c r="Z246" s="115">
        <f t="shared" si="171"/>
        <v>0.10060505723576196</v>
      </c>
      <c r="AA246" s="115">
        <f t="shared" si="171"/>
        <v>9.6254829105046902E-2</v>
      </c>
      <c r="AB246" s="115">
        <f t="shared" si="171"/>
        <v>9.3659140693562737E-2</v>
      </c>
      <c r="AC246" s="115">
        <f t="shared" si="171"/>
        <v>0.10574307634619162</v>
      </c>
      <c r="AD246" s="115">
        <f t="shared" si="171"/>
        <v>8.1558312968225688E-2</v>
      </c>
      <c r="AE246" s="115">
        <f t="shared" si="171"/>
        <v>8.5268324000070117E-2</v>
      </c>
      <c r="AF246" s="115">
        <f t="shared" si="171"/>
        <v>7.5439297483186896E-2</v>
      </c>
      <c r="AG246" s="116">
        <f t="shared" si="171"/>
        <v>7.3496736622619463E-2</v>
      </c>
      <c r="AH246" s="116">
        <f t="shared" si="171"/>
        <v>6.9333630298247462E-2</v>
      </c>
      <c r="AI246" s="116">
        <f t="shared" si="171"/>
        <v>6.5301149484058629E-2</v>
      </c>
      <c r="AJ246" s="116">
        <f t="shared" si="171"/>
        <v>5.8019260274469797E-2</v>
      </c>
      <c r="AK246" s="116">
        <f t="shared" si="171"/>
        <v>5.4767827577636541E-2</v>
      </c>
      <c r="AL246" s="116">
        <f t="shared" si="171"/>
        <v>4.931801483251641E-2</v>
      </c>
      <c r="AM246" s="116">
        <f t="shared" si="171"/>
        <v>4.5183720851406317E-2</v>
      </c>
      <c r="AN246" s="116">
        <f t="shared" si="171"/>
        <v>4.0347976493385729E-2</v>
      </c>
      <c r="AO246" s="116">
        <f t="shared" si="171"/>
        <v>3.55179946040175E-2</v>
      </c>
      <c r="AP246" s="116">
        <f t="shared" si="171"/>
        <v>3.0527360005882964E-2</v>
      </c>
      <c r="AQ246" s="116">
        <f t="shared" si="171"/>
        <v>2.602710687179266E-2</v>
      </c>
      <c r="AR246" s="116">
        <f t="shared" si="171"/>
        <v>2.1179013357441767E-2</v>
      </c>
      <c r="AS246" s="116">
        <f t="shared" si="171"/>
        <v>1.6520831765296951E-2</v>
      </c>
      <c r="AT246" s="116">
        <f t="shared" si="171"/>
        <v>1.1719890266504107E-2</v>
      </c>
      <c r="AU246" s="116">
        <f t="shared" si="171"/>
        <v>6.9544613208862849E-3</v>
      </c>
      <c r="AV246" s="116">
        <f t="shared" si="171"/>
        <v>2.1948404533836952E-3</v>
      </c>
      <c r="AW246" s="116">
        <f t="shared" si="171"/>
        <v>-2.5197392836155963E-3</v>
      </c>
      <c r="AX246" s="116">
        <f t="shared" si="171"/>
        <v>-7.2861925672973449E-3</v>
      </c>
      <c r="AY246" s="116">
        <f t="shared" si="171"/>
        <v>-1.2025943095508973E-2</v>
      </c>
      <c r="AZ246" s="116">
        <f t="shared" si="171"/>
        <v>-1.6787347962027743E-2</v>
      </c>
      <c r="BA246" s="116">
        <f t="shared" si="171"/>
        <v>-2.1536514634430182E-2</v>
      </c>
      <c r="BB246" s="116">
        <f t="shared" si="171"/>
        <v>-2.6284876491013076E-2</v>
      </c>
      <c r="BC246" s="116">
        <f t="shared" si="171"/>
        <v>-3.1031147508575829E-2</v>
      </c>
      <c r="BD246" s="116">
        <f t="shared" si="171"/>
        <v>-3.5784174950055592E-2</v>
      </c>
      <c r="BE246" s="116">
        <f t="shared" si="171"/>
        <v>-4.0533165938311244E-2</v>
      </c>
      <c r="BF246" s="116">
        <f t="shared" si="171"/>
        <v>-4.5284812309220435E-2</v>
      </c>
    </row>
    <row r="247" spans="1:58">
      <c r="A247" s="69" t="s">
        <v>32</v>
      </c>
      <c r="W247" s="115">
        <f t="shared" si="172"/>
        <v>0.10527421727253616</v>
      </c>
      <c r="X247" s="115">
        <f t="shared" si="171"/>
        <v>9.7724681367683974E-2</v>
      </c>
      <c r="Y247" s="115">
        <f t="shared" si="171"/>
        <v>0.10229193472444931</v>
      </c>
      <c r="Z247" s="115">
        <f t="shared" si="171"/>
        <v>8.4504607188366498E-2</v>
      </c>
      <c r="AA247" s="115">
        <f t="shared" si="171"/>
        <v>9.2255793155755828E-2</v>
      </c>
      <c r="AB247" s="115">
        <f t="shared" si="171"/>
        <v>7.7470722259059932E-2</v>
      </c>
      <c r="AC247" s="115">
        <f t="shared" si="171"/>
        <v>8.8642244605547371E-2</v>
      </c>
      <c r="AD247" s="115">
        <f t="shared" si="171"/>
        <v>6.4627571250582272E-2</v>
      </c>
      <c r="AE247" s="115">
        <f t="shared" si="171"/>
        <v>8.4865729955793556E-2</v>
      </c>
      <c r="AF247" s="115">
        <f t="shared" si="171"/>
        <v>7.7292639320787337E-2</v>
      </c>
      <c r="AG247" s="116">
        <f t="shared" si="171"/>
        <v>6.2572412245347819E-2</v>
      </c>
      <c r="AH247" s="116">
        <f t="shared" si="171"/>
        <v>5.9579781478354077E-2</v>
      </c>
      <c r="AI247" s="116">
        <f t="shared" si="171"/>
        <v>5.660011947561161E-2</v>
      </c>
      <c r="AJ247" s="116">
        <f t="shared" si="171"/>
        <v>5.0787626850173018E-2</v>
      </c>
      <c r="AK247" s="116">
        <f t="shared" si="171"/>
        <v>4.9182136495178663E-2</v>
      </c>
      <c r="AL247" s="116">
        <f t="shared" si="171"/>
        <v>4.2366515874054711E-2</v>
      </c>
      <c r="AM247" s="116">
        <f t="shared" si="171"/>
        <v>3.6744415308933021E-2</v>
      </c>
      <c r="AN247" s="116">
        <f t="shared" si="171"/>
        <v>3.270323603467451E-2</v>
      </c>
      <c r="AO247" s="116">
        <f t="shared" si="171"/>
        <v>2.8136162800790121E-2</v>
      </c>
      <c r="AP247" s="116">
        <f t="shared" si="171"/>
        <v>2.3356786112602723E-2</v>
      </c>
      <c r="AQ247" s="116">
        <f t="shared" si="171"/>
        <v>1.8826493302726233E-2</v>
      </c>
      <c r="AR247" s="116">
        <f t="shared" si="171"/>
        <v>1.3661423226210889E-2</v>
      </c>
      <c r="AS247" s="116">
        <f t="shared" si="171"/>
        <v>8.9534187119452158E-3</v>
      </c>
      <c r="AT247" s="116">
        <f t="shared" si="171"/>
        <v>4.3368202954007229E-3</v>
      </c>
      <c r="AU247" s="116">
        <f t="shared" si="171"/>
        <v>-4.1314316914475846E-4</v>
      </c>
      <c r="AV247" s="116">
        <f t="shared" si="171"/>
        <v>-5.1730116702226603E-3</v>
      </c>
      <c r="AW247" s="116">
        <f t="shared" si="171"/>
        <v>-9.9269975265721122E-3</v>
      </c>
      <c r="AX247" s="116">
        <f t="shared" si="171"/>
        <v>-1.4726898521161935E-2</v>
      </c>
      <c r="AY247" s="116">
        <f t="shared" si="171"/>
        <v>-1.9444582671718669E-2</v>
      </c>
      <c r="AZ247" s="116">
        <f t="shared" si="171"/>
        <v>-2.4180646118340032E-2</v>
      </c>
      <c r="BA247" s="116">
        <f t="shared" si="171"/>
        <v>-2.8936926711764066E-2</v>
      </c>
      <c r="BB247" s="116">
        <f t="shared" si="171"/>
        <v>-3.3690427301602988E-2</v>
      </c>
      <c r="BC247" s="116">
        <f t="shared" si="171"/>
        <v>-3.8443210309911047E-2</v>
      </c>
      <c r="BD247" s="116">
        <f t="shared" si="171"/>
        <v>-4.3195896264917488E-2</v>
      </c>
      <c r="BE247" s="116">
        <f t="shared" si="171"/>
        <v>-4.7939158622667177E-2</v>
      </c>
      <c r="BF247" s="116">
        <f t="shared" si="171"/>
        <v>-5.2689421341306941E-2</v>
      </c>
    </row>
    <row r="248" spans="1:58">
      <c r="A248" s="69" t="s">
        <v>33</v>
      </c>
      <c r="W248" s="115">
        <f t="shared" si="172"/>
        <v>0.10470691824516398</v>
      </c>
      <c r="X248" s="115">
        <f t="shared" si="171"/>
        <v>0.11421128469776387</v>
      </c>
      <c r="Y248" s="115">
        <f t="shared" si="171"/>
        <v>0.10656044666870934</v>
      </c>
      <c r="Z248" s="115">
        <f t="shared" si="171"/>
        <v>8.9903367338698748E-2</v>
      </c>
      <c r="AA248" s="115">
        <f t="shared" si="171"/>
        <v>9.3449359768128515E-2</v>
      </c>
      <c r="AB248" s="115">
        <f t="shared" si="171"/>
        <v>0.17162364167266919</v>
      </c>
      <c r="AC248" s="115">
        <f t="shared" si="171"/>
        <v>8.1796520474229251E-2</v>
      </c>
      <c r="AD248" s="115">
        <f t="shared" si="171"/>
        <v>8.0489213214554711E-2</v>
      </c>
      <c r="AE248" s="115">
        <f t="shared" si="171"/>
        <v>8.0271169084599081E-2</v>
      </c>
      <c r="AF248" s="115">
        <f t="shared" si="171"/>
        <v>7.7502502561723974E-2</v>
      </c>
      <c r="AG248" s="116">
        <f t="shared" si="171"/>
        <v>8.2525980842836244E-2</v>
      </c>
      <c r="AH248" s="116">
        <f t="shared" ref="AH248:BF252" si="173">1-AH232</f>
        <v>7.9336609401555291E-2</v>
      </c>
      <c r="AI248" s="116">
        <f t="shared" si="173"/>
        <v>6.1517077235588635E-2</v>
      </c>
      <c r="AJ248" s="116">
        <f t="shared" si="173"/>
        <v>6.1025095021053799E-2</v>
      </c>
      <c r="AK248" s="116">
        <f t="shared" si="173"/>
        <v>5.723066782526065E-2</v>
      </c>
      <c r="AL248" s="116">
        <f t="shared" si="173"/>
        <v>5.3381453012551594E-2</v>
      </c>
      <c r="AM248" s="116">
        <f t="shared" si="173"/>
        <v>4.9327086065258929E-2</v>
      </c>
      <c r="AN248" s="116">
        <f t="shared" si="173"/>
        <v>4.3498180499201955E-2</v>
      </c>
      <c r="AO248" s="116">
        <f t="shared" si="173"/>
        <v>3.7496275831942594E-2</v>
      </c>
      <c r="AP248" s="116">
        <f t="shared" si="173"/>
        <v>3.3892496484665413E-2</v>
      </c>
      <c r="AQ248" s="116">
        <f t="shared" si="173"/>
        <v>2.9186732646843239E-2</v>
      </c>
      <c r="AR248" s="116">
        <f t="shared" si="173"/>
        <v>2.4519098378724014E-2</v>
      </c>
      <c r="AS248" s="116">
        <f t="shared" si="173"/>
        <v>1.9680154305582453E-2</v>
      </c>
      <c r="AT248" s="116">
        <f t="shared" si="173"/>
        <v>1.4718556768275382E-2</v>
      </c>
      <c r="AU248" s="116">
        <f t="shared" si="173"/>
        <v>9.9549515295515034E-3</v>
      </c>
      <c r="AV248" s="116">
        <f t="shared" si="173"/>
        <v>5.3994077168180166E-3</v>
      </c>
      <c r="AW248" s="116">
        <f t="shared" si="173"/>
        <v>6.1189872579536786E-4</v>
      </c>
      <c r="AX248" s="116">
        <f t="shared" si="173"/>
        <v>-4.1455662602096766E-3</v>
      </c>
      <c r="AY248" s="116">
        <f t="shared" si="173"/>
        <v>-8.9270061907953391E-3</v>
      </c>
      <c r="AZ248" s="116">
        <f t="shared" si="173"/>
        <v>-1.3692150303953765E-2</v>
      </c>
      <c r="BA248" s="116">
        <f t="shared" si="173"/>
        <v>-1.8421262895767843E-2</v>
      </c>
      <c r="BB248" s="116">
        <f t="shared" si="173"/>
        <v>-2.3150683262469052E-2</v>
      </c>
      <c r="BC248" s="116">
        <f t="shared" si="173"/>
        <v>-2.7914817384986357E-2</v>
      </c>
      <c r="BD248" s="116">
        <f t="shared" si="173"/>
        <v>-3.2667333782639085E-2</v>
      </c>
      <c r="BE248" s="116">
        <f t="shared" si="173"/>
        <v>-3.7421184007594421E-2</v>
      </c>
      <c r="BF248" s="116">
        <f t="shared" si="173"/>
        <v>-4.2169249525963126E-2</v>
      </c>
    </row>
    <row r="249" spans="1:58">
      <c r="A249" s="69" t="s">
        <v>14</v>
      </c>
      <c r="W249" s="115">
        <f t="shared" si="172"/>
        <v>0.10628663827664242</v>
      </c>
      <c r="X249" s="115">
        <f t="shared" si="172"/>
        <v>0.10550991785213393</v>
      </c>
      <c r="Y249" s="115">
        <f t="shared" si="172"/>
        <v>0.10196945168498517</v>
      </c>
      <c r="Z249" s="115">
        <f t="shared" si="172"/>
        <v>8.7525259700467095E-2</v>
      </c>
      <c r="AA249" s="115">
        <f t="shared" si="172"/>
        <v>8.8611345947689046E-2</v>
      </c>
      <c r="AB249" s="115">
        <f t="shared" si="172"/>
        <v>0.13982326495450392</v>
      </c>
      <c r="AC249" s="115">
        <f t="shared" si="172"/>
        <v>8.8895072369343797E-2</v>
      </c>
      <c r="AD249" s="115">
        <f t="shared" si="172"/>
        <v>8.0933569672569261E-2</v>
      </c>
      <c r="AE249" s="115">
        <f t="shared" si="172"/>
        <v>7.4159872987237252E-2</v>
      </c>
      <c r="AF249" s="115">
        <f t="shared" si="172"/>
        <v>7.7505659871892507E-2</v>
      </c>
      <c r="AG249" s="116">
        <f t="shared" si="172"/>
        <v>7.5484625186268528E-2</v>
      </c>
      <c r="AH249" s="116">
        <f t="shared" si="172"/>
        <v>7.3263487971109376E-2</v>
      </c>
      <c r="AI249" s="116">
        <f t="shared" si="172"/>
        <v>6.0395760017462385E-2</v>
      </c>
      <c r="AJ249" s="116">
        <f t="shared" si="172"/>
        <v>5.7269443137815457E-2</v>
      </c>
      <c r="AK249" s="116">
        <f t="shared" si="172"/>
        <v>5.3161881206793882E-2</v>
      </c>
      <c r="AL249" s="116">
        <f t="shared" si="172"/>
        <v>4.9783795236909678E-2</v>
      </c>
      <c r="AM249" s="116">
        <f t="shared" si="173"/>
        <v>4.4915039503889975E-2</v>
      </c>
      <c r="AN249" s="116">
        <f t="shared" si="173"/>
        <v>3.9774873514018094E-2</v>
      </c>
      <c r="AO249" s="116">
        <f t="shared" si="173"/>
        <v>3.4105183820574259E-2</v>
      </c>
      <c r="AP249" s="116">
        <f t="shared" si="173"/>
        <v>2.9981006519885445E-2</v>
      </c>
      <c r="AQ249" s="116">
        <f t="shared" si="173"/>
        <v>2.5348154656437027E-2</v>
      </c>
      <c r="AR249" s="116">
        <f t="shared" si="173"/>
        <v>2.0711979719055473E-2</v>
      </c>
      <c r="AS249" s="116">
        <f t="shared" si="173"/>
        <v>1.5824851602960766E-2</v>
      </c>
      <c r="AT249" s="116">
        <f t="shared" si="173"/>
        <v>1.0984239645994043E-2</v>
      </c>
      <c r="AU249" s="116">
        <f t="shared" si="173"/>
        <v>6.1942352637825993E-3</v>
      </c>
      <c r="AV249" s="116">
        <f t="shared" si="173"/>
        <v>1.5700464288666005E-3</v>
      </c>
      <c r="AW249" s="116">
        <f t="shared" si="173"/>
        <v>-3.1873078223541018E-3</v>
      </c>
      <c r="AX249" s="116">
        <f t="shared" si="173"/>
        <v>-7.9429294678681206E-3</v>
      </c>
      <c r="AY249" s="116">
        <f t="shared" si="173"/>
        <v>-1.2722786976149925E-2</v>
      </c>
      <c r="AZ249" s="116">
        <f t="shared" si="173"/>
        <v>-1.7476343190315768E-2</v>
      </c>
      <c r="BA249" s="116">
        <f t="shared" si="173"/>
        <v>-2.2217748514744562E-2</v>
      </c>
      <c r="BB249" s="116">
        <f t="shared" si="173"/>
        <v>-2.6951864205564169E-2</v>
      </c>
      <c r="BC249" s="116">
        <f t="shared" si="173"/>
        <v>-3.1709423194286268E-2</v>
      </c>
      <c r="BD249" s="116">
        <f t="shared" si="173"/>
        <v>-3.6462334470928504E-2</v>
      </c>
      <c r="BE249" s="116">
        <f t="shared" si="173"/>
        <v>-4.1215633216212133E-2</v>
      </c>
      <c r="BF249" s="116">
        <f t="shared" si="173"/>
        <v>-4.5963542715167671E-2</v>
      </c>
    </row>
    <row r="250" spans="1:58">
      <c r="A250" s="69" t="s">
        <v>34</v>
      </c>
      <c r="W250" s="115">
        <f t="shared" si="172"/>
        <v>0.10326510632897623</v>
      </c>
      <c r="X250" s="115">
        <f t="shared" si="172"/>
        <v>0.1112522201455719</v>
      </c>
      <c r="Y250" s="115">
        <f t="shared" si="172"/>
        <v>9.8614370709807053E-2</v>
      </c>
      <c r="Z250" s="115">
        <f t="shared" si="172"/>
        <v>9.3046726719488992E-2</v>
      </c>
      <c r="AA250" s="115">
        <f t="shared" si="172"/>
        <v>9.462628778986848E-2</v>
      </c>
      <c r="AB250" s="115">
        <f t="shared" si="172"/>
        <v>0.11757557701956844</v>
      </c>
      <c r="AC250" s="115">
        <f t="shared" si="172"/>
        <v>8.3930983146943916E-2</v>
      </c>
      <c r="AD250" s="115">
        <f t="shared" si="172"/>
        <v>7.2991273869569495E-2</v>
      </c>
      <c r="AE250" s="115">
        <f t="shared" si="172"/>
        <v>7.6433250692194865E-2</v>
      </c>
      <c r="AF250" s="115">
        <f t="shared" si="172"/>
        <v>8.1311528323201876E-2</v>
      </c>
      <c r="AG250" s="116">
        <f t="shared" si="172"/>
        <v>7.0111474503628979E-2</v>
      </c>
      <c r="AH250" s="116">
        <f t="shared" si="172"/>
        <v>6.7448522610295658E-2</v>
      </c>
      <c r="AI250" s="116">
        <f t="shared" si="172"/>
        <v>5.7955702107107765E-2</v>
      </c>
      <c r="AJ250" s="116">
        <f t="shared" si="172"/>
        <v>5.4659209999778247E-2</v>
      </c>
      <c r="AK250" s="116">
        <f t="shared" si="172"/>
        <v>5.165209564728579E-2</v>
      </c>
      <c r="AL250" s="116">
        <f t="shared" si="172"/>
        <v>4.7297287508802466E-2</v>
      </c>
      <c r="AM250" s="116">
        <f t="shared" si="173"/>
        <v>4.1365400973619293E-2</v>
      </c>
      <c r="AN250" s="116">
        <f t="shared" si="173"/>
        <v>3.6802563574654057E-2</v>
      </c>
      <c r="AO250" s="116">
        <f t="shared" si="173"/>
        <v>3.1585939247318673E-2</v>
      </c>
      <c r="AP250" s="116">
        <f t="shared" si="173"/>
        <v>2.7355311540827931E-2</v>
      </c>
      <c r="AQ250" s="116">
        <f t="shared" si="173"/>
        <v>2.274065739033615E-2</v>
      </c>
      <c r="AR250" s="116">
        <f t="shared" si="173"/>
        <v>1.7881300569044467E-2</v>
      </c>
      <c r="AS250" s="116">
        <f t="shared" si="173"/>
        <v>1.2969974545351204E-2</v>
      </c>
      <c r="AT250" s="116">
        <f t="shared" si="173"/>
        <v>8.2731544644362165E-3</v>
      </c>
      <c r="AU250" s="116">
        <f t="shared" si="173"/>
        <v>3.5066366585757569E-3</v>
      </c>
      <c r="AV250" s="116">
        <f t="shared" si="173"/>
        <v>-1.1559202980007122E-3</v>
      </c>
      <c r="AW250" s="116">
        <f t="shared" si="173"/>
        <v>-5.9256552744513247E-3</v>
      </c>
      <c r="AX250" s="116">
        <f t="shared" si="173"/>
        <v>-1.0704970812118741E-2</v>
      </c>
      <c r="AY250" s="116">
        <f t="shared" si="173"/>
        <v>-1.5466361980817744E-2</v>
      </c>
      <c r="AZ250" s="116">
        <f t="shared" si="173"/>
        <v>-2.02013510523118E-2</v>
      </c>
      <c r="BA250" s="116">
        <f t="shared" si="173"/>
        <v>-2.4949254341362304E-2</v>
      </c>
      <c r="BB250" s="116">
        <f t="shared" si="173"/>
        <v>-2.9690851883540148E-2</v>
      </c>
      <c r="BC250" s="116">
        <f t="shared" si="173"/>
        <v>-3.4449518692212466E-2</v>
      </c>
      <c r="BD250" s="116">
        <f t="shared" si="173"/>
        <v>-3.9202558014030053E-2</v>
      </c>
      <c r="BE250" s="116">
        <f t="shared" si="173"/>
        <v>-4.3951467590048754E-2</v>
      </c>
      <c r="BF250" s="116">
        <f t="shared" si="173"/>
        <v>-4.8698706796691305E-2</v>
      </c>
    </row>
    <row r="251" spans="1:58">
      <c r="A251" s="69" t="s">
        <v>35</v>
      </c>
      <c r="W251" s="115">
        <f t="shared" si="172"/>
        <v>0.10476583407671713</v>
      </c>
      <c r="X251" s="115">
        <f t="shared" si="172"/>
        <v>0.10308592506394709</v>
      </c>
      <c r="Y251" s="115">
        <f t="shared" si="172"/>
        <v>0.10868004963487243</v>
      </c>
      <c r="Z251" s="115">
        <f t="shared" si="172"/>
        <v>8.8113952191036016E-2</v>
      </c>
      <c r="AA251" s="115">
        <f t="shared" si="172"/>
        <v>9.7258051647562627E-2</v>
      </c>
      <c r="AB251" s="115">
        <f t="shared" si="172"/>
        <v>9.5038579804809009E-2</v>
      </c>
      <c r="AC251" s="115">
        <f t="shared" si="172"/>
        <v>8.2687989882438973E-2</v>
      </c>
      <c r="AD251" s="115">
        <f t="shared" si="172"/>
        <v>6.3995075909293431E-2</v>
      </c>
      <c r="AE251" s="115">
        <f t="shared" si="172"/>
        <v>8.0998855551235538E-2</v>
      </c>
      <c r="AF251" s="115">
        <f t="shared" si="172"/>
        <v>7.663628660590649E-2</v>
      </c>
      <c r="AG251" s="116">
        <f t="shared" si="172"/>
        <v>6.4995710559067943E-2</v>
      </c>
      <c r="AH251" s="116">
        <f t="shared" si="172"/>
        <v>6.0871357550736693E-2</v>
      </c>
      <c r="AI251" s="116">
        <f t="shared" si="172"/>
        <v>5.486278370158848E-2</v>
      </c>
      <c r="AJ251" s="116">
        <f t="shared" si="172"/>
        <v>5.0499457235248069E-2</v>
      </c>
      <c r="AK251" s="116">
        <f t="shared" si="172"/>
        <v>4.8672998793707012E-2</v>
      </c>
      <c r="AL251" s="116">
        <f t="shared" si="172"/>
        <v>4.2573119130509429E-2</v>
      </c>
      <c r="AM251" s="116">
        <f t="shared" si="173"/>
        <v>3.6980461568069667E-2</v>
      </c>
      <c r="AN251" s="116">
        <f t="shared" si="173"/>
        <v>3.2495943282358053E-2</v>
      </c>
      <c r="AO251" s="116">
        <f t="shared" si="173"/>
        <v>2.7717764085824603E-2</v>
      </c>
      <c r="AP251" s="116">
        <f t="shared" si="173"/>
        <v>2.3244396001978362E-2</v>
      </c>
      <c r="AQ251" s="116">
        <f t="shared" si="173"/>
        <v>1.8688057372093669E-2</v>
      </c>
      <c r="AR251" s="116">
        <f t="shared" si="173"/>
        <v>1.3602336813748006E-2</v>
      </c>
      <c r="AS251" s="116">
        <f t="shared" si="173"/>
        <v>8.8253244620648541E-3</v>
      </c>
      <c r="AT251" s="116">
        <f t="shared" si="173"/>
        <v>4.1496995112004775E-3</v>
      </c>
      <c r="AU251" s="116">
        <f t="shared" si="173"/>
        <v>-5.8442425285809563E-4</v>
      </c>
      <c r="AV251" s="116">
        <f t="shared" si="173"/>
        <v>-5.2980371677828764E-3</v>
      </c>
      <c r="AW251" s="116">
        <f t="shared" si="173"/>
        <v>-1.0063801218750168E-2</v>
      </c>
      <c r="AX251" s="116">
        <f t="shared" si="173"/>
        <v>-1.4861020126725411E-2</v>
      </c>
      <c r="AY251" s="116">
        <f t="shared" si="173"/>
        <v>-1.9594247733224934E-2</v>
      </c>
      <c r="AZ251" s="116">
        <f t="shared" si="173"/>
        <v>-2.4331516650983209E-2</v>
      </c>
      <c r="BA251" s="116">
        <f t="shared" si="173"/>
        <v>-2.9080306099868114E-2</v>
      </c>
      <c r="BB251" s="116">
        <f t="shared" si="173"/>
        <v>-3.3829724579493403E-2</v>
      </c>
      <c r="BC251" s="116">
        <f t="shared" si="173"/>
        <v>-3.8586178365910273E-2</v>
      </c>
      <c r="BD251" s="116">
        <f t="shared" si="173"/>
        <v>-4.3339363038058965E-2</v>
      </c>
      <c r="BE251" s="116">
        <f t="shared" si="173"/>
        <v>-4.8084394685895981E-2</v>
      </c>
      <c r="BF251" s="116">
        <f t="shared" si="173"/>
        <v>-5.2833417746862565E-2</v>
      </c>
    </row>
    <row r="252" spans="1:58">
      <c r="A252" s="69" t="s">
        <v>36</v>
      </c>
      <c r="W252" s="115">
        <f t="shared" si="172"/>
        <v>0.10656065045611796</v>
      </c>
      <c r="X252" s="115">
        <f t="shared" si="172"/>
        <v>0.10203556009551373</v>
      </c>
      <c r="Y252" s="115">
        <f t="shared" si="172"/>
        <v>9.5548080230187793E-2</v>
      </c>
      <c r="Z252" s="115">
        <f t="shared" si="172"/>
        <v>7.9943258268751372E-2</v>
      </c>
      <c r="AA252" s="115">
        <f t="shared" si="172"/>
        <v>8.9088776082728471E-2</v>
      </c>
      <c r="AB252" s="115">
        <f t="shared" si="172"/>
        <v>9.7355760465008823E-2</v>
      </c>
      <c r="AC252" s="115">
        <f t="shared" si="172"/>
        <v>7.5591916437306894E-2</v>
      </c>
      <c r="AD252" s="115">
        <f t="shared" si="172"/>
        <v>6.5021926511906747E-2</v>
      </c>
      <c r="AE252" s="115">
        <f t="shared" si="172"/>
        <v>8.1019524740998383E-2</v>
      </c>
      <c r="AF252" s="115">
        <f t="shared" si="172"/>
        <v>8.1807161881712886E-2</v>
      </c>
      <c r="AG252" s="116">
        <f t="shared" si="172"/>
        <v>6.2615580847590002E-2</v>
      </c>
      <c r="AH252" s="116">
        <f t="shared" si="172"/>
        <v>6.1159258007386752E-2</v>
      </c>
      <c r="AI252" s="116">
        <f t="shared" si="172"/>
        <v>5.4211222083902944E-2</v>
      </c>
      <c r="AJ252" s="116">
        <f t="shared" si="172"/>
        <v>5.1324690397918982E-2</v>
      </c>
      <c r="AK252" s="116">
        <f t="shared" si="172"/>
        <v>4.9162549512318132E-2</v>
      </c>
      <c r="AL252" s="116">
        <f t="shared" si="172"/>
        <v>4.3223582643702296E-2</v>
      </c>
      <c r="AM252" s="116">
        <f t="shared" si="173"/>
        <v>3.6694660169823257E-2</v>
      </c>
      <c r="AN252" s="116">
        <f t="shared" si="173"/>
        <v>3.2816260529045738E-2</v>
      </c>
      <c r="AO252" s="116">
        <f t="shared" si="173"/>
        <v>2.7923340961533039E-2</v>
      </c>
      <c r="AP252" s="116">
        <f t="shared" si="173"/>
        <v>2.3644348650561642E-2</v>
      </c>
      <c r="AQ252" s="116">
        <f t="shared" si="173"/>
        <v>1.8964078763284431E-2</v>
      </c>
      <c r="AR252" s="116">
        <f t="shared" si="173"/>
        <v>1.3860438590933111E-2</v>
      </c>
      <c r="AS252" s="116">
        <f t="shared" si="173"/>
        <v>9.0085378148496709E-3</v>
      </c>
      <c r="AT252" s="116">
        <f t="shared" si="173"/>
        <v>4.4416934990715307E-3</v>
      </c>
      <c r="AU252" s="116">
        <f t="shared" si="173"/>
        <v>-3.1985104376763829E-4</v>
      </c>
      <c r="AV252" s="116">
        <f t="shared" si="173"/>
        <v>-5.0161805362598511E-3</v>
      </c>
      <c r="AW252" s="116">
        <f t="shared" si="173"/>
        <v>-9.8090204751257737E-3</v>
      </c>
      <c r="AX252" s="116">
        <f t="shared" si="173"/>
        <v>-1.4605072335034608E-2</v>
      </c>
      <c r="AY252" s="116">
        <f t="shared" si="173"/>
        <v>-1.9338964148246207E-2</v>
      </c>
      <c r="AZ252" s="116">
        <f t="shared" si="173"/>
        <v>-2.4061686178223241E-2</v>
      </c>
      <c r="BA252" s="116">
        <f t="shared" si="173"/>
        <v>-2.8817817707686766E-2</v>
      </c>
      <c r="BB252" s="116">
        <f t="shared" si="173"/>
        <v>-3.356618473457762E-2</v>
      </c>
      <c r="BC252" s="116">
        <f t="shared" si="173"/>
        <v>-3.832651216886318E-2</v>
      </c>
      <c r="BD252" s="116">
        <f t="shared" si="173"/>
        <v>-4.3077945020753683E-2</v>
      </c>
      <c r="BE252" s="116">
        <f t="shared" si="173"/>
        <v>-4.7822232987519309E-2</v>
      </c>
      <c r="BF252" s="116">
        <f t="shared" si="173"/>
        <v>-5.2570029162020804E-2</v>
      </c>
    </row>
    <row r="253" spans="1:58" ht="12" thickBot="1">
      <c r="A253" s="69" t="s">
        <v>138</v>
      </c>
      <c r="W253" s="115">
        <f t="shared" ref="W253:AB253" si="174">W157/SUM(W157,W141)</f>
        <v>0.20415419346276073</v>
      </c>
      <c r="X253" s="115">
        <f t="shared" si="174"/>
        <v>0.10601065232173396</v>
      </c>
      <c r="Y253" s="115">
        <f t="shared" si="174"/>
        <v>0.10247715832012062</v>
      </c>
      <c r="Z253" s="115">
        <f t="shared" si="174"/>
        <v>9.2754755663554428E-2</v>
      </c>
      <c r="AA253" s="115">
        <f t="shared" si="174"/>
        <v>9.1414790339105656E-2</v>
      </c>
      <c r="AB253" s="115">
        <f t="shared" si="174"/>
        <v>0.10433887089941651</v>
      </c>
      <c r="AC253" s="115">
        <f>AVERAGE(AC241:AC252)</f>
        <v>9.0660726165147101E-2</v>
      </c>
      <c r="AD253" s="115">
        <f>AVERAGE(AD241:AD252)</f>
        <v>7.5715490739292485E-2</v>
      </c>
      <c r="AE253" s="115">
        <f t="shared" ref="AE253:BF253" si="175">AVERAGE(AE241:AE252)</f>
        <v>7.9417100356308765E-2</v>
      </c>
      <c r="AF253" s="115">
        <f t="shared" si="175"/>
        <v>7.848145639001726E-2</v>
      </c>
      <c r="AG253" s="116">
        <f t="shared" si="175"/>
        <v>7.4682613186226376E-2</v>
      </c>
      <c r="AH253" s="116">
        <f t="shared" si="175"/>
        <v>6.7367431806926045E-2</v>
      </c>
      <c r="AI253" s="116">
        <f t="shared" si="175"/>
        <v>6.0791477367398379E-2</v>
      </c>
      <c r="AJ253" s="116">
        <f t="shared" si="175"/>
        <v>5.6132818495754168E-2</v>
      </c>
      <c r="AK253" s="116">
        <f t="shared" si="175"/>
        <v>5.314801582137535E-2</v>
      </c>
      <c r="AL253" s="116">
        <f t="shared" si="175"/>
        <v>4.8491159449264402E-2</v>
      </c>
      <c r="AM253" s="116">
        <f t="shared" si="175"/>
        <v>4.3424471335536036E-2</v>
      </c>
      <c r="AN253" s="116">
        <f t="shared" si="175"/>
        <v>3.8186180588143652E-2</v>
      </c>
      <c r="AO253" s="116">
        <f t="shared" si="175"/>
        <v>3.3397588493865649E-2</v>
      </c>
      <c r="AP253" s="116">
        <f t="shared" si="175"/>
        <v>2.8876529138014712E-2</v>
      </c>
      <c r="AQ253" s="116">
        <f t="shared" si="175"/>
        <v>2.4329483137636998E-2</v>
      </c>
      <c r="AR253" s="116">
        <f t="shared" si="175"/>
        <v>1.9475185800964866E-2</v>
      </c>
      <c r="AS253" s="116">
        <f t="shared" si="175"/>
        <v>1.4642850538639368E-2</v>
      </c>
      <c r="AT253" s="116">
        <f t="shared" si="175"/>
        <v>9.8529934317251322E-3</v>
      </c>
      <c r="AU253" s="116">
        <f t="shared" si="175"/>
        <v>5.14432742182432E-3</v>
      </c>
      <c r="AV253" s="116">
        <f t="shared" si="175"/>
        <v>4.3540840939621889E-4</v>
      </c>
      <c r="AW253" s="116">
        <f t="shared" si="175"/>
        <v>-4.3110319338418301E-3</v>
      </c>
      <c r="AX253" s="116">
        <f t="shared" si="175"/>
        <v>-9.0898468794899379E-3</v>
      </c>
      <c r="AY253" s="116">
        <f t="shared" si="175"/>
        <v>-1.384709042645127E-2</v>
      </c>
      <c r="AZ253" s="116">
        <f t="shared" si="175"/>
        <v>-1.8593629910077163E-2</v>
      </c>
      <c r="BA253" s="116">
        <f t="shared" si="175"/>
        <v>-2.3333646681712433E-2</v>
      </c>
      <c r="BB253" s="116">
        <f t="shared" si="175"/>
        <v>-2.808123814809273E-2</v>
      </c>
      <c r="BC253" s="116">
        <f t="shared" si="175"/>
        <v>-3.2835049166314446E-2</v>
      </c>
      <c r="BD253" s="116">
        <f t="shared" si="175"/>
        <v>-3.7589090409164673E-2</v>
      </c>
      <c r="BE253" s="116">
        <f t="shared" si="175"/>
        <v>-4.2338130866529523E-2</v>
      </c>
      <c r="BF253" s="116">
        <f t="shared" si="175"/>
        <v>-4.7086530863072164E-2</v>
      </c>
    </row>
    <row r="254" spans="1:58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</row>
    <row r="255" spans="1:58" ht="12" thickBot="1">
      <c r="A255" s="69" t="s">
        <v>169</v>
      </c>
    </row>
    <row r="256" spans="1:58" ht="12" thickBot="1">
      <c r="A256" s="84" t="s">
        <v>170</v>
      </c>
      <c r="B256" s="85" t="s">
        <v>66</v>
      </c>
      <c r="C256" s="86" t="s">
        <v>67</v>
      </c>
      <c r="D256" s="86" t="s">
        <v>68</v>
      </c>
      <c r="E256" s="86" t="s">
        <v>69</v>
      </c>
      <c r="F256" s="86" t="s">
        <v>70</v>
      </c>
      <c r="G256" s="86" t="s">
        <v>71</v>
      </c>
      <c r="H256" s="86" t="s">
        <v>72</v>
      </c>
      <c r="I256" s="86" t="s">
        <v>73</v>
      </c>
      <c r="J256" s="86" t="s">
        <v>74</v>
      </c>
      <c r="K256" s="86" t="s">
        <v>75</v>
      </c>
      <c r="L256" s="86" t="s">
        <v>76</v>
      </c>
      <c r="M256" s="86" t="s">
        <v>77</v>
      </c>
      <c r="N256" s="86" t="s">
        <v>78</v>
      </c>
      <c r="O256" s="86" t="s">
        <v>79</v>
      </c>
      <c r="P256" s="86" t="s">
        <v>80</v>
      </c>
      <c r="Q256" s="86" t="s">
        <v>81</v>
      </c>
      <c r="R256" s="86" t="s">
        <v>82</v>
      </c>
      <c r="S256" s="86" t="s">
        <v>83</v>
      </c>
      <c r="T256" s="86" t="s">
        <v>84</v>
      </c>
      <c r="U256" s="86" t="s">
        <v>85</v>
      </c>
      <c r="V256" s="86" t="s">
        <v>86</v>
      </c>
      <c r="W256" s="86" t="s">
        <v>87</v>
      </c>
      <c r="X256" s="86" t="s">
        <v>88</v>
      </c>
      <c r="Y256" s="86" t="s">
        <v>89</v>
      </c>
      <c r="Z256" s="86" t="s">
        <v>90</v>
      </c>
      <c r="AA256" s="86" t="s">
        <v>91</v>
      </c>
      <c r="AB256" s="86" t="s">
        <v>92</v>
      </c>
      <c r="AC256" s="86" t="s">
        <v>93</v>
      </c>
      <c r="AD256" s="86" t="str">
        <f>AD2</f>
        <v>21/22</v>
      </c>
      <c r="AE256" s="86" t="str">
        <f t="shared" ref="AE256:BF256" si="176">AE2</f>
        <v>22/23</v>
      </c>
      <c r="AF256" s="86" t="str">
        <f t="shared" si="176"/>
        <v>23/24</v>
      </c>
      <c r="AG256" s="86" t="str">
        <f t="shared" si="176"/>
        <v>24/25</v>
      </c>
      <c r="AH256" s="86" t="str">
        <f t="shared" si="176"/>
        <v>25/26</v>
      </c>
      <c r="AI256" s="86" t="str">
        <f t="shared" si="176"/>
        <v>26/27</v>
      </c>
      <c r="AJ256" s="86" t="str">
        <f t="shared" si="176"/>
        <v>27/28</v>
      </c>
      <c r="AK256" s="86" t="str">
        <f t="shared" si="176"/>
        <v>28/29</v>
      </c>
      <c r="AL256" s="86" t="str">
        <f t="shared" si="176"/>
        <v>29/30</v>
      </c>
      <c r="AM256" s="86" t="str">
        <f t="shared" si="176"/>
        <v>30/31</v>
      </c>
      <c r="AN256" s="86" t="str">
        <f t="shared" si="176"/>
        <v>31/32</v>
      </c>
      <c r="AO256" s="86" t="str">
        <f t="shared" si="176"/>
        <v>32/33</v>
      </c>
      <c r="AP256" s="86" t="str">
        <f t="shared" si="176"/>
        <v>33/34</v>
      </c>
      <c r="AQ256" s="86" t="str">
        <f t="shared" si="176"/>
        <v>34/35</v>
      </c>
      <c r="AR256" s="86" t="str">
        <f t="shared" si="176"/>
        <v>35/36</v>
      </c>
      <c r="AS256" s="86" t="str">
        <f t="shared" si="176"/>
        <v>36/37</v>
      </c>
      <c r="AT256" s="86" t="str">
        <f t="shared" si="176"/>
        <v>37/38</v>
      </c>
      <c r="AU256" s="86" t="str">
        <f t="shared" si="176"/>
        <v>38/39</v>
      </c>
      <c r="AV256" s="86" t="str">
        <f t="shared" si="176"/>
        <v>39/40</v>
      </c>
      <c r="AW256" s="86" t="str">
        <f t="shared" si="176"/>
        <v>40/41</v>
      </c>
      <c r="AX256" s="86" t="str">
        <f t="shared" si="176"/>
        <v>41/42</v>
      </c>
      <c r="AY256" s="86" t="str">
        <f t="shared" si="176"/>
        <v>42/43</v>
      </c>
      <c r="AZ256" s="86" t="str">
        <f t="shared" si="176"/>
        <v>43/44</v>
      </c>
      <c r="BA256" s="86" t="str">
        <f t="shared" si="176"/>
        <v>44/45</v>
      </c>
      <c r="BB256" s="86" t="str">
        <f t="shared" si="176"/>
        <v>45/46</v>
      </c>
      <c r="BC256" s="86" t="str">
        <f t="shared" si="176"/>
        <v>42/47</v>
      </c>
      <c r="BD256" s="86" t="str">
        <f t="shared" si="176"/>
        <v>42/48</v>
      </c>
      <c r="BE256" s="86" t="str">
        <f t="shared" si="176"/>
        <v>42/49</v>
      </c>
      <c r="BF256" s="86" t="str">
        <f t="shared" si="176"/>
        <v>42/50</v>
      </c>
    </row>
    <row r="257" spans="1:58">
      <c r="A257" s="69" t="s">
        <v>171</v>
      </c>
      <c r="B257" s="76">
        <v>110.447</v>
      </c>
      <c r="C257" s="76">
        <v>132.751</v>
      </c>
      <c r="D257" s="76">
        <v>121.2</v>
      </c>
      <c r="E257" s="76">
        <v>91.918000000000006</v>
      </c>
      <c r="F257" s="76">
        <v>114.28959999999999</v>
      </c>
      <c r="G257" s="76">
        <v>127.1962</v>
      </c>
      <c r="H257" s="76">
        <v>131.07140000000001</v>
      </c>
      <c r="I257" s="76">
        <v>144.26220000000001</v>
      </c>
      <c r="J257" s="76">
        <v>169.90338462</v>
      </c>
      <c r="K257" s="76">
        <v>225.85937007999999</v>
      </c>
      <c r="L257" s="76">
        <v>262.47727272999998</v>
      </c>
      <c r="M257" s="76">
        <v>311.63713208000001</v>
      </c>
      <c r="N257" s="76">
        <v>364.31281481000002</v>
      </c>
      <c r="O257" s="76">
        <v>465.91259258999997</v>
      </c>
      <c r="P257" s="76">
        <v>643.85370581999996</v>
      </c>
      <c r="Q257" s="76">
        <v>895.40719999999999</v>
      </c>
      <c r="R257" s="76">
        <v>1060.51</v>
      </c>
      <c r="S257" s="76">
        <v>1242.6579999999999</v>
      </c>
      <c r="T257" s="76">
        <v>1265.7280000000001</v>
      </c>
      <c r="U257" s="76">
        <v>1124.3800000000001</v>
      </c>
      <c r="V257" s="76">
        <v>1215.751</v>
      </c>
      <c r="W257" s="76">
        <v>1276.24</v>
      </c>
      <c r="X257" s="76">
        <v>1300.202</v>
      </c>
      <c r="Y257" s="76">
        <v>1343.078</v>
      </c>
      <c r="Z257" s="76">
        <v>1391.347</v>
      </c>
      <c r="AA257" s="76">
        <f>SUM(AA129:AA131,AA145:AA147)</f>
        <v>1370.9970000000001</v>
      </c>
      <c r="AB257" s="76">
        <f>SUM(AB129:AB131,AB145:AB147)</f>
        <v>1302.97</v>
      </c>
      <c r="AC257" s="76">
        <f>SUM(AC129:AC131,AC145:AC147)</f>
        <v>1270.8159999999998</v>
      </c>
      <c r="AD257" s="76">
        <f>SUM(AD129:AD131,AD145:AD147)</f>
        <v>1344.732</v>
      </c>
      <c r="AE257" s="76">
        <f t="shared" ref="AE257:AF257" si="177">SUM(AE129:AE131,AE145:AE147)</f>
        <v>1282.424</v>
      </c>
      <c r="AF257" s="76">
        <f t="shared" si="177"/>
        <v>1347.4659999999999</v>
      </c>
      <c r="AG257" s="79">
        <f>SUM(AG129:AG131,AG145:AG147)</f>
        <v>1383.7559999999999</v>
      </c>
      <c r="AH257" s="77">
        <f t="shared" ref="AH257:BF257" si="178">SUM(AH129:AH131,AH145:AH147)</f>
        <v>1336.5549885685889</v>
      </c>
      <c r="AI257" s="77">
        <f t="shared" si="178"/>
        <v>1327.6693971259756</v>
      </c>
      <c r="AJ257" s="77">
        <f t="shared" si="178"/>
        <v>1321.5877152313785</v>
      </c>
      <c r="AK257" s="77">
        <f t="shared" si="178"/>
        <v>1332.0012828168353</v>
      </c>
      <c r="AL257" s="77">
        <f t="shared" si="178"/>
        <v>1333.2680475170023</v>
      </c>
      <c r="AM257" s="77">
        <f t="shared" si="178"/>
        <v>1339.4878575355533</v>
      </c>
      <c r="AN257" s="77">
        <f t="shared" si="178"/>
        <v>1344.7517633717275</v>
      </c>
      <c r="AO257" s="77">
        <f t="shared" si="178"/>
        <v>1348.4171334336777</v>
      </c>
      <c r="AP257" s="77">
        <f t="shared" si="178"/>
        <v>1353.9252421809838</v>
      </c>
      <c r="AQ257" s="77">
        <f t="shared" si="178"/>
        <v>1358.4243193734865</v>
      </c>
      <c r="AR257" s="77">
        <f t="shared" si="178"/>
        <v>1363.6992355846769</v>
      </c>
      <c r="AS257" s="77">
        <f t="shared" si="178"/>
        <v>1368.6905366508113</v>
      </c>
      <c r="AT257" s="77">
        <f t="shared" si="178"/>
        <v>1373.7123828393369</v>
      </c>
      <c r="AU257" s="77">
        <f t="shared" si="178"/>
        <v>1378.9583629874844</v>
      </c>
      <c r="AV257" s="77">
        <f t="shared" si="178"/>
        <v>1384.1647943096852</v>
      </c>
      <c r="AW257" s="77">
        <f t="shared" si="178"/>
        <v>1389.5221353325687</v>
      </c>
      <c r="AX257" s="77">
        <f t="shared" si="178"/>
        <v>1394.8809821141863</v>
      </c>
      <c r="AY257" s="77">
        <f t="shared" si="178"/>
        <v>1456.7261321136625</v>
      </c>
      <c r="AZ257" s="77">
        <f t="shared" si="178"/>
        <v>1473.0739097651604</v>
      </c>
      <c r="BA257" s="77">
        <f t="shared" si="178"/>
        <v>1491.6117652712462</v>
      </c>
      <c r="BB257" s="77">
        <f t="shared" si="178"/>
        <v>1512.7716503153674</v>
      </c>
      <c r="BC257" s="77">
        <f t="shared" si="178"/>
        <v>1537.0386146593323</v>
      </c>
      <c r="BD257" s="77">
        <f t="shared" si="178"/>
        <v>1565.028493832785</v>
      </c>
      <c r="BE257" s="77">
        <f t="shared" si="178"/>
        <v>1586.3581404166791</v>
      </c>
      <c r="BF257" s="77">
        <f t="shared" si="178"/>
        <v>1608.6704150977725</v>
      </c>
    </row>
    <row r="258" spans="1:58">
      <c r="A258" s="69" t="s">
        <v>172</v>
      </c>
      <c r="B258" s="76">
        <v>117.923</v>
      </c>
      <c r="C258" s="76">
        <v>140.17599999999999</v>
      </c>
      <c r="D258" s="76">
        <v>120.8</v>
      </c>
      <c r="E258" s="76">
        <v>106.164</v>
      </c>
      <c r="F258" s="76">
        <v>126.85599999999999</v>
      </c>
      <c r="G258" s="76">
        <v>134.6386</v>
      </c>
      <c r="H258" s="76">
        <v>140.37860000000001</v>
      </c>
      <c r="I258" s="76">
        <v>159.08340000000001</v>
      </c>
      <c r="J258" s="76">
        <v>175.00765385</v>
      </c>
      <c r="K258" s="76">
        <v>249.29925197</v>
      </c>
      <c r="L258" s="76">
        <v>290.30984848000003</v>
      </c>
      <c r="M258" s="76">
        <v>323.81660376999997</v>
      </c>
      <c r="N258" s="76">
        <v>386.70666667</v>
      </c>
      <c r="O258" s="76">
        <v>506.18592593</v>
      </c>
      <c r="P258" s="76">
        <v>716.21916520000002</v>
      </c>
      <c r="Q258" s="76">
        <v>874.14606000000003</v>
      </c>
      <c r="R258" s="76">
        <v>1134.4639999999999</v>
      </c>
      <c r="S258" s="76">
        <v>1254.8720000000001</v>
      </c>
      <c r="T258" s="76">
        <v>1303.8440000000001</v>
      </c>
      <c r="U258" s="76">
        <v>1105.0630000000001</v>
      </c>
      <c r="V258" s="76">
        <v>1271.144</v>
      </c>
      <c r="W258" s="76">
        <v>1293.9290000000001</v>
      </c>
      <c r="X258" s="76">
        <v>1316.279</v>
      </c>
      <c r="Y258" s="76">
        <v>1371.135</v>
      </c>
      <c r="Z258" s="76">
        <f>SUM(Z132:Z134,Z148:Z150)</f>
        <v>1393.6760000000002</v>
      </c>
      <c r="AA258" s="76">
        <f>SUM(AA132:AA134,AA148:AA150)</f>
        <v>1304.0559999999998</v>
      </c>
      <c r="AB258" s="76">
        <f>SUM(AB132:AB134,AB148:AB150)</f>
        <v>1373.96</v>
      </c>
      <c r="AC258" s="76">
        <f>SUM(AC132:AC134,AC148:AC150)</f>
        <v>1169.3459999999998</v>
      </c>
      <c r="AD258" s="76">
        <f>SUM(AD132:AD134,AD148:AD150)</f>
        <v>1342.3660000000002</v>
      </c>
      <c r="AE258" s="76">
        <f t="shared" ref="AE258:BF258" si="179">SUM(AE132:AE134,AE148:AE150)</f>
        <v>1265.502</v>
      </c>
      <c r="AF258" s="76">
        <f t="shared" si="179"/>
        <v>1370.559</v>
      </c>
      <c r="AG258" s="77">
        <f t="shared" si="179"/>
        <v>1375.3450883579414</v>
      </c>
      <c r="AH258" s="77">
        <f t="shared" si="179"/>
        <v>1306.7470369371608</v>
      </c>
      <c r="AI258" s="77">
        <f t="shared" si="179"/>
        <v>1328.5973435469816</v>
      </c>
      <c r="AJ258" s="77">
        <f t="shared" si="179"/>
        <v>1328.4764108827385</v>
      </c>
      <c r="AK258" s="77">
        <f t="shared" si="179"/>
        <v>1337.3510255076453</v>
      </c>
      <c r="AL258" s="77">
        <f t="shared" si="179"/>
        <v>1335.9734562653521</v>
      </c>
      <c r="AM258" s="77">
        <f t="shared" si="179"/>
        <v>1339.8147174106884</v>
      </c>
      <c r="AN258" s="77">
        <f t="shared" si="179"/>
        <v>1347.3644783564077</v>
      </c>
      <c r="AO258" s="77">
        <f t="shared" si="179"/>
        <v>1351.2885126562342</v>
      </c>
      <c r="AP258" s="77">
        <f t="shared" si="179"/>
        <v>1355.9985799473957</v>
      </c>
      <c r="AQ258" s="77">
        <f t="shared" si="179"/>
        <v>1359.8763973614346</v>
      </c>
      <c r="AR258" s="77">
        <f t="shared" si="179"/>
        <v>1364.9148102670529</v>
      </c>
      <c r="AS258" s="77">
        <f t="shared" si="179"/>
        <v>1370.0551014679365</v>
      </c>
      <c r="AT258" s="77">
        <f t="shared" si="179"/>
        <v>1374.8206289622258</v>
      </c>
      <c r="AU258" s="77">
        <f t="shared" si="179"/>
        <v>1379.7225658199513</v>
      </c>
      <c r="AV258" s="77">
        <f t="shared" si="179"/>
        <v>1384.6702678475469</v>
      </c>
      <c r="AW258" s="77">
        <f t="shared" si="179"/>
        <v>1389.8349632429622</v>
      </c>
      <c r="AX258" s="77">
        <f t="shared" si="179"/>
        <v>1455.8995934988382</v>
      </c>
      <c r="AY258" s="77">
        <f t="shared" si="179"/>
        <v>1499.2573964249241</v>
      </c>
      <c r="AZ258" s="77">
        <f t="shared" si="179"/>
        <v>1523.7565848069696</v>
      </c>
      <c r="BA258" s="77">
        <f t="shared" si="179"/>
        <v>1552.1148885202199</v>
      </c>
      <c r="BB258" s="77">
        <f t="shared" si="179"/>
        <v>1585.0775187673103</v>
      </c>
      <c r="BC258" s="77">
        <f t="shared" si="179"/>
        <v>1623.5076436590052</v>
      </c>
      <c r="BD258" s="77">
        <f t="shared" si="179"/>
        <v>1656.5082144358471</v>
      </c>
      <c r="BE258" s="77">
        <f t="shared" si="179"/>
        <v>1687.4698115953356</v>
      </c>
      <c r="BF258" s="77">
        <f t="shared" si="179"/>
        <v>1719.7053765063556</v>
      </c>
    </row>
    <row r="259" spans="1:58">
      <c r="A259" s="69" t="s">
        <v>173</v>
      </c>
      <c r="B259" s="76">
        <v>113.104</v>
      </c>
      <c r="C259" s="76">
        <v>139.114</v>
      </c>
      <c r="D259" s="76">
        <v>92.2</v>
      </c>
      <c r="E259" s="76">
        <v>119.23699999999999</v>
      </c>
      <c r="F259" s="76">
        <v>120.31359999999999</v>
      </c>
      <c r="G259" s="76">
        <v>137.78319999999999</v>
      </c>
      <c r="H259" s="76">
        <v>150.51679999999999</v>
      </c>
      <c r="I259" s="76">
        <v>161.292</v>
      </c>
      <c r="J259" s="76">
        <v>179.69157691999999</v>
      </c>
      <c r="K259" s="76">
        <v>256.52102361999999</v>
      </c>
      <c r="L259" s="76">
        <v>304.64393939000001</v>
      </c>
      <c r="M259" s="76">
        <v>332.15426415000002</v>
      </c>
      <c r="N259" s="76">
        <v>406.45518519000001</v>
      </c>
      <c r="O259" s="76">
        <v>545.85259258999997</v>
      </c>
      <c r="P259" s="76">
        <v>818.60914756</v>
      </c>
      <c r="Q259" s="76">
        <v>910.37657000000002</v>
      </c>
      <c r="R259" s="76">
        <v>1189.335</v>
      </c>
      <c r="S259" s="76">
        <v>1257.7940000000001</v>
      </c>
      <c r="T259" s="76">
        <v>1243.296</v>
      </c>
      <c r="U259" s="76">
        <v>1191.162</v>
      </c>
      <c r="V259" s="76">
        <v>1298.856</v>
      </c>
      <c r="W259" s="76">
        <v>1294.5309999999999</v>
      </c>
      <c r="X259" s="76">
        <v>1264.796</v>
      </c>
      <c r="Y259" s="76">
        <v>1353.625</v>
      </c>
      <c r="Z259" s="76">
        <f>SUM(Z135:Z137,Z151:Z153)</f>
        <v>1385.9199999999998</v>
      </c>
      <c r="AA259" s="76">
        <f>SUM(AA135:AA137,AA151:AA153)</f>
        <v>1341.5669999999998</v>
      </c>
      <c r="AB259" s="76">
        <f>SUM(AB135:AB137,AB151:AB153)</f>
        <v>956.548</v>
      </c>
      <c r="AC259" s="76">
        <f>SUM(AC135:AC137,AC151:AC153)</f>
        <v>1311.1090000000002</v>
      </c>
      <c r="AD259" s="76">
        <f>SUM(AD135:AD137,AD151:AD153)</f>
        <v>1318.5740000000003</v>
      </c>
      <c r="AE259" s="76">
        <f t="shared" ref="AE259:BF259" si="180">SUM(AE135:AE137,AE151:AE153)</f>
        <v>1289.2059999999999</v>
      </c>
      <c r="AF259" s="76">
        <f t="shared" si="180"/>
        <v>1350.0420000000001</v>
      </c>
      <c r="AG259" s="77">
        <f t="shared" si="180"/>
        <v>1285.624404509962</v>
      </c>
      <c r="AH259" s="77">
        <f t="shared" si="180"/>
        <v>1317.6660078849293</v>
      </c>
      <c r="AI259" s="77">
        <f t="shared" si="180"/>
        <v>1304.7699505949354</v>
      </c>
      <c r="AJ259" s="77">
        <f t="shared" si="180"/>
        <v>1307.893929234858</v>
      </c>
      <c r="AK259" s="77">
        <f t="shared" si="180"/>
        <v>1310.6501669813156</v>
      </c>
      <c r="AL259" s="77">
        <f t="shared" si="180"/>
        <v>1311.8516470092916</v>
      </c>
      <c r="AM259" s="77">
        <f t="shared" si="180"/>
        <v>1324.8376403014202</v>
      </c>
      <c r="AN259" s="77">
        <f t="shared" si="180"/>
        <v>1325.3113432736654</v>
      </c>
      <c r="AO259" s="77">
        <f t="shared" si="180"/>
        <v>1329.9162782893202</v>
      </c>
      <c r="AP259" s="77">
        <f t="shared" si="180"/>
        <v>1334.3438252866861</v>
      </c>
      <c r="AQ259" s="77">
        <f t="shared" si="180"/>
        <v>1339.2516770372888</v>
      </c>
      <c r="AR259" s="77">
        <f t="shared" si="180"/>
        <v>1344.9181258867081</v>
      </c>
      <c r="AS259" s="77">
        <f t="shared" si="180"/>
        <v>1349.0913360869793</v>
      </c>
      <c r="AT259" s="77">
        <f t="shared" si="180"/>
        <v>1354.1087107747276</v>
      </c>
      <c r="AU259" s="77">
        <f t="shared" si="180"/>
        <v>1359.1078157190414</v>
      </c>
      <c r="AV259" s="77">
        <f t="shared" si="180"/>
        <v>1364.2681893459308</v>
      </c>
      <c r="AW259" s="77">
        <f t="shared" si="180"/>
        <v>1369.4687319978034</v>
      </c>
      <c r="AX259" s="77">
        <f t="shared" si="180"/>
        <v>1440.9137553891123</v>
      </c>
      <c r="AY259" s="77">
        <f t="shared" si="180"/>
        <v>1442.2936510783027</v>
      </c>
      <c r="AZ259" s="77">
        <f t="shared" si="180"/>
        <v>1459.6549666936098</v>
      </c>
      <c r="BA259" s="77">
        <f t="shared" si="180"/>
        <v>1479.4609482599506</v>
      </c>
      <c r="BB259" s="77">
        <f t="shared" si="180"/>
        <v>1502.1439746266938</v>
      </c>
      <c r="BC259" s="77">
        <f t="shared" si="180"/>
        <v>1528.2687965167729</v>
      </c>
      <c r="BD259" s="77">
        <f t="shared" si="180"/>
        <v>1545.4803934059619</v>
      </c>
      <c r="BE259" s="77">
        <f t="shared" si="180"/>
        <v>1565.8046524998651</v>
      </c>
      <c r="BF259" s="77">
        <f t="shared" si="180"/>
        <v>1586.7154369300338</v>
      </c>
    </row>
    <row r="260" spans="1:58">
      <c r="A260" s="69" t="s">
        <v>174</v>
      </c>
      <c r="B260" s="76">
        <v>116.786</v>
      </c>
      <c r="C260" s="76">
        <v>120.751</v>
      </c>
      <c r="D260" s="76">
        <v>61.5</v>
      </c>
      <c r="E260" s="76">
        <v>111.40300000000001</v>
      </c>
      <c r="F260" s="76">
        <v>126.2728</v>
      </c>
      <c r="G260" s="76">
        <v>118.202</v>
      </c>
      <c r="H260" s="76">
        <v>143.88040000000001</v>
      </c>
      <c r="I260" s="76">
        <v>165.18960000000001</v>
      </c>
      <c r="J260" s="76">
        <v>182.63584614999999</v>
      </c>
      <c r="K260" s="76">
        <v>263.82429134</v>
      </c>
      <c r="L260" s="76">
        <v>310.11666666999997</v>
      </c>
      <c r="M260" s="76">
        <v>355.60452830000003</v>
      </c>
      <c r="N260" s="76">
        <v>445.84977778000001</v>
      </c>
      <c r="O260" s="76">
        <v>601.54274074</v>
      </c>
      <c r="P260" s="76">
        <v>870.53205549999996</v>
      </c>
      <c r="Q260" s="76">
        <v>1028.95921</v>
      </c>
      <c r="R260" s="76">
        <v>1206.848</v>
      </c>
      <c r="S260" s="76">
        <v>1263.4169999999999</v>
      </c>
      <c r="T260" s="76">
        <v>1187.164</v>
      </c>
      <c r="U260" s="76">
        <v>1220.5219999999999</v>
      </c>
      <c r="V260" s="76">
        <v>1337.9390000000001</v>
      </c>
      <c r="W260" s="76">
        <v>1335.39</v>
      </c>
      <c r="X260" s="76">
        <v>1342.337</v>
      </c>
      <c r="Y260" s="76">
        <v>1370.6690000000001</v>
      </c>
      <c r="Z260" s="76">
        <f t="shared" ref="Z260:BF260" si="181">SUM(Z154:Z156,Z138:Z140)</f>
        <v>1424.479</v>
      </c>
      <c r="AA260" s="76">
        <f t="shared" si="181"/>
        <v>1361.35</v>
      </c>
      <c r="AB260" s="76">
        <f t="shared" si="181"/>
        <v>1212.875</v>
      </c>
      <c r="AC260" s="76">
        <f t="shared" si="181"/>
        <v>1392.0349999999999</v>
      </c>
      <c r="AD260" s="76">
        <f t="shared" si="181"/>
        <v>1312.153</v>
      </c>
      <c r="AE260" s="76">
        <f t="shared" si="181"/>
        <v>1339.009</v>
      </c>
      <c r="AF260" s="76">
        <f t="shared" si="181"/>
        <v>1402.703</v>
      </c>
      <c r="AG260" s="77">
        <f t="shared" si="181"/>
        <v>1342.6605080437444</v>
      </c>
      <c r="AH260" s="77">
        <f t="shared" si="181"/>
        <v>1351.5088858563829</v>
      </c>
      <c r="AI260" s="77">
        <f t="shared" si="181"/>
        <v>1330.5693867246546</v>
      </c>
      <c r="AJ260" s="77">
        <f t="shared" si="181"/>
        <v>1345.0278020183682</v>
      </c>
      <c r="AK260" s="77">
        <f t="shared" si="181"/>
        <v>1349.2490632735717</v>
      </c>
      <c r="AL260" s="77">
        <f t="shared" si="181"/>
        <v>1355.1370640872362</v>
      </c>
      <c r="AM260" s="77">
        <f t="shared" si="181"/>
        <v>1362.0112507639271</v>
      </c>
      <c r="AN260" s="77">
        <f t="shared" si="181"/>
        <v>1363.2112253768607</v>
      </c>
      <c r="AO260" s="77">
        <f t="shared" si="181"/>
        <v>1370.6814189807847</v>
      </c>
      <c r="AP260" s="77">
        <f t="shared" si="181"/>
        <v>1375.5429351808978</v>
      </c>
      <c r="AQ260" s="77">
        <f t="shared" si="181"/>
        <v>1381.0641249368832</v>
      </c>
      <c r="AR260" s="77">
        <f t="shared" si="181"/>
        <v>1386.3282791049908</v>
      </c>
      <c r="AS260" s="77">
        <f t="shared" si="181"/>
        <v>1391.4462914633655</v>
      </c>
      <c r="AT260" s="77">
        <f t="shared" si="181"/>
        <v>1397.3893537509971</v>
      </c>
      <c r="AU260" s="77">
        <f t="shared" si="181"/>
        <v>1402.8393773871981</v>
      </c>
      <c r="AV260" s="77">
        <f t="shared" si="181"/>
        <v>1408.5359743653428</v>
      </c>
      <c r="AW260" s="77">
        <f t="shared" si="181"/>
        <v>1414.2204908493106</v>
      </c>
      <c r="AX260" s="77">
        <f t="shared" si="181"/>
        <v>1444.9173239121126</v>
      </c>
      <c r="AY260" s="77">
        <f t="shared" si="181"/>
        <v>1453.0268402370177</v>
      </c>
      <c r="AZ260" s="77">
        <f t="shared" si="181"/>
        <v>1463.9792763490047</v>
      </c>
      <c r="BA260" s="77">
        <f t="shared" si="181"/>
        <v>1476.0408545639409</v>
      </c>
      <c r="BB260" s="77">
        <f t="shared" si="181"/>
        <v>1489.3426034833451</v>
      </c>
      <c r="BC260" s="77">
        <f t="shared" si="181"/>
        <v>1504.1507377983123</v>
      </c>
      <c r="BD260" s="77">
        <f t="shared" si="181"/>
        <v>1515.8281856518149</v>
      </c>
      <c r="BE260" s="77">
        <f t="shared" si="181"/>
        <v>1528.2081402238932</v>
      </c>
      <c r="BF260" s="77">
        <f t="shared" si="181"/>
        <v>1540.8735495468673</v>
      </c>
    </row>
    <row r="261" spans="1:58">
      <c r="A261" s="69" t="s">
        <v>138</v>
      </c>
      <c r="B261" s="76">
        <f t="shared" ref="B261:AD261" si="182">SUM(B257:B260)</f>
        <v>458.26</v>
      </c>
      <c r="C261" s="76">
        <f t="shared" si="182"/>
        <v>532.79200000000003</v>
      </c>
      <c r="D261" s="76">
        <f t="shared" si="182"/>
        <v>395.7</v>
      </c>
      <c r="E261" s="76">
        <f t="shared" si="182"/>
        <v>428.72199999999998</v>
      </c>
      <c r="F261" s="76">
        <f t="shared" si="182"/>
        <v>487.73200000000003</v>
      </c>
      <c r="G261" s="76">
        <f t="shared" si="182"/>
        <v>517.81999999999994</v>
      </c>
      <c r="H261" s="76">
        <f t="shared" si="182"/>
        <v>565.84720000000004</v>
      </c>
      <c r="I261" s="76">
        <f t="shared" si="182"/>
        <v>629.82720000000006</v>
      </c>
      <c r="J261" s="76">
        <f t="shared" si="182"/>
        <v>707.23846154</v>
      </c>
      <c r="K261" s="76">
        <f t="shared" si="182"/>
        <v>995.50393700999985</v>
      </c>
      <c r="L261" s="76">
        <f t="shared" si="182"/>
        <v>1167.54772727</v>
      </c>
      <c r="M261" s="76">
        <f t="shared" si="182"/>
        <v>1323.2125283</v>
      </c>
      <c r="N261" s="76">
        <f t="shared" si="182"/>
        <v>1603.3244444500001</v>
      </c>
      <c r="O261" s="76">
        <f t="shared" si="182"/>
        <v>2119.4938518500003</v>
      </c>
      <c r="P261" s="76">
        <f t="shared" si="182"/>
        <v>3049.21407408</v>
      </c>
      <c r="Q261" s="76">
        <f t="shared" si="182"/>
        <v>3708.88904</v>
      </c>
      <c r="R261" s="76">
        <f t="shared" si="182"/>
        <v>4591.1570000000002</v>
      </c>
      <c r="S261" s="76">
        <f t="shared" si="182"/>
        <v>5018.741</v>
      </c>
      <c r="T261" s="76">
        <f t="shared" si="182"/>
        <v>5000.0320000000002</v>
      </c>
      <c r="U261" s="76">
        <f t="shared" si="182"/>
        <v>4641.1270000000004</v>
      </c>
      <c r="V261" s="76">
        <f t="shared" si="182"/>
        <v>5123.6900000000005</v>
      </c>
      <c r="W261" s="76">
        <f t="shared" si="182"/>
        <v>5200.09</v>
      </c>
      <c r="X261" s="76">
        <f t="shared" si="182"/>
        <v>5223.6139999999996</v>
      </c>
      <c r="Y261" s="76">
        <f t="shared" si="182"/>
        <v>5438.5069999999996</v>
      </c>
      <c r="Z261" s="76">
        <f t="shared" si="182"/>
        <v>5595.4220000000005</v>
      </c>
      <c r="AA261" s="76">
        <f t="shared" si="182"/>
        <v>5377.9699999999993</v>
      </c>
      <c r="AB261" s="76">
        <f t="shared" si="182"/>
        <v>4846.3530000000001</v>
      </c>
      <c r="AC261" s="76">
        <f t="shared" si="182"/>
        <v>5143.3059999999996</v>
      </c>
      <c r="AD261" s="76">
        <f t="shared" si="182"/>
        <v>5317.8250000000007</v>
      </c>
      <c r="AE261" s="76">
        <f t="shared" ref="AE261:BF261" si="183">SUM(AE257:AE260)</f>
        <v>5176.1409999999996</v>
      </c>
      <c r="AF261" s="76">
        <f t="shared" si="183"/>
        <v>5470.77</v>
      </c>
      <c r="AG261" s="77">
        <f t="shared" si="183"/>
        <v>5387.386000911647</v>
      </c>
      <c r="AH261" s="77">
        <f t="shared" si="183"/>
        <v>5312.4769192470621</v>
      </c>
      <c r="AI261" s="77">
        <f t="shared" si="183"/>
        <v>5291.6060779925465</v>
      </c>
      <c r="AJ261" s="77">
        <f t="shared" si="183"/>
        <v>5302.9858573673428</v>
      </c>
      <c r="AK261" s="77">
        <f t="shared" si="183"/>
        <v>5329.2515385793686</v>
      </c>
      <c r="AL261" s="77">
        <f t="shared" si="183"/>
        <v>5336.2302148788822</v>
      </c>
      <c r="AM261" s="77">
        <f t="shared" si="183"/>
        <v>5366.151466011589</v>
      </c>
      <c r="AN261" s="77">
        <f t="shared" si="183"/>
        <v>5380.6388103786612</v>
      </c>
      <c r="AO261" s="77">
        <f t="shared" si="183"/>
        <v>5400.3033433600167</v>
      </c>
      <c r="AP261" s="77">
        <f t="shared" si="183"/>
        <v>5419.8105825959638</v>
      </c>
      <c r="AQ261" s="77">
        <f t="shared" si="183"/>
        <v>5438.6165187090937</v>
      </c>
      <c r="AR261" s="77">
        <f t="shared" si="183"/>
        <v>5459.8604508434282</v>
      </c>
      <c r="AS261" s="77">
        <f t="shared" si="183"/>
        <v>5479.2832656690916</v>
      </c>
      <c r="AT261" s="77">
        <f t="shared" si="183"/>
        <v>5500.0310763272882</v>
      </c>
      <c r="AU261" s="77">
        <f t="shared" si="183"/>
        <v>5520.6281219136745</v>
      </c>
      <c r="AV261" s="77">
        <f t="shared" si="183"/>
        <v>5541.6392258685055</v>
      </c>
      <c r="AW261" s="77">
        <f t="shared" si="183"/>
        <v>5563.0463214226447</v>
      </c>
      <c r="AX261" s="77">
        <f t="shared" si="183"/>
        <v>5736.6116549142498</v>
      </c>
      <c r="AY261" s="77">
        <f t="shared" si="183"/>
        <v>5851.3040198539065</v>
      </c>
      <c r="AZ261" s="77">
        <f t="shared" si="183"/>
        <v>5920.464737614745</v>
      </c>
      <c r="BA261" s="77">
        <f t="shared" si="183"/>
        <v>5999.2284566153576</v>
      </c>
      <c r="BB261" s="77">
        <f t="shared" si="183"/>
        <v>6089.3357471927156</v>
      </c>
      <c r="BC261" s="77">
        <f t="shared" si="183"/>
        <v>6192.965792633423</v>
      </c>
      <c r="BD261" s="77">
        <f t="shared" si="183"/>
        <v>6282.8452873264087</v>
      </c>
      <c r="BE261" s="77">
        <f t="shared" si="183"/>
        <v>6367.8407447357731</v>
      </c>
      <c r="BF261" s="77">
        <f t="shared" si="183"/>
        <v>6455.9647780810292</v>
      </c>
    </row>
    <row r="262" spans="1:58">
      <c r="A262" s="82" t="s">
        <v>175</v>
      </c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</row>
    <row r="263" spans="1:58">
      <c r="A263" s="82" t="s">
        <v>171</v>
      </c>
      <c r="B263" s="80">
        <v>6.2720000000000002</v>
      </c>
      <c r="C263" s="80">
        <v>7.1639999999999997</v>
      </c>
      <c r="D263" s="80">
        <v>5.3</v>
      </c>
      <c r="E263" s="80">
        <v>14.548</v>
      </c>
      <c r="F263" s="80">
        <v>18.442</v>
      </c>
      <c r="G263" s="80">
        <v>15</v>
      </c>
      <c r="H263" s="80">
        <v>18</v>
      </c>
      <c r="I263" s="80">
        <v>16.899999999999999</v>
      </c>
      <c r="J263" s="80">
        <v>5.8</v>
      </c>
      <c r="K263" s="80">
        <v>5</v>
      </c>
      <c r="L263" s="80">
        <v>9</v>
      </c>
      <c r="M263" s="80">
        <v>13.574999999999999</v>
      </c>
      <c r="N263" s="80">
        <v>12.28</v>
      </c>
      <c r="O263" s="80">
        <v>13.223000000000001</v>
      </c>
      <c r="P263" s="80">
        <v>8.5</v>
      </c>
      <c r="Q263" s="80">
        <v>27.318999999999999</v>
      </c>
      <c r="R263" s="80">
        <v>25</v>
      </c>
      <c r="S263" s="80">
        <v>23.597999999999999</v>
      </c>
      <c r="T263" s="80">
        <v>24.5</v>
      </c>
      <c r="U263" s="80">
        <v>24.917000000000002</v>
      </c>
      <c r="V263" s="80">
        <v>45</v>
      </c>
      <c r="W263" s="80">
        <v>10.603</v>
      </c>
      <c r="X263" s="80">
        <v>22.143000000000001</v>
      </c>
      <c r="Y263" s="80">
        <v>21.645</v>
      </c>
      <c r="Z263" s="80">
        <v>13.952999999999999</v>
      </c>
      <c r="AA263" s="80">
        <f>SUM(AA161:AA163)</f>
        <v>25.342857142857142</v>
      </c>
      <c r="AB263" s="80">
        <f>SUM(AB161:AB163)</f>
        <v>23.616071428571431</v>
      </c>
      <c r="AC263" s="80">
        <f>SUM(AC161:AC163)</f>
        <v>4.1964285714285712</v>
      </c>
      <c r="AD263" s="80">
        <f>SUM(AD161:AD163)</f>
        <v>4.4860535714285721</v>
      </c>
      <c r="AE263" s="80">
        <f t="shared" ref="AE263:BF263" si="184">SUM(AE161:AE163)</f>
        <v>17.094767857142855</v>
      </c>
      <c r="AF263" s="80">
        <f t="shared" si="184"/>
        <v>6.3958392857142865</v>
      </c>
      <c r="AG263" s="118">
        <f t="shared" si="184"/>
        <v>10.327466707142856</v>
      </c>
      <c r="AH263" s="118">
        <f t="shared" si="184"/>
        <v>14.351701920688814</v>
      </c>
      <c r="AI263" s="118">
        <f t="shared" si="184"/>
        <v>12.403432339499259</v>
      </c>
      <c r="AJ263" s="118">
        <f t="shared" si="184"/>
        <v>13.23335870354391</v>
      </c>
      <c r="AK263" s="118">
        <f t="shared" si="184"/>
        <v>12.366091410310826</v>
      </c>
      <c r="AL263" s="118">
        <f t="shared" si="184"/>
        <v>12.046360717148794</v>
      </c>
      <c r="AM263" s="118">
        <f t="shared" si="184"/>
        <v>12.590531587289593</v>
      </c>
      <c r="AN263" s="118">
        <f t="shared" si="184"/>
        <v>12.527954951558476</v>
      </c>
      <c r="AO263" s="118">
        <f t="shared" si="184"/>
        <v>12.552809764344747</v>
      </c>
      <c r="AP263" s="118">
        <f t="shared" si="184"/>
        <v>12.41751176450396</v>
      </c>
      <c r="AQ263" s="118">
        <f t="shared" si="184"/>
        <v>12.427673889838569</v>
      </c>
      <c r="AR263" s="118">
        <f t="shared" si="184"/>
        <v>12.50244117860127</v>
      </c>
      <c r="AS263" s="118">
        <f t="shared" si="184"/>
        <v>12.485336244875384</v>
      </c>
      <c r="AT263" s="118">
        <f t="shared" si="184"/>
        <v>12.477058380692707</v>
      </c>
      <c r="AU263" s="118">
        <f t="shared" si="184"/>
        <v>12.462340969011738</v>
      </c>
      <c r="AV263" s="118">
        <f t="shared" si="184"/>
        <v>12.471053059699098</v>
      </c>
      <c r="AW263" s="118">
        <f t="shared" si="184"/>
        <v>12.479485645989744</v>
      </c>
      <c r="AX263" s="118">
        <f t="shared" si="184"/>
        <v>12.475022070204172</v>
      </c>
      <c r="AY263" s="118">
        <f t="shared" si="184"/>
        <v>12.473016010543347</v>
      </c>
      <c r="AZ263" s="118">
        <f t="shared" si="184"/>
        <v>12.472229585805199</v>
      </c>
      <c r="BA263" s="118">
        <f t="shared" si="184"/>
        <v>12.474153857181223</v>
      </c>
      <c r="BB263" s="118">
        <f t="shared" si="184"/>
        <v>12.474757405262565</v>
      </c>
      <c r="BC263" s="118">
        <f t="shared" si="184"/>
        <v>12.473836862820107</v>
      </c>
      <c r="BD263" s="118">
        <f t="shared" si="184"/>
        <v>12.473606059276893</v>
      </c>
      <c r="BE263" s="118">
        <f t="shared" si="184"/>
        <v>12.473720990508472</v>
      </c>
      <c r="BF263" s="118">
        <f t="shared" si="184"/>
        <v>12.47401155728687</v>
      </c>
    </row>
    <row r="264" spans="1:58">
      <c r="A264" s="69" t="s">
        <v>172</v>
      </c>
      <c r="B264" s="76">
        <v>6.2679999999999998</v>
      </c>
      <c r="C264" s="76">
        <v>7.5990000000000002</v>
      </c>
      <c r="D264" s="76">
        <v>5.5880000000000001</v>
      </c>
      <c r="E264" s="76">
        <v>15.026999999999999</v>
      </c>
      <c r="F264" s="76">
        <v>18.457000000000001</v>
      </c>
      <c r="G264" s="76">
        <v>15</v>
      </c>
      <c r="H264" s="76">
        <v>18</v>
      </c>
      <c r="I264" s="76">
        <v>10.9</v>
      </c>
      <c r="J264" s="76">
        <v>5.6</v>
      </c>
      <c r="K264" s="76">
        <v>5.3</v>
      </c>
      <c r="L264" s="76">
        <v>10</v>
      </c>
      <c r="M264" s="76">
        <v>13.442</v>
      </c>
      <c r="N264" s="76">
        <v>15.51</v>
      </c>
      <c r="O264" s="76">
        <v>13.225</v>
      </c>
      <c r="P264" s="76">
        <v>8.5</v>
      </c>
      <c r="Q264" s="76">
        <v>27.318000000000001</v>
      </c>
      <c r="R264" s="76">
        <v>25</v>
      </c>
      <c r="S264" s="76">
        <v>24.852</v>
      </c>
      <c r="T264" s="76">
        <v>25.512</v>
      </c>
      <c r="U264" s="76">
        <v>24.916</v>
      </c>
      <c r="V264" s="76">
        <v>10</v>
      </c>
      <c r="W264" s="76">
        <v>1.7969999999999999</v>
      </c>
      <c r="X264" s="76">
        <v>41.768999999999998</v>
      </c>
      <c r="Y264" s="76">
        <v>33.055</v>
      </c>
      <c r="Z264" s="76">
        <f>SUM(Z164:Z166)</f>
        <v>12.275608462195882</v>
      </c>
      <c r="AA264" s="76">
        <f>SUM(AA164:AA166)</f>
        <v>23.182142857142857</v>
      </c>
      <c r="AB264" s="76">
        <f>SUM(AB164:AB166)</f>
        <v>28.866071428571431</v>
      </c>
      <c r="AC264" s="76">
        <f>SUM(AC164:AC166)</f>
        <v>3.4821428571428568</v>
      </c>
      <c r="AD264" s="76">
        <f>SUM(AD164:AD166)</f>
        <v>7.5855714285714289</v>
      </c>
      <c r="AE264" s="76">
        <f t="shared" ref="AE264:BF264" si="185">SUM(AE164:AE166)</f>
        <v>13.936714285714288</v>
      </c>
      <c r="AF264" s="76">
        <f t="shared" si="185"/>
        <v>3.8140892857142861</v>
      </c>
      <c r="AG264" s="79">
        <f t="shared" si="185"/>
        <v>19.39001137728135</v>
      </c>
      <c r="AH264" s="79">
        <f t="shared" si="185"/>
        <v>15.328608808115197</v>
      </c>
      <c r="AI264" s="79">
        <f t="shared" si="185"/>
        <v>13.488046803770114</v>
      </c>
      <c r="AJ264" s="79">
        <f t="shared" si="185"/>
        <v>13.754430999091772</v>
      </c>
      <c r="AK264" s="79">
        <f t="shared" si="185"/>
        <v>13.819124732173661</v>
      </c>
      <c r="AL264" s="79">
        <f t="shared" si="185"/>
        <v>14.236799057596015</v>
      </c>
      <c r="AM264" s="79">
        <f t="shared" si="185"/>
        <v>13.788733815328808</v>
      </c>
      <c r="AN264" s="79">
        <f t="shared" si="185"/>
        <v>13.817427081592076</v>
      </c>
      <c r="AO264" s="79">
        <f t="shared" si="185"/>
        <v>13.883171648023605</v>
      </c>
      <c r="AP264" s="79">
        <f t="shared" si="185"/>
        <v>13.908766210435498</v>
      </c>
      <c r="AQ264" s="79">
        <f t="shared" si="185"/>
        <v>13.926481917601871</v>
      </c>
      <c r="AR264" s="79">
        <f t="shared" si="185"/>
        <v>13.865635419563802</v>
      </c>
      <c r="AS264" s="79">
        <f t="shared" si="185"/>
        <v>13.880567769900695</v>
      </c>
      <c r="AT264" s="79">
        <f t="shared" si="185"/>
        <v>13.892831634360638</v>
      </c>
      <c r="AU264" s="79">
        <f t="shared" si="185"/>
        <v>13.894708431706118</v>
      </c>
      <c r="AV264" s="79">
        <f t="shared" si="185"/>
        <v>13.891976448292672</v>
      </c>
      <c r="AW264" s="79">
        <f t="shared" si="185"/>
        <v>13.885268843043782</v>
      </c>
      <c r="AX264" s="79">
        <f t="shared" si="185"/>
        <v>13.889086453164889</v>
      </c>
      <c r="AY264" s="79">
        <f t="shared" si="185"/>
        <v>13.890743297983246</v>
      </c>
      <c r="AZ264" s="79">
        <f t="shared" si="185"/>
        <v>13.890337021633465</v>
      </c>
      <c r="BA264" s="79">
        <f t="shared" si="185"/>
        <v>13.88948636886257</v>
      </c>
      <c r="BB264" s="79">
        <f t="shared" si="185"/>
        <v>13.889001692687778</v>
      </c>
      <c r="BC264" s="79">
        <f t="shared" si="185"/>
        <v>13.889728442175993</v>
      </c>
      <c r="BD264" s="79">
        <f t="shared" si="185"/>
        <v>13.889853461088679</v>
      </c>
      <c r="BE264" s="79">
        <f t="shared" si="185"/>
        <v>13.889680136337043</v>
      </c>
      <c r="BF264" s="79">
        <f t="shared" si="185"/>
        <v>13.889552156960326</v>
      </c>
    </row>
    <row r="265" spans="1:58">
      <c r="A265" s="69" t="s">
        <v>173</v>
      </c>
      <c r="B265" s="76">
        <v>3.9159999999999999</v>
      </c>
      <c r="C265" s="76">
        <v>4.0469999999999997</v>
      </c>
      <c r="D265" s="76">
        <v>4.5720000000000001</v>
      </c>
      <c r="E265" s="76">
        <v>8.9039999999999999</v>
      </c>
      <c r="F265" s="76">
        <v>11.263</v>
      </c>
      <c r="G265" s="76">
        <v>9</v>
      </c>
      <c r="H265" s="76">
        <v>12</v>
      </c>
      <c r="I265" s="76">
        <v>3</v>
      </c>
      <c r="J265" s="76">
        <v>5.7</v>
      </c>
      <c r="K265" s="76">
        <v>7.3</v>
      </c>
      <c r="L265" s="76">
        <v>10</v>
      </c>
      <c r="M265" s="76">
        <v>13.726000000000001</v>
      </c>
      <c r="N265" s="76">
        <v>11.282</v>
      </c>
      <c r="O265" s="76">
        <v>13.224</v>
      </c>
      <c r="P265" s="76">
        <v>8.6999999999999993</v>
      </c>
      <c r="Q265" s="76">
        <v>27.834</v>
      </c>
      <c r="R265" s="76">
        <v>25.207999999999998</v>
      </c>
      <c r="S265" s="76">
        <v>26.475999999999999</v>
      </c>
      <c r="T265" s="76">
        <v>25.928000000000001</v>
      </c>
      <c r="U265" s="76">
        <v>25.385999999999999</v>
      </c>
      <c r="V265" s="76">
        <v>11.484999999999999</v>
      </c>
      <c r="W265" s="76">
        <v>0.93799999999999994</v>
      </c>
      <c r="X265" s="76">
        <v>42.973999999999997</v>
      </c>
      <c r="Y265" s="76">
        <v>34.895000000000003</v>
      </c>
      <c r="Z265" s="76">
        <f>SUM(Z167:Z169)</f>
        <v>15.301785714285714</v>
      </c>
      <c r="AA265" s="76">
        <f>SUM(AA167:AA169)</f>
        <v>26.358928571428574</v>
      </c>
      <c r="AB265" s="76">
        <f>SUM(AB167:AB169)</f>
        <v>16.791071428571428</v>
      </c>
      <c r="AC265" s="76">
        <f>SUM(AC167:AC169)</f>
        <v>1.4555535714285714</v>
      </c>
      <c r="AD265" s="76">
        <f>SUM(AD167:AD169)</f>
        <v>8.848357142857143</v>
      </c>
      <c r="AE265" s="76">
        <f t="shared" ref="AE265:BF265" si="186">SUM(AE167:AE169)</f>
        <v>12.87869642857143</v>
      </c>
      <c r="AF265" s="76">
        <f t="shared" si="186"/>
        <v>5.0608750000000002</v>
      </c>
      <c r="AG265" s="79">
        <f t="shared" si="186"/>
        <v>13.959645254184785</v>
      </c>
      <c r="AH265" s="79">
        <f t="shared" si="186"/>
        <v>13.907005320821238</v>
      </c>
      <c r="AI265" s="79">
        <f t="shared" si="186"/>
        <v>12.646596511851744</v>
      </c>
      <c r="AJ265" s="79">
        <f t="shared" si="186"/>
        <v>12.488454777864826</v>
      </c>
      <c r="AK265" s="79">
        <f t="shared" si="186"/>
        <v>12.490522125519007</v>
      </c>
      <c r="AL265" s="79">
        <f t="shared" si="186"/>
        <v>12.492911488619503</v>
      </c>
      <c r="AM265" s="79">
        <f t="shared" si="186"/>
        <v>12.500415102755859</v>
      </c>
      <c r="AN265" s="79">
        <f t="shared" si="186"/>
        <v>12.523780001322187</v>
      </c>
      <c r="AO265" s="79">
        <f t="shared" si="186"/>
        <v>12.499265727763396</v>
      </c>
      <c r="AP265" s="79">
        <f t="shared" si="186"/>
        <v>12.501415021977822</v>
      </c>
      <c r="AQ265" s="79">
        <f t="shared" si="186"/>
        <v>12.503567768313554</v>
      </c>
      <c r="AR265" s="79">
        <f t="shared" si="186"/>
        <v>12.505657234920232</v>
      </c>
      <c r="AS265" s="79">
        <f t="shared" si="186"/>
        <v>12.506675124660887</v>
      </c>
      <c r="AT265" s="79">
        <f t="shared" si="186"/>
        <v>12.503352831309364</v>
      </c>
      <c r="AU265" s="79">
        <f t="shared" si="186"/>
        <v>12.504146897141153</v>
      </c>
      <c r="AV265" s="79">
        <f t="shared" si="186"/>
        <v>12.504677808729497</v>
      </c>
      <c r="AW265" s="79">
        <f t="shared" si="186"/>
        <v>12.50489359228699</v>
      </c>
      <c r="AX265" s="79">
        <f t="shared" si="186"/>
        <v>12.504745106219419</v>
      </c>
      <c r="AY265" s="79">
        <f t="shared" si="186"/>
        <v>12.504369726485846</v>
      </c>
      <c r="AZ265" s="79">
        <f t="shared" si="186"/>
        <v>12.504567558820179</v>
      </c>
      <c r="BA265" s="79">
        <f t="shared" si="186"/>
        <v>12.504649417309071</v>
      </c>
      <c r="BB265" s="79">
        <f t="shared" si="186"/>
        <v>12.504643891121884</v>
      </c>
      <c r="BC265" s="79">
        <f t="shared" si="186"/>
        <v>12.504595276735751</v>
      </c>
      <c r="BD265" s="79">
        <f t="shared" si="186"/>
        <v>12.50456609941525</v>
      </c>
      <c r="BE265" s="79">
        <f t="shared" si="186"/>
        <v>12.504604349446716</v>
      </c>
      <c r="BF265" s="79">
        <f t="shared" si="186"/>
        <v>12.504611517275681</v>
      </c>
    </row>
    <row r="266" spans="1:58">
      <c r="A266" s="69" t="s">
        <v>174</v>
      </c>
      <c r="B266" s="76">
        <v>2.3439999999999999</v>
      </c>
      <c r="C266" s="76">
        <v>1.99</v>
      </c>
      <c r="D266" s="76">
        <v>1.94</v>
      </c>
      <c r="E266" s="76">
        <v>5.2210000000000001</v>
      </c>
      <c r="F266" s="76">
        <v>5.7380000000000004</v>
      </c>
      <c r="G266" s="76">
        <v>4.9000000000000004</v>
      </c>
      <c r="H266" s="76">
        <v>5.9</v>
      </c>
      <c r="I266" s="76">
        <v>3</v>
      </c>
      <c r="J266" s="76">
        <v>4.7</v>
      </c>
      <c r="K266" s="76">
        <v>5.2</v>
      </c>
      <c r="L266" s="76">
        <v>10</v>
      </c>
      <c r="M266" s="76">
        <v>13.356999999999999</v>
      </c>
      <c r="N266" s="76">
        <v>10.146000000000001</v>
      </c>
      <c r="O266" s="76">
        <v>4.3410000000000002</v>
      </c>
      <c r="P266" s="76">
        <v>8.4</v>
      </c>
      <c r="Q266" s="76">
        <v>11.675000000000001</v>
      </c>
      <c r="R266" s="76">
        <v>14.048999999999999</v>
      </c>
      <c r="S266" s="76">
        <v>9.4239999999999995</v>
      </c>
      <c r="T266" s="76">
        <v>8.2859999999999996</v>
      </c>
      <c r="U266" s="76">
        <v>19.128</v>
      </c>
      <c r="V266" s="76">
        <v>2.5249999999999999</v>
      </c>
      <c r="W266" s="76">
        <v>0.63300000000000001</v>
      </c>
      <c r="X266" s="76">
        <v>29.253</v>
      </c>
      <c r="Y266" s="76">
        <v>24.739000000000001</v>
      </c>
      <c r="Z266" s="76">
        <f t="shared" ref="Z266:BF266" si="187">SUM(Z170:Z172)</f>
        <v>20.033928571428572</v>
      </c>
      <c r="AA266" s="76">
        <f t="shared" si="187"/>
        <v>29.412499999999998</v>
      </c>
      <c r="AB266" s="76">
        <f t="shared" si="187"/>
        <v>5.4678571428571434</v>
      </c>
      <c r="AC266" s="76">
        <f t="shared" si="187"/>
        <v>1.7392857142857139</v>
      </c>
      <c r="AD266" s="76">
        <f t="shared" si="187"/>
        <v>22.638285714285715</v>
      </c>
      <c r="AE266" s="76">
        <f t="shared" si="187"/>
        <v>13.876482142857142</v>
      </c>
      <c r="AF266" s="76">
        <f t="shared" si="187"/>
        <v>7.4651964285714278</v>
      </c>
      <c r="AG266" s="79">
        <f t="shared" si="187"/>
        <v>19.738392110514923</v>
      </c>
      <c r="AH266" s="79">
        <f t="shared" si="187"/>
        <v>19.132683950374759</v>
      </c>
      <c r="AI266" s="79">
        <f t="shared" si="187"/>
        <v>17.461924344878881</v>
      </c>
      <c r="AJ266" s="79">
        <f t="shared" si="187"/>
        <v>16.523755519499488</v>
      </c>
      <c r="AK266" s="79">
        <f t="shared" si="187"/>
        <v>17.324261731996508</v>
      </c>
      <c r="AL266" s="79">
        <f t="shared" si="187"/>
        <v>17.223928736635692</v>
      </c>
      <c r="AM266" s="79">
        <f t="shared" si="187"/>
        <v>17.120319494625743</v>
      </c>
      <c r="AN266" s="79">
        <f t="shared" si="187"/>
        <v>17.130837965527256</v>
      </c>
      <c r="AO266" s="79">
        <f t="shared" si="187"/>
        <v>17.064752859868257</v>
      </c>
      <c r="AP266" s="79">
        <f t="shared" si="187"/>
        <v>17.172307003082718</v>
      </c>
      <c r="AQ266" s="79">
        <f t="shared" si="187"/>
        <v>17.142276424246003</v>
      </c>
      <c r="AR266" s="79">
        <f t="shared" si="187"/>
        <v>17.126266166914693</v>
      </c>
      <c r="AS266" s="79">
        <f t="shared" si="187"/>
        <v>17.127420860563038</v>
      </c>
      <c r="AT266" s="79">
        <f t="shared" si="187"/>
        <v>17.126757153637289</v>
      </c>
      <c r="AU266" s="79">
        <f t="shared" si="187"/>
        <v>17.138803702140983</v>
      </c>
      <c r="AV266" s="79">
        <f t="shared" si="187"/>
        <v>17.132292683278742</v>
      </c>
      <c r="AW266" s="79">
        <f t="shared" si="187"/>
        <v>17.130351918679477</v>
      </c>
      <c r="AX266" s="79">
        <f t="shared" si="187"/>
        <v>17.131146370411511</v>
      </c>
      <c r="AY266" s="79">
        <f t="shared" si="187"/>
        <v>17.131870964987552</v>
      </c>
      <c r="AZ266" s="79">
        <f t="shared" si="187"/>
        <v>17.13286583374116</v>
      </c>
      <c r="BA266" s="79">
        <f t="shared" si="187"/>
        <v>17.13171035664714</v>
      </c>
      <c r="BB266" s="79">
        <f t="shared" si="187"/>
        <v>17.131597010927781</v>
      </c>
      <c r="BC266" s="79">
        <f t="shared" si="187"/>
        <v>17.13183941826815</v>
      </c>
      <c r="BD266" s="79">
        <f t="shared" si="187"/>
        <v>17.13197438021917</v>
      </c>
      <c r="BE266" s="79">
        <f t="shared" si="187"/>
        <v>17.131994523707768</v>
      </c>
      <c r="BF266" s="79">
        <f t="shared" si="187"/>
        <v>17.131824768477134</v>
      </c>
    </row>
    <row r="267" spans="1:58">
      <c r="A267" s="69" t="s">
        <v>138</v>
      </c>
      <c r="B267" s="76">
        <f t="shared" ref="B267:BF267" si="188">SUM(B263:B266)</f>
        <v>18.8</v>
      </c>
      <c r="C267" s="76">
        <f t="shared" si="188"/>
        <v>20.799999999999997</v>
      </c>
      <c r="D267" s="76">
        <f t="shared" si="188"/>
        <v>17.400000000000002</v>
      </c>
      <c r="E267" s="76">
        <f t="shared" si="188"/>
        <v>43.7</v>
      </c>
      <c r="F267" s="76">
        <f t="shared" si="188"/>
        <v>53.9</v>
      </c>
      <c r="G267" s="76">
        <f t="shared" si="188"/>
        <v>43.9</v>
      </c>
      <c r="H267" s="76">
        <f t="shared" si="188"/>
        <v>53.9</v>
      </c>
      <c r="I267" s="76">
        <f t="shared" si="188"/>
        <v>33.799999999999997</v>
      </c>
      <c r="J267" s="76">
        <f t="shared" si="188"/>
        <v>21.799999999999997</v>
      </c>
      <c r="K267" s="76">
        <f t="shared" si="188"/>
        <v>22.8</v>
      </c>
      <c r="L267" s="76">
        <f t="shared" si="188"/>
        <v>39</v>
      </c>
      <c r="M267" s="76">
        <f t="shared" si="188"/>
        <v>54.1</v>
      </c>
      <c r="N267" s="76">
        <f t="shared" si="188"/>
        <v>49.218000000000004</v>
      </c>
      <c r="O267" s="76">
        <f t="shared" si="188"/>
        <v>44.012999999999998</v>
      </c>
      <c r="P267" s="76">
        <f t="shared" si="188"/>
        <v>34.1</v>
      </c>
      <c r="Q267" s="76">
        <f t="shared" si="188"/>
        <v>94.146000000000001</v>
      </c>
      <c r="R267" s="76">
        <f t="shared" si="188"/>
        <v>89.257000000000005</v>
      </c>
      <c r="S267" s="76">
        <f t="shared" si="188"/>
        <v>84.35</v>
      </c>
      <c r="T267" s="76">
        <f t="shared" si="188"/>
        <v>84.225999999999999</v>
      </c>
      <c r="U267" s="76">
        <f t="shared" si="188"/>
        <v>94.346999999999994</v>
      </c>
      <c r="V267" s="76">
        <f t="shared" si="188"/>
        <v>69.010000000000005</v>
      </c>
      <c r="W267" s="76">
        <f t="shared" si="188"/>
        <v>13.971</v>
      </c>
      <c r="X267" s="76">
        <f t="shared" si="188"/>
        <v>136.13900000000001</v>
      </c>
      <c r="Y267" s="76">
        <f t="shared" si="188"/>
        <v>114.334</v>
      </c>
      <c r="Z267" s="76">
        <f t="shared" si="188"/>
        <v>61.564322747910168</v>
      </c>
      <c r="AA267" s="76">
        <f t="shared" si="188"/>
        <v>104.29642857142856</v>
      </c>
      <c r="AB267" s="76">
        <f t="shared" si="188"/>
        <v>74.741071428571431</v>
      </c>
      <c r="AC267" s="76">
        <f t="shared" si="188"/>
        <v>10.873410714285713</v>
      </c>
      <c r="AD267" s="76">
        <f t="shared" si="188"/>
        <v>43.558267857142859</v>
      </c>
      <c r="AE267" s="76">
        <f t="shared" si="188"/>
        <v>57.786660714285716</v>
      </c>
      <c r="AF267" s="76">
        <f t="shared" si="188"/>
        <v>22.736000000000001</v>
      </c>
      <c r="AG267" s="79">
        <f t="shared" si="188"/>
        <v>63.415515449123916</v>
      </c>
      <c r="AH267" s="79">
        <f t="shared" si="188"/>
        <v>62.72</v>
      </c>
      <c r="AI267" s="79">
        <f t="shared" si="188"/>
        <v>56</v>
      </c>
      <c r="AJ267" s="79">
        <f t="shared" si="188"/>
        <v>55.999999999999993</v>
      </c>
      <c r="AK267" s="79">
        <f t="shared" si="188"/>
        <v>56</v>
      </c>
      <c r="AL267" s="79">
        <f t="shared" si="188"/>
        <v>56.000000000000007</v>
      </c>
      <c r="AM267" s="79">
        <f t="shared" si="188"/>
        <v>56</v>
      </c>
      <c r="AN267" s="79">
        <f t="shared" si="188"/>
        <v>55.999999999999993</v>
      </c>
      <c r="AO267" s="79">
        <f t="shared" si="188"/>
        <v>56.000000000000007</v>
      </c>
      <c r="AP267" s="79">
        <f t="shared" si="188"/>
        <v>56</v>
      </c>
      <c r="AQ267" s="79">
        <f t="shared" si="188"/>
        <v>56</v>
      </c>
      <c r="AR267" s="79">
        <f t="shared" si="188"/>
        <v>56</v>
      </c>
      <c r="AS267" s="79">
        <f t="shared" si="188"/>
        <v>56</v>
      </c>
      <c r="AT267" s="79">
        <f t="shared" si="188"/>
        <v>56</v>
      </c>
      <c r="AU267" s="79">
        <f t="shared" si="188"/>
        <v>55.999999999999993</v>
      </c>
      <c r="AV267" s="79">
        <f t="shared" si="188"/>
        <v>56.000000000000007</v>
      </c>
      <c r="AW267" s="79">
        <f t="shared" si="188"/>
        <v>56</v>
      </c>
      <c r="AX267" s="79">
        <f t="shared" si="188"/>
        <v>55.999999999999986</v>
      </c>
      <c r="AY267" s="79">
        <f t="shared" si="188"/>
        <v>55.999999999999986</v>
      </c>
      <c r="AZ267" s="79">
        <f t="shared" si="188"/>
        <v>56</v>
      </c>
      <c r="BA267" s="79">
        <f t="shared" si="188"/>
        <v>56.000000000000007</v>
      </c>
      <c r="BB267" s="79">
        <f t="shared" si="188"/>
        <v>56</v>
      </c>
      <c r="BC267" s="79">
        <f t="shared" si="188"/>
        <v>56</v>
      </c>
      <c r="BD267" s="79">
        <f t="shared" si="188"/>
        <v>55.999999999999993</v>
      </c>
      <c r="BE267" s="79">
        <f t="shared" si="188"/>
        <v>56</v>
      </c>
      <c r="BF267" s="79">
        <f t="shared" si="188"/>
        <v>56.000000000000014</v>
      </c>
    </row>
    <row r="268" spans="1:58">
      <c r="A268" s="82" t="s">
        <v>176</v>
      </c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  <c r="AN268" s="82"/>
      <c r="AO268" s="82"/>
      <c r="AP268" s="82"/>
      <c r="AQ268" s="82"/>
      <c r="AR268" s="82"/>
      <c r="AS268" s="82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  <c r="BF268" s="82"/>
    </row>
    <row r="269" spans="1:58">
      <c r="A269" s="82" t="s">
        <v>171</v>
      </c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76">
        <f t="shared" ref="Y269:BF269" si="189">SUM(Y177:Y179)</f>
        <v>11.125231096540077</v>
      </c>
      <c r="Z269" s="76">
        <f t="shared" si="189"/>
        <v>10.120737429801345</v>
      </c>
      <c r="AA269" s="76">
        <f t="shared" si="189"/>
        <v>11.716111961039598</v>
      </c>
      <c r="AB269" s="76">
        <f t="shared" si="189"/>
        <v>11.941075496883311</v>
      </c>
      <c r="AC269" s="76">
        <f t="shared" si="189"/>
        <v>8.7920024458845951</v>
      </c>
      <c r="AD269" s="76">
        <f t="shared" si="189"/>
        <v>8.6776110035887992</v>
      </c>
      <c r="AE269" s="76">
        <f t="shared" si="189"/>
        <v>10.786073928413234</v>
      </c>
      <c r="AF269" s="76">
        <f t="shared" si="189"/>
        <v>8.9782937094166169</v>
      </c>
      <c r="AG269" s="79">
        <f t="shared" si="189"/>
        <v>9.6666319120545499</v>
      </c>
      <c r="AH269" s="79">
        <f t="shared" si="189"/>
        <v>13.739059527060686</v>
      </c>
      <c r="AI269" s="79">
        <f t="shared" si="189"/>
        <v>16.282029094168873</v>
      </c>
      <c r="AJ269" s="79">
        <f t="shared" si="189"/>
        <v>17.786161790267407</v>
      </c>
      <c r="AK269" s="79">
        <f t="shared" si="189"/>
        <v>19.009753881846891</v>
      </c>
      <c r="AL269" s="79">
        <f t="shared" si="189"/>
        <v>21.092338080734063</v>
      </c>
      <c r="AM269" s="79">
        <f t="shared" si="189"/>
        <v>23.099128839599587</v>
      </c>
      <c r="AN269" s="79">
        <f t="shared" si="189"/>
        <v>24.944303446408401</v>
      </c>
      <c r="AO269" s="79">
        <f t="shared" si="189"/>
        <v>26.626756242396521</v>
      </c>
      <c r="AP269" s="79">
        <f t="shared" si="189"/>
        <v>28.339575405094749</v>
      </c>
      <c r="AQ269" s="79">
        <f t="shared" si="189"/>
        <v>30.152646275813762</v>
      </c>
      <c r="AR269" s="79">
        <f t="shared" si="189"/>
        <v>31.904095266364688</v>
      </c>
      <c r="AS269" s="79">
        <f t="shared" si="189"/>
        <v>33.609347998528236</v>
      </c>
      <c r="AT269" s="79">
        <f t="shared" si="189"/>
        <v>35.285027186199173</v>
      </c>
      <c r="AU269" s="79">
        <f t="shared" si="189"/>
        <v>36.959457941510699</v>
      </c>
      <c r="AV269" s="79">
        <f t="shared" si="189"/>
        <v>38.626600379929243</v>
      </c>
      <c r="AW269" s="79">
        <f t="shared" si="189"/>
        <v>40.26414141966643</v>
      </c>
      <c r="AX269" s="79">
        <f t="shared" si="189"/>
        <v>41.880398208212789</v>
      </c>
      <c r="AY269" s="79">
        <f t="shared" si="189"/>
        <v>43.478557076873692</v>
      </c>
      <c r="AZ269" s="79">
        <f t="shared" si="189"/>
        <v>45.061585849605095</v>
      </c>
      <c r="BA269" s="79">
        <f t="shared" si="189"/>
        <v>46.626672734552059</v>
      </c>
      <c r="BB269" s="79">
        <f t="shared" si="189"/>
        <v>48.171572850288094</v>
      </c>
      <c r="BC269" s="79">
        <f t="shared" si="189"/>
        <v>49.698415354072722</v>
      </c>
      <c r="BD269" s="79">
        <f t="shared" si="189"/>
        <v>51.207536342839383</v>
      </c>
      <c r="BE269" s="79">
        <f t="shared" si="189"/>
        <v>52.699195524215753</v>
      </c>
      <c r="BF269" s="79">
        <f t="shared" si="189"/>
        <v>54.172872960166274</v>
      </c>
    </row>
    <row r="270" spans="1:58">
      <c r="A270" s="69" t="s">
        <v>172</v>
      </c>
      <c r="Y270" s="76">
        <f t="shared" ref="Y270:BF270" si="190">SUM(Y180:Y182)</f>
        <v>12.85954751510215</v>
      </c>
      <c r="Z270" s="76">
        <f t="shared" si="190"/>
        <v>9.8886121093831392</v>
      </c>
      <c r="AA270" s="76">
        <f t="shared" si="190"/>
        <v>11.927849045340562</v>
      </c>
      <c r="AB270" s="76">
        <f t="shared" si="190"/>
        <v>12.863100890018135</v>
      </c>
      <c r="AC270" s="76">
        <f t="shared" si="190"/>
        <v>8.7408175217953428</v>
      </c>
      <c r="AD270" s="76">
        <f t="shared" si="190"/>
        <v>9.2305959908416284</v>
      </c>
      <c r="AE270" s="76">
        <f t="shared" si="190"/>
        <v>10.316546660612513</v>
      </c>
      <c r="AF270" s="76">
        <f t="shared" si="190"/>
        <v>8.5718265980394399</v>
      </c>
      <c r="AG270" s="79">
        <f t="shared" si="190"/>
        <v>14.448564846654314</v>
      </c>
      <c r="AH270" s="79">
        <f t="shared" si="190"/>
        <v>14.193243961314831</v>
      </c>
      <c r="AI270" s="79">
        <f t="shared" si="190"/>
        <v>16.87447623157794</v>
      </c>
      <c r="AJ270" s="79">
        <f t="shared" si="190"/>
        <v>18.171771457123487</v>
      </c>
      <c r="AK270" s="79">
        <f t="shared" si="190"/>
        <v>19.788758660465785</v>
      </c>
      <c r="AL270" s="79">
        <f t="shared" si="190"/>
        <v>22.191617039530136</v>
      </c>
      <c r="AM270" s="79">
        <f t="shared" si="190"/>
        <v>23.810080145955965</v>
      </c>
      <c r="AN270" s="79">
        <f t="shared" si="190"/>
        <v>25.692385588508579</v>
      </c>
      <c r="AO270" s="79">
        <f t="shared" si="190"/>
        <v>27.403047060109447</v>
      </c>
      <c r="AP270" s="79">
        <f t="shared" si="190"/>
        <v>29.188003948462686</v>
      </c>
      <c r="AQ270" s="79">
        <f t="shared" si="190"/>
        <v>31.009906521234797</v>
      </c>
      <c r="AR270" s="79">
        <f t="shared" si="190"/>
        <v>32.713370828019293</v>
      </c>
      <c r="AS270" s="79">
        <f t="shared" si="190"/>
        <v>34.437153847109428</v>
      </c>
      <c r="AT270" s="79">
        <f t="shared" si="190"/>
        <v>36.128096301995399</v>
      </c>
      <c r="AU270" s="79">
        <f t="shared" si="190"/>
        <v>37.814483228535913</v>
      </c>
      <c r="AV270" s="79">
        <f t="shared" si="190"/>
        <v>39.482572691851388</v>
      </c>
      <c r="AW270" s="79">
        <f t="shared" si="190"/>
        <v>41.119861921666264</v>
      </c>
      <c r="AX270" s="79">
        <f t="shared" si="190"/>
        <v>42.74480306232438</v>
      </c>
      <c r="AY270" s="79">
        <f t="shared" si="190"/>
        <v>44.34966103092178</v>
      </c>
      <c r="AZ270" s="79">
        <f t="shared" si="190"/>
        <v>45.937686553882365</v>
      </c>
      <c r="BA270" s="79">
        <f t="shared" si="190"/>
        <v>47.50657749875608</v>
      </c>
      <c r="BB270" s="79">
        <f t="shared" si="190"/>
        <v>49.055845188168234</v>
      </c>
      <c r="BC270" s="79">
        <f t="shared" si="190"/>
        <v>50.587889562096329</v>
      </c>
      <c r="BD270" s="79">
        <f t="shared" si="190"/>
        <v>52.101518674066725</v>
      </c>
      <c r="BE270" s="79">
        <f t="shared" si="190"/>
        <v>53.597280714902325</v>
      </c>
      <c r="BF270" s="79">
        <f t="shared" si="190"/>
        <v>55.074914321144007</v>
      </c>
    </row>
    <row r="271" spans="1:58">
      <c r="A271" s="69" t="s">
        <v>173</v>
      </c>
      <c r="Y271" s="76">
        <f t="shared" ref="Y271:BF271" si="191">SUM(Y183:Y185)</f>
        <v>13.194868034127035</v>
      </c>
      <c r="Z271" s="76">
        <f t="shared" si="191"/>
        <v>10.380457819153051</v>
      </c>
      <c r="AA271" s="76">
        <f t="shared" si="191"/>
        <v>12.319095312843476</v>
      </c>
      <c r="AB271" s="76">
        <f t="shared" si="191"/>
        <v>10.838954723532582</v>
      </c>
      <c r="AC271" s="76">
        <f t="shared" si="191"/>
        <v>8.3310614066459348</v>
      </c>
      <c r="AD271" s="76">
        <f t="shared" si="191"/>
        <v>9.3973225528891717</v>
      </c>
      <c r="AE271" s="76">
        <f t="shared" si="191"/>
        <v>10.12214266945587</v>
      </c>
      <c r="AF271" s="76">
        <f t="shared" si="191"/>
        <v>8.7893977945224453</v>
      </c>
      <c r="AG271" s="79">
        <f t="shared" si="191"/>
        <v>13.362642398389006</v>
      </c>
      <c r="AH271" s="79">
        <f t="shared" si="191"/>
        <v>13.674192503395343</v>
      </c>
      <c r="AI271" s="79">
        <f t="shared" si="191"/>
        <v>16.495775200902088</v>
      </c>
      <c r="AJ271" s="79">
        <f t="shared" si="191"/>
        <v>17.595470926886556</v>
      </c>
      <c r="AK271" s="79">
        <f t="shared" si="191"/>
        <v>19.17303331603388</v>
      </c>
      <c r="AL271" s="79">
        <f t="shared" si="191"/>
        <v>21.365472539100121</v>
      </c>
      <c r="AM271" s="79">
        <f t="shared" si="191"/>
        <v>23.175560988235965</v>
      </c>
      <c r="AN271" s="79">
        <f t="shared" si="191"/>
        <v>25.076211124024727</v>
      </c>
      <c r="AO271" s="79">
        <f t="shared" si="191"/>
        <v>26.735201859023</v>
      </c>
      <c r="AP271" s="79">
        <f t="shared" si="191"/>
        <v>28.509023283533104</v>
      </c>
      <c r="AQ271" s="79">
        <f t="shared" si="191"/>
        <v>30.320837388847398</v>
      </c>
      <c r="AR271" s="79">
        <f t="shared" si="191"/>
        <v>32.0556019869925</v>
      </c>
      <c r="AS271" s="79">
        <f t="shared" si="191"/>
        <v>33.774410603693667</v>
      </c>
      <c r="AT271" s="79">
        <f t="shared" si="191"/>
        <v>35.455010999252501</v>
      </c>
      <c r="AU271" s="79">
        <f t="shared" si="191"/>
        <v>37.141667402536484</v>
      </c>
      <c r="AV271" s="79">
        <f t="shared" si="191"/>
        <v>38.81101303507738</v>
      </c>
      <c r="AW271" s="79">
        <f t="shared" si="191"/>
        <v>40.452271478494318</v>
      </c>
      <c r="AX271" s="79">
        <f t="shared" si="191"/>
        <v>42.075042952816716</v>
      </c>
      <c r="AY271" s="79">
        <f t="shared" si="191"/>
        <v>43.6786990932885</v>
      </c>
      <c r="AZ271" s="79">
        <f t="shared" si="191"/>
        <v>45.267603782729893</v>
      </c>
      <c r="BA271" s="79">
        <f t="shared" si="191"/>
        <v>46.837148198455196</v>
      </c>
      <c r="BB271" s="79">
        <f t="shared" si="191"/>
        <v>48.387056990291612</v>
      </c>
      <c r="BC271" s="79">
        <f t="shared" si="191"/>
        <v>49.918968488195716</v>
      </c>
      <c r="BD271" s="79">
        <f t="shared" si="191"/>
        <v>51.433012462760964</v>
      </c>
      <c r="BE271" s="79">
        <f t="shared" si="191"/>
        <v>52.929483840084416</v>
      </c>
      <c r="BF271" s="79">
        <f t="shared" si="191"/>
        <v>54.407730358852859</v>
      </c>
    </row>
    <row r="272" spans="1:58">
      <c r="A272" s="69" t="s">
        <v>174</v>
      </c>
      <c r="Y272" s="76">
        <f t="shared" ref="Y272:BF272" si="192">SUM(Y186:Y188)</f>
        <v>11.874170781186859</v>
      </c>
      <c r="Z272" s="76">
        <f t="shared" si="192"/>
        <v>11.344384072343056</v>
      </c>
      <c r="AA272" s="76">
        <f t="shared" si="192"/>
        <v>12.991655657360525</v>
      </c>
      <c r="AB272" s="76">
        <f t="shared" si="192"/>
        <v>8.8291420990948524</v>
      </c>
      <c r="AC272" s="76">
        <f t="shared" si="192"/>
        <v>8.3315699490893085</v>
      </c>
      <c r="AD272" s="76">
        <f t="shared" si="192"/>
        <v>18.07425228007893</v>
      </c>
      <c r="AE272" s="76">
        <f t="shared" si="192"/>
        <v>10.314182162456531</v>
      </c>
      <c r="AF272" s="88">
        <f t="shared" si="192"/>
        <v>9.2400722338285135</v>
      </c>
      <c r="AG272" s="79">
        <f t="shared" si="192"/>
        <v>14.529763772517867</v>
      </c>
      <c r="AH272" s="79">
        <f t="shared" si="192"/>
        <v>14.792514500270348</v>
      </c>
      <c r="AI272" s="79">
        <f t="shared" si="192"/>
        <v>18.47013975913374</v>
      </c>
      <c r="AJ272" s="79">
        <f t="shared" si="192"/>
        <v>19.157915387966554</v>
      </c>
      <c r="AK272" s="79">
        <f t="shared" si="192"/>
        <v>21.067428403470696</v>
      </c>
      <c r="AL272" s="79">
        <f t="shared" si="192"/>
        <v>23.180261282453191</v>
      </c>
      <c r="AM272" s="79">
        <f t="shared" si="192"/>
        <v>24.997040161468291</v>
      </c>
      <c r="AN272" s="79">
        <f t="shared" si="192"/>
        <v>26.894258771935213</v>
      </c>
      <c r="AO272" s="79">
        <f t="shared" si="192"/>
        <v>28.482190392618165</v>
      </c>
      <c r="AP272" s="79">
        <f t="shared" si="192"/>
        <v>30.284327725574919</v>
      </c>
      <c r="AQ272" s="79">
        <f t="shared" si="192"/>
        <v>32.058860891325033</v>
      </c>
      <c r="AR272" s="79">
        <f t="shared" si="192"/>
        <v>33.778456940639138</v>
      </c>
      <c r="AS272" s="79">
        <f t="shared" si="192"/>
        <v>35.475235224669206</v>
      </c>
      <c r="AT272" s="79">
        <f t="shared" si="192"/>
        <v>37.130690616698203</v>
      </c>
      <c r="AU272" s="79">
        <f t="shared" si="192"/>
        <v>38.805369325362975</v>
      </c>
      <c r="AV272" s="79">
        <f t="shared" si="192"/>
        <v>40.452223983548109</v>
      </c>
      <c r="AW272" s="79">
        <f t="shared" si="192"/>
        <v>42.075278002277479</v>
      </c>
      <c r="AX272" s="79">
        <f t="shared" si="192"/>
        <v>43.677524113388202</v>
      </c>
      <c r="AY272" s="79">
        <f t="shared" si="192"/>
        <v>45.261939449876905</v>
      </c>
      <c r="AZ272" s="79">
        <f t="shared" si="192"/>
        <v>46.833064934193324</v>
      </c>
      <c r="BA272" s="79">
        <f t="shared" si="192"/>
        <v>48.383114731482308</v>
      </c>
      <c r="BB272" s="79">
        <f t="shared" si="192"/>
        <v>49.914412869545046</v>
      </c>
      <c r="BC272" s="79">
        <f t="shared" si="192"/>
        <v>51.427361807690588</v>
      </c>
      <c r="BD272" s="79">
        <f t="shared" si="192"/>
        <v>52.923021317623885</v>
      </c>
      <c r="BE272" s="79">
        <f t="shared" si="192"/>
        <v>54.401202466969067</v>
      </c>
      <c r="BF272" s="79">
        <f t="shared" si="192"/>
        <v>55.860981246625144</v>
      </c>
    </row>
    <row r="273" spans="1:58">
      <c r="A273" s="69" t="s">
        <v>138</v>
      </c>
      <c r="Y273" s="76">
        <f t="shared" ref="Y273:BF273" si="193">SUM(Y269:Y272)</f>
        <v>49.053817426956115</v>
      </c>
      <c r="Z273" s="76">
        <f t="shared" si="193"/>
        <v>41.734191430680589</v>
      </c>
      <c r="AA273" s="76">
        <f t="shared" si="193"/>
        <v>48.954711976584164</v>
      </c>
      <c r="AB273" s="76">
        <f t="shared" si="193"/>
        <v>44.472273209528879</v>
      </c>
      <c r="AC273" s="76">
        <f t="shared" si="193"/>
        <v>34.195451323415178</v>
      </c>
      <c r="AD273" s="76">
        <f t="shared" si="193"/>
        <v>45.379781827398531</v>
      </c>
      <c r="AE273" s="76">
        <f t="shared" si="193"/>
        <v>41.538945420938148</v>
      </c>
      <c r="AF273" s="88">
        <f t="shared" si="193"/>
        <v>35.579590335807012</v>
      </c>
      <c r="AG273" s="79">
        <f t="shared" si="193"/>
        <v>52.007602929615736</v>
      </c>
      <c r="AH273" s="79">
        <f t="shared" si="193"/>
        <v>56.399010492041207</v>
      </c>
      <c r="AI273" s="79">
        <f t="shared" si="193"/>
        <v>68.122420285782638</v>
      </c>
      <c r="AJ273" s="79">
        <f t="shared" si="193"/>
        <v>72.711319562244</v>
      </c>
      <c r="AK273" s="79">
        <f t="shared" si="193"/>
        <v>79.038974261817259</v>
      </c>
      <c r="AL273" s="79">
        <f t="shared" si="193"/>
        <v>87.829688941817508</v>
      </c>
      <c r="AM273" s="79">
        <f t="shared" si="193"/>
        <v>95.081810135259801</v>
      </c>
      <c r="AN273" s="79">
        <f t="shared" si="193"/>
        <v>102.60715893087692</v>
      </c>
      <c r="AO273" s="79">
        <f t="shared" si="193"/>
        <v>109.24719555414713</v>
      </c>
      <c r="AP273" s="79">
        <f t="shared" si="193"/>
        <v>116.32093036266545</v>
      </c>
      <c r="AQ273" s="79">
        <f t="shared" si="193"/>
        <v>123.54225107722098</v>
      </c>
      <c r="AR273" s="79">
        <f t="shared" si="193"/>
        <v>130.45152502201563</v>
      </c>
      <c r="AS273" s="79">
        <f t="shared" si="193"/>
        <v>137.29614767400054</v>
      </c>
      <c r="AT273" s="79">
        <f t="shared" si="193"/>
        <v>143.99882510414528</v>
      </c>
      <c r="AU273" s="79">
        <f t="shared" si="193"/>
        <v>150.72097789794606</v>
      </c>
      <c r="AV273" s="79">
        <f t="shared" si="193"/>
        <v>157.37241009040611</v>
      </c>
      <c r="AW273" s="79">
        <f t="shared" si="193"/>
        <v>163.91155282210448</v>
      </c>
      <c r="AX273" s="79">
        <f t="shared" si="193"/>
        <v>170.37776833674207</v>
      </c>
      <c r="AY273" s="79">
        <f t="shared" si="193"/>
        <v>176.76885665096088</v>
      </c>
      <c r="AZ273" s="79">
        <f t="shared" si="193"/>
        <v>183.09994112041068</v>
      </c>
      <c r="BA273" s="79">
        <f t="shared" si="193"/>
        <v>189.35351316324562</v>
      </c>
      <c r="BB273" s="79">
        <f t="shared" si="193"/>
        <v>195.52888789829302</v>
      </c>
      <c r="BC273" s="79">
        <f t="shared" si="193"/>
        <v>201.63263521205539</v>
      </c>
      <c r="BD273" s="79">
        <f t="shared" si="193"/>
        <v>207.66508879729096</v>
      </c>
      <c r="BE273" s="79">
        <f t="shared" si="193"/>
        <v>213.62716254617155</v>
      </c>
      <c r="BF273" s="79">
        <f t="shared" si="193"/>
        <v>219.51649888678827</v>
      </c>
    </row>
    <row r="274" spans="1:58">
      <c r="A274" s="82" t="s">
        <v>177</v>
      </c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  <c r="AN274" s="82"/>
      <c r="AO274" s="82"/>
      <c r="AP274" s="82"/>
      <c r="AQ274" s="82"/>
      <c r="AR274" s="82"/>
      <c r="AS274" s="82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  <c r="BF274" s="82"/>
    </row>
    <row r="275" spans="1:58">
      <c r="A275" s="82" t="s">
        <v>171</v>
      </c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0">
        <f t="shared" ref="Y275:BF278" si="194">Y257+Y263+Y269</f>
        <v>1375.8482310965401</v>
      </c>
      <c r="Z275" s="80">
        <f t="shared" si="194"/>
        <v>1415.4207374298012</v>
      </c>
      <c r="AA275" s="80">
        <f t="shared" si="194"/>
        <v>1408.0559691038968</v>
      </c>
      <c r="AB275" s="80">
        <f t="shared" si="194"/>
        <v>1338.5271469254546</v>
      </c>
      <c r="AC275" s="80">
        <f t="shared" si="194"/>
        <v>1283.8044310173132</v>
      </c>
      <c r="AD275" s="80">
        <f t="shared" si="194"/>
        <v>1357.8956645750172</v>
      </c>
      <c r="AE275" s="80">
        <f t="shared" si="194"/>
        <v>1310.3048417855562</v>
      </c>
      <c r="AF275" s="80">
        <f t="shared" si="194"/>
        <v>1362.8401329951309</v>
      </c>
      <c r="AG275" s="118">
        <f t="shared" si="194"/>
        <v>1403.7500986191972</v>
      </c>
      <c r="AH275" s="118">
        <f t="shared" si="194"/>
        <v>1364.6457500163383</v>
      </c>
      <c r="AI275" s="118">
        <f t="shared" si="194"/>
        <v>1356.3548585596436</v>
      </c>
      <c r="AJ275" s="118">
        <f t="shared" si="194"/>
        <v>1352.6072357251899</v>
      </c>
      <c r="AK275" s="118">
        <f t="shared" si="194"/>
        <v>1363.377128108993</v>
      </c>
      <c r="AL275" s="118">
        <f t="shared" si="194"/>
        <v>1366.4067463148851</v>
      </c>
      <c r="AM275" s="118">
        <f t="shared" si="194"/>
        <v>1375.1775179624426</v>
      </c>
      <c r="AN275" s="118">
        <f t="shared" si="194"/>
        <v>1382.2240217696944</v>
      </c>
      <c r="AO275" s="118">
        <f t="shared" si="194"/>
        <v>1387.5966994404191</v>
      </c>
      <c r="AP275" s="118">
        <f t="shared" si="194"/>
        <v>1394.6823293505827</v>
      </c>
      <c r="AQ275" s="118">
        <f t="shared" si="194"/>
        <v>1401.0046395391389</v>
      </c>
      <c r="AR275" s="118">
        <f t="shared" si="194"/>
        <v>1408.1057720296428</v>
      </c>
      <c r="AS275" s="118">
        <f t="shared" si="194"/>
        <v>1414.7852208942147</v>
      </c>
      <c r="AT275" s="118">
        <f t="shared" si="194"/>
        <v>1421.4744684062287</v>
      </c>
      <c r="AU275" s="118">
        <f t="shared" si="194"/>
        <v>1428.3801618980069</v>
      </c>
      <c r="AV275" s="118">
        <f t="shared" si="194"/>
        <v>1435.2624477493134</v>
      </c>
      <c r="AW275" s="118">
        <f t="shared" si="194"/>
        <v>1442.265762398225</v>
      </c>
      <c r="AX275" s="118">
        <f t="shared" si="194"/>
        <v>1449.2364023926032</v>
      </c>
      <c r="AY275" s="118">
        <f t="shared" si="194"/>
        <v>1512.6777052010793</v>
      </c>
      <c r="AZ275" s="118">
        <f t="shared" si="194"/>
        <v>1530.6077252005707</v>
      </c>
      <c r="BA275" s="118">
        <f t="shared" si="194"/>
        <v>1550.7125918629795</v>
      </c>
      <c r="BB275" s="118">
        <f t="shared" si="194"/>
        <v>1573.4179805709182</v>
      </c>
      <c r="BC275" s="118">
        <f t="shared" si="194"/>
        <v>1599.2108668762251</v>
      </c>
      <c r="BD275" s="118">
        <f t="shared" si="194"/>
        <v>1628.7096362349012</v>
      </c>
      <c r="BE275" s="118">
        <f t="shared" si="194"/>
        <v>1651.5310569314036</v>
      </c>
      <c r="BF275" s="118">
        <f t="shared" si="194"/>
        <v>1675.3172996152257</v>
      </c>
    </row>
    <row r="276" spans="1:58">
      <c r="A276" s="69" t="s">
        <v>172</v>
      </c>
      <c r="Y276" s="76">
        <f t="shared" si="194"/>
        <v>1417.0495475151022</v>
      </c>
      <c r="Z276" s="76">
        <f t="shared" si="194"/>
        <v>1415.840220571579</v>
      </c>
      <c r="AA276" s="76">
        <f t="shared" si="194"/>
        <v>1339.1659919024833</v>
      </c>
      <c r="AB276" s="76">
        <f t="shared" si="194"/>
        <v>1415.6891723185895</v>
      </c>
      <c r="AC276" s="76">
        <f t="shared" si="194"/>
        <v>1181.5689603789381</v>
      </c>
      <c r="AD276" s="76">
        <f t="shared" si="194"/>
        <v>1359.1821674194134</v>
      </c>
      <c r="AE276" s="76">
        <f t="shared" si="194"/>
        <v>1289.7552609463266</v>
      </c>
      <c r="AF276" s="76">
        <f t="shared" si="194"/>
        <v>1382.9449158837538</v>
      </c>
      <c r="AG276" s="79">
        <f t="shared" si="194"/>
        <v>1409.1836645818771</v>
      </c>
      <c r="AH276" s="79">
        <f t="shared" si="194"/>
        <v>1336.2688897065909</v>
      </c>
      <c r="AI276" s="79">
        <f t="shared" si="194"/>
        <v>1358.9598665823298</v>
      </c>
      <c r="AJ276" s="79">
        <f t="shared" si="194"/>
        <v>1360.4026133389536</v>
      </c>
      <c r="AK276" s="79">
        <f t="shared" si="194"/>
        <v>1370.9589089002848</v>
      </c>
      <c r="AL276" s="79">
        <f t="shared" si="194"/>
        <v>1372.4018723624783</v>
      </c>
      <c r="AM276" s="79">
        <f t="shared" si="194"/>
        <v>1377.4135313719732</v>
      </c>
      <c r="AN276" s="79">
        <f t="shared" si="194"/>
        <v>1386.8742910265084</v>
      </c>
      <c r="AO276" s="79">
        <f t="shared" si="194"/>
        <v>1392.5747313643672</v>
      </c>
      <c r="AP276" s="79">
        <f t="shared" si="194"/>
        <v>1399.0953501062938</v>
      </c>
      <c r="AQ276" s="79">
        <f t="shared" si="194"/>
        <v>1404.8127858002713</v>
      </c>
      <c r="AR276" s="79">
        <f t="shared" si="194"/>
        <v>1411.4938165146361</v>
      </c>
      <c r="AS276" s="79">
        <f t="shared" si="194"/>
        <v>1418.3728230849465</v>
      </c>
      <c r="AT276" s="79">
        <f t="shared" si="194"/>
        <v>1424.8415568985818</v>
      </c>
      <c r="AU276" s="79">
        <f t="shared" si="194"/>
        <v>1431.4317574801933</v>
      </c>
      <c r="AV276" s="79">
        <f t="shared" si="194"/>
        <v>1438.0448169876911</v>
      </c>
      <c r="AW276" s="79">
        <f t="shared" si="194"/>
        <v>1444.8400940076724</v>
      </c>
      <c r="AX276" s="79">
        <f t="shared" si="194"/>
        <v>1512.5334830143274</v>
      </c>
      <c r="AY276" s="79">
        <f t="shared" si="194"/>
        <v>1557.4978007538291</v>
      </c>
      <c r="AZ276" s="79">
        <f t="shared" si="194"/>
        <v>1583.5846083824854</v>
      </c>
      <c r="BA276" s="79">
        <f t="shared" si="194"/>
        <v>1613.5109523878386</v>
      </c>
      <c r="BB276" s="79">
        <f t="shared" si="194"/>
        <v>1648.0223656481662</v>
      </c>
      <c r="BC276" s="79">
        <f t="shared" si="194"/>
        <v>1687.9852616632775</v>
      </c>
      <c r="BD276" s="79">
        <f t="shared" si="194"/>
        <v>1722.4995865710025</v>
      </c>
      <c r="BE276" s="79">
        <f t="shared" si="194"/>
        <v>1754.9567724465751</v>
      </c>
      <c r="BF276" s="79">
        <f t="shared" si="194"/>
        <v>1788.6698429844598</v>
      </c>
    </row>
    <row r="277" spans="1:58">
      <c r="A277" s="69" t="s">
        <v>173</v>
      </c>
      <c r="Y277" s="76">
        <f t="shared" si="194"/>
        <v>1401.714868034127</v>
      </c>
      <c r="Z277" s="76">
        <f t="shared" si="194"/>
        <v>1411.6022435334385</v>
      </c>
      <c r="AA277" s="76">
        <f t="shared" si="194"/>
        <v>1380.2450238842719</v>
      </c>
      <c r="AB277" s="76">
        <f t="shared" si="194"/>
        <v>984.17802615210394</v>
      </c>
      <c r="AC277" s="76">
        <f t="shared" si="194"/>
        <v>1320.8956149780745</v>
      </c>
      <c r="AD277" s="76">
        <f t="shared" si="194"/>
        <v>1336.8196796957466</v>
      </c>
      <c r="AE277" s="76">
        <f t="shared" si="194"/>
        <v>1312.2068390980271</v>
      </c>
      <c r="AF277" s="76">
        <f t="shared" si="194"/>
        <v>1363.8922727945226</v>
      </c>
      <c r="AG277" s="79">
        <f t="shared" si="194"/>
        <v>1312.9466921625358</v>
      </c>
      <c r="AH277" s="79">
        <f t="shared" si="194"/>
        <v>1345.2472057091459</v>
      </c>
      <c r="AI277" s="79">
        <f t="shared" si="194"/>
        <v>1333.9123223076892</v>
      </c>
      <c r="AJ277" s="79">
        <f t="shared" si="194"/>
        <v>1337.9778549396092</v>
      </c>
      <c r="AK277" s="79">
        <f t="shared" si="194"/>
        <v>1342.3137224228685</v>
      </c>
      <c r="AL277" s="79">
        <f t="shared" si="194"/>
        <v>1345.7100310370113</v>
      </c>
      <c r="AM277" s="79">
        <f t="shared" si="194"/>
        <v>1360.5136163924119</v>
      </c>
      <c r="AN277" s="79">
        <f t="shared" si="194"/>
        <v>1362.9113343990123</v>
      </c>
      <c r="AO277" s="79">
        <f t="shared" si="194"/>
        <v>1369.1507458761066</v>
      </c>
      <c r="AP277" s="79">
        <f t="shared" si="194"/>
        <v>1375.354263592197</v>
      </c>
      <c r="AQ277" s="79">
        <f t="shared" si="194"/>
        <v>1382.0760821944498</v>
      </c>
      <c r="AR277" s="79">
        <f t="shared" si="194"/>
        <v>1389.4793851086208</v>
      </c>
      <c r="AS277" s="79">
        <f t="shared" si="194"/>
        <v>1395.3724218153338</v>
      </c>
      <c r="AT277" s="79">
        <f t="shared" si="194"/>
        <v>1402.0670746052892</v>
      </c>
      <c r="AU277" s="79">
        <f t="shared" si="194"/>
        <v>1408.7536300187192</v>
      </c>
      <c r="AV277" s="79">
        <f t="shared" si="194"/>
        <v>1415.5838801897376</v>
      </c>
      <c r="AW277" s="79">
        <f t="shared" si="194"/>
        <v>1422.4258970685848</v>
      </c>
      <c r="AX277" s="79">
        <f t="shared" si="194"/>
        <v>1495.4935434481486</v>
      </c>
      <c r="AY277" s="79">
        <f t="shared" si="194"/>
        <v>1498.4767198980771</v>
      </c>
      <c r="AZ277" s="79">
        <f t="shared" si="194"/>
        <v>1517.4271380351597</v>
      </c>
      <c r="BA277" s="79">
        <f t="shared" si="194"/>
        <v>1538.8027458757149</v>
      </c>
      <c r="BB277" s="79">
        <f t="shared" si="194"/>
        <v>1563.0356755081073</v>
      </c>
      <c r="BC277" s="79">
        <f t="shared" si="194"/>
        <v>1590.6923602817044</v>
      </c>
      <c r="BD277" s="79">
        <f t="shared" si="194"/>
        <v>1609.4179719681381</v>
      </c>
      <c r="BE277" s="79">
        <f t="shared" si="194"/>
        <v>1631.2387406893963</v>
      </c>
      <c r="BF277" s="79">
        <f t="shared" si="194"/>
        <v>1653.6277788061623</v>
      </c>
    </row>
    <row r="278" spans="1:58">
      <c r="A278" s="69" t="s">
        <v>174</v>
      </c>
      <c r="Y278" s="76">
        <f t="shared" si="194"/>
        <v>1407.282170781187</v>
      </c>
      <c r="Z278" s="76">
        <f t="shared" si="194"/>
        <v>1455.8573126437716</v>
      </c>
      <c r="AA278" s="76">
        <f t="shared" si="194"/>
        <v>1403.7541556573603</v>
      </c>
      <c r="AB278" s="76">
        <f t="shared" si="194"/>
        <v>1227.1719992419521</v>
      </c>
      <c r="AC278" s="76">
        <f t="shared" si="194"/>
        <v>1402.1058556633748</v>
      </c>
      <c r="AD278" s="76">
        <f t="shared" si="194"/>
        <v>1352.8655379943648</v>
      </c>
      <c r="AE278" s="76">
        <f t="shared" si="194"/>
        <v>1363.1996643053137</v>
      </c>
      <c r="AF278" s="88">
        <f t="shared" si="194"/>
        <v>1419.4082686623999</v>
      </c>
      <c r="AG278" s="79">
        <f t="shared" si="194"/>
        <v>1376.9286639267771</v>
      </c>
      <c r="AH278" s="79">
        <f t="shared" si="194"/>
        <v>1385.4340843070279</v>
      </c>
      <c r="AI278" s="79">
        <f t="shared" si="194"/>
        <v>1366.5014508286672</v>
      </c>
      <c r="AJ278" s="79">
        <f t="shared" si="194"/>
        <v>1380.7094729258342</v>
      </c>
      <c r="AK278" s="79">
        <f t="shared" si="194"/>
        <v>1387.640753409039</v>
      </c>
      <c r="AL278" s="79">
        <f t="shared" si="194"/>
        <v>1395.5412541063251</v>
      </c>
      <c r="AM278" s="79">
        <f t="shared" si="194"/>
        <v>1404.1286104200212</v>
      </c>
      <c r="AN278" s="79">
        <f t="shared" si="194"/>
        <v>1407.2363221143232</v>
      </c>
      <c r="AO278" s="79">
        <f t="shared" si="194"/>
        <v>1416.2283622332711</v>
      </c>
      <c r="AP278" s="79">
        <f t="shared" si="194"/>
        <v>1422.9995699095555</v>
      </c>
      <c r="AQ278" s="79">
        <f t="shared" si="194"/>
        <v>1430.2652622524542</v>
      </c>
      <c r="AR278" s="79">
        <f t="shared" si="194"/>
        <v>1437.2330022125448</v>
      </c>
      <c r="AS278" s="79">
        <f t="shared" si="194"/>
        <v>1444.0489475485977</v>
      </c>
      <c r="AT278" s="79">
        <f t="shared" si="194"/>
        <v>1451.6468015213327</v>
      </c>
      <c r="AU278" s="79">
        <f t="shared" si="194"/>
        <v>1458.7835504147019</v>
      </c>
      <c r="AV278" s="79">
        <f t="shared" si="194"/>
        <v>1466.1204910321696</v>
      </c>
      <c r="AW278" s="79">
        <f t="shared" si="194"/>
        <v>1473.4261207702675</v>
      </c>
      <c r="AX278" s="79">
        <f t="shared" si="194"/>
        <v>1505.7259943959123</v>
      </c>
      <c r="AY278" s="79">
        <f t="shared" si="194"/>
        <v>1515.4206506518822</v>
      </c>
      <c r="AZ278" s="79">
        <f t="shared" si="194"/>
        <v>1527.9452071169392</v>
      </c>
      <c r="BA278" s="79">
        <f t="shared" si="194"/>
        <v>1541.5556796520702</v>
      </c>
      <c r="BB278" s="79">
        <f t="shared" si="194"/>
        <v>1556.388613363818</v>
      </c>
      <c r="BC278" s="79">
        <f t="shared" si="194"/>
        <v>1572.7099390242711</v>
      </c>
      <c r="BD278" s="79">
        <f t="shared" si="194"/>
        <v>1585.8831813496579</v>
      </c>
      <c r="BE278" s="79">
        <f t="shared" si="194"/>
        <v>1599.7413372145702</v>
      </c>
      <c r="BF278" s="79">
        <f t="shared" si="194"/>
        <v>1613.8663555619696</v>
      </c>
    </row>
    <row r="279" spans="1:58">
      <c r="A279" s="69" t="s">
        <v>138</v>
      </c>
      <c r="Y279" s="76">
        <f t="shared" ref="Y279:AB279" si="195">SUM(Y275:Y278)</f>
        <v>5601.8948174269563</v>
      </c>
      <c r="Z279" s="76">
        <f t="shared" si="195"/>
        <v>5698.7205141785907</v>
      </c>
      <c r="AA279" s="76">
        <f t="shared" si="195"/>
        <v>5531.221140548013</v>
      </c>
      <c r="AB279" s="76">
        <f t="shared" si="195"/>
        <v>4965.5663446381004</v>
      </c>
      <c r="AC279" s="76">
        <f t="shared" ref="AC279:BF279" si="196">SUM(AC275:AC278)</f>
        <v>5188.374862037701</v>
      </c>
      <c r="AD279" s="76">
        <f t="shared" si="196"/>
        <v>5406.7630496845422</v>
      </c>
      <c r="AE279" s="76">
        <f t="shared" si="196"/>
        <v>5275.4666061352236</v>
      </c>
      <c r="AF279" s="88">
        <f t="shared" si="196"/>
        <v>5529.085590335807</v>
      </c>
      <c r="AG279" s="79">
        <f t="shared" si="196"/>
        <v>5502.8091192903867</v>
      </c>
      <c r="AH279" s="79">
        <f t="shared" si="196"/>
        <v>5431.5959297391028</v>
      </c>
      <c r="AI279" s="79">
        <f t="shared" si="196"/>
        <v>5415.7284982783294</v>
      </c>
      <c r="AJ279" s="79">
        <f t="shared" si="196"/>
        <v>5431.6971769295869</v>
      </c>
      <c r="AK279" s="79">
        <f t="shared" si="196"/>
        <v>5464.2905128411858</v>
      </c>
      <c r="AL279" s="79">
        <f t="shared" si="196"/>
        <v>5480.0599038207001</v>
      </c>
      <c r="AM279" s="79">
        <f t="shared" si="196"/>
        <v>5517.2332761468497</v>
      </c>
      <c r="AN279" s="79">
        <f t="shared" si="196"/>
        <v>5539.2459693095379</v>
      </c>
      <c r="AO279" s="79">
        <f t="shared" si="196"/>
        <v>5565.5505389141636</v>
      </c>
      <c r="AP279" s="79">
        <f t="shared" si="196"/>
        <v>5592.1315129586283</v>
      </c>
      <c r="AQ279" s="79">
        <f t="shared" si="196"/>
        <v>5618.1587697863142</v>
      </c>
      <c r="AR279" s="79">
        <f t="shared" si="196"/>
        <v>5646.3119758654448</v>
      </c>
      <c r="AS279" s="79">
        <f t="shared" si="196"/>
        <v>5672.5794133430927</v>
      </c>
      <c r="AT279" s="79">
        <f t="shared" si="196"/>
        <v>5700.0299014314314</v>
      </c>
      <c r="AU279" s="79">
        <f t="shared" si="196"/>
        <v>5727.3490998116213</v>
      </c>
      <c r="AV279" s="79">
        <f t="shared" si="196"/>
        <v>5755.011635958911</v>
      </c>
      <c r="AW279" s="79">
        <f t="shared" si="196"/>
        <v>5782.9578742447502</v>
      </c>
      <c r="AX279" s="79">
        <f t="shared" si="196"/>
        <v>5962.9894232509914</v>
      </c>
      <c r="AY279" s="79">
        <f t="shared" si="196"/>
        <v>6084.072876504868</v>
      </c>
      <c r="AZ279" s="79">
        <f t="shared" si="196"/>
        <v>6159.5646787351552</v>
      </c>
      <c r="BA279" s="79">
        <f t="shared" si="196"/>
        <v>6244.5819697786037</v>
      </c>
      <c r="BB279" s="79">
        <f t="shared" si="196"/>
        <v>6340.8646350910094</v>
      </c>
      <c r="BC279" s="79">
        <f t="shared" si="196"/>
        <v>6450.598427845478</v>
      </c>
      <c r="BD279" s="79">
        <f t="shared" si="196"/>
        <v>6546.5103761236996</v>
      </c>
      <c r="BE279" s="79">
        <f t="shared" si="196"/>
        <v>6637.4679072819445</v>
      </c>
      <c r="BF279" s="79">
        <f t="shared" si="196"/>
        <v>6731.4812769678174</v>
      </c>
    </row>
    <row r="280" spans="1:58">
      <c r="A280" s="82" t="s">
        <v>178</v>
      </c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  <c r="AN280" s="82"/>
      <c r="AO280" s="82"/>
      <c r="AP280" s="82"/>
      <c r="AQ280" s="82"/>
      <c r="AR280" s="82"/>
      <c r="AS280" s="82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  <c r="BF280" s="82"/>
    </row>
    <row r="281" spans="1:58">
      <c r="A281" s="82" t="s">
        <v>171</v>
      </c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119">
        <f t="shared" ref="X281:Z281" si="197">AVERAGE(X193:X195)</f>
        <v>2.7864430736673982</v>
      </c>
      <c r="Y281" s="119">
        <f t="shared" si="197"/>
        <v>2.8035911291317266</v>
      </c>
      <c r="Z281" s="119">
        <f t="shared" si="197"/>
        <v>2.8226769745370794</v>
      </c>
      <c r="AA281" s="119">
        <f>AVERAGE(AA193:AA195)</f>
        <v>2.8275364046054925</v>
      </c>
      <c r="AB281" s="119">
        <f>AVERAGE(AB193:AB195)</f>
        <v>2.8831165216358756</v>
      </c>
      <c r="AC281" s="119">
        <f>AVERAGE(AC193:AC195)</f>
        <v>2.8576520712007092</v>
      </c>
      <c r="AD281" s="119">
        <f>AVERAGE(AD193:AD195)</f>
        <v>2.8686711956201854</v>
      </c>
      <c r="AE281" s="119">
        <f t="shared" ref="AE281:BF281" si="198">AVERAGE(AE193:AE195)</f>
        <v>2.8943540404580279</v>
      </c>
      <c r="AF281" s="119">
        <f t="shared" si="198"/>
        <v>2.8859380843430844</v>
      </c>
      <c r="AG281" s="120">
        <f t="shared" si="198"/>
        <v>2.9101033741927567</v>
      </c>
      <c r="AH281" s="120">
        <f t="shared" si="198"/>
        <v>2.9066538479055013</v>
      </c>
      <c r="AI281" s="120">
        <f t="shared" si="198"/>
        <v>2.9197666736535131</v>
      </c>
      <c r="AJ281" s="120">
        <f t="shared" si="198"/>
        <v>2.9292623367248427</v>
      </c>
      <c r="AK281" s="120">
        <f t="shared" si="198"/>
        <v>2.9356154950237134</v>
      </c>
      <c r="AL281" s="120">
        <f t="shared" si="198"/>
        <v>2.9464465581191526</v>
      </c>
      <c r="AM281" s="120">
        <f t="shared" si="198"/>
        <v>2.9528245883268922</v>
      </c>
      <c r="AN281" s="120">
        <f t="shared" si="198"/>
        <v>2.9627727658803056</v>
      </c>
      <c r="AO281" s="120">
        <f t="shared" si="198"/>
        <v>2.9710372445486501</v>
      </c>
      <c r="AP281" s="120">
        <f t="shared" si="198"/>
        <v>2.9794148518375159</v>
      </c>
      <c r="AQ281" s="120">
        <f t="shared" si="198"/>
        <v>2.9882702892187503</v>
      </c>
      <c r="AR281" s="120">
        <f t="shared" si="198"/>
        <v>2.9965123626483408</v>
      </c>
      <c r="AS281" s="120">
        <f t="shared" si="198"/>
        <v>3.0053737878713052</v>
      </c>
      <c r="AT281" s="120">
        <f t="shared" si="198"/>
        <v>3.0138086870633138</v>
      </c>
      <c r="AU281" s="120">
        <f t="shared" si="198"/>
        <v>3.0223928228939783</v>
      </c>
      <c r="AV281" s="120">
        <f t="shared" si="198"/>
        <v>3.0309912817004272</v>
      </c>
      <c r="AW281" s="120">
        <f t="shared" si="198"/>
        <v>3.0395219151192343</v>
      </c>
      <c r="AX281" s="120">
        <f t="shared" si="198"/>
        <v>3.0481416448822558</v>
      </c>
      <c r="AY281" s="120">
        <f t="shared" si="198"/>
        <v>3.0566786766942386</v>
      </c>
      <c r="AZ281" s="120">
        <f t="shared" si="198"/>
        <v>3.0652619161489736</v>
      </c>
      <c r="BA281" s="120">
        <f t="shared" si="198"/>
        <v>3.0738333795990389</v>
      </c>
      <c r="BB281" s="120">
        <f t="shared" si="198"/>
        <v>3.0824010382111755</v>
      </c>
      <c r="BC281" s="120">
        <f t="shared" si="198"/>
        <v>3.0909789043311267</v>
      </c>
      <c r="BD281" s="120">
        <f t="shared" si="198"/>
        <v>3.0995437526633562</v>
      </c>
      <c r="BE281" s="120">
        <f t="shared" si="198"/>
        <v>3.1081188095725785</v>
      </c>
      <c r="BF281" s="120">
        <f t="shared" si="198"/>
        <v>3.1166892687011742</v>
      </c>
    </row>
    <row r="282" spans="1:58">
      <c r="A282" s="69" t="s">
        <v>172</v>
      </c>
      <c r="X282" s="112">
        <f t="shared" ref="X282:BF282" si="199">AVERAGE(X196:X198)</f>
        <v>2.7821708532899625</v>
      </c>
      <c r="Y282" s="112">
        <f t="shared" si="199"/>
        <v>2.8081381755170054</v>
      </c>
      <c r="Z282" s="112">
        <f t="shared" si="199"/>
        <v>2.8139298619199984</v>
      </c>
      <c r="AA282" s="112">
        <f t="shared" si="199"/>
        <v>2.8909107326931562</v>
      </c>
      <c r="AB282" s="112">
        <f t="shared" si="199"/>
        <v>2.8921670188138475</v>
      </c>
      <c r="AC282" s="112">
        <f t="shared" si="199"/>
        <v>2.9054973373591308</v>
      </c>
      <c r="AD282" s="112">
        <f t="shared" si="199"/>
        <v>2.8944266003935137</v>
      </c>
      <c r="AE282" s="112">
        <f t="shared" si="199"/>
        <v>2.9064039414252654</v>
      </c>
      <c r="AF282" s="112">
        <f t="shared" si="199"/>
        <v>2.902772504168325</v>
      </c>
      <c r="AG282" s="114">
        <f t="shared" si="199"/>
        <v>2.9365492831256419</v>
      </c>
      <c r="AH282" s="114">
        <f t="shared" si="199"/>
        <v>2.9322750958365584</v>
      </c>
      <c r="AI282" s="114">
        <f t="shared" si="199"/>
        <v>2.940038082278186</v>
      </c>
      <c r="AJ282" s="114">
        <f t="shared" si="199"/>
        <v>2.9495002061389477</v>
      </c>
      <c r="AK282" s="114">
        <f t="shared" si="199"/>
        <v>2.9579087413521781</v>
      </c>
      <c r="AL282" s="114">
        <f t="shared" si="199"/>
        <v>2.9695906668448333</v>
      </c>
      <c r="AM282" s="114">
        <f t="shared" si="199"/>
        <v>2.9749305314014673</v>
      </c>
      <c r="AN282" s="114">
        <f t="shared" si="199"/>
        <v>2.9842594241535365</v>
      </c>
      <c r="AO282" s="114">
        <f t="shared" si="199"/>
        <v>2.9929825364343565</v>
      </c>
      <c r="AP282" s="114">
        <f t="shared" si="199"/>
        <v>3.0016723409380037</v>
      </c>
      <c r="AQ282" s="114">
        <f t="shared" si="199"/>
        <v>3.0104407897085483</v>
      </c>
      <c r="AR282" s="114">
        <f t="shared" si="199"/>
        <v>3.0184612082318409</v>
      </c>
      <c r="AS282" s="114">
        <f t="shared" si="199"/>
        <v>3.0273387728086107</v>
      </c>
      <c r="AT282" s="114">
        <f t="shared" si="199"/>
        <v>3.0358892188281872</v>
      </c>
      <c r="AU282" s="114">
        <f t="shared" si="199"/>
        <v>3.0444782779217507</v>
      </c>
      <c r="AV282" s="114">
        <f t="shared" si="199"/>
        <v>3.0530324973942964</v>
      </c>
      <c r="AW282" s="114">
        <f t="shared" si="199"/>
        <v>3.0615418694475971</v>
      </c>
      <c r="AX282" s="114">
        <f t="shared" si="199"/>
        <v>3.070184691738211</v>
      </c>
      <c r="AY282" s="114">
        <f t="shared" si="199"/>
        <v>3.078735465897958</v>
      </c>
      <c r="AZ282" s="114">
        <f t="shared" si="199"/>
        <v>3.087309334125464</v>
      </c>
      <c r="BA282" s="114">
        <f t="shared" si="199"/>
        <v>3.0958736311195154</v>
      </c>
      <c r="BB282" s="114">
        <f t="shared" si="199"/>
        <v>3.104442840302307</v>
      </c>
      <c r="BC282" s="114">
        <f t="shared" si="199"/>
        <v>3.1130257807202866</v>
      </c>
      <c r="BD282" s="114">
        <f t="shared" si="199"/>
        <v>3.1215903178613114</v>
      </c>
      <c r="BE282" s="114">
        <f t="shared" si="199"/>
        <v>3.1301628965668926</v>
      </c>
      <c r="BF282" s="114">
        <f t="shared" si="199"/>
        <v>3.1387331425008544</v>
      </c>
    </row>
    <row r="283" spans="1:58">
      <c r="A283" s="69" t="s">
        <v>173</v>
      </c>
      <c r="X283" s="112">
        <f t="shared" ref="X283:BF283" si="200">AVERAGE(X199:X201)</f>
        <v>2.8628339982084703</v>
      </c>
      <c r="Y283" s="112">
        <f t="shared" si="200"/>
        <v>2.8080193060789695</v>
      </c>
      <c r="Z283" s="112">
        <f t="shared" si="200"/>
        <v>2.8300473040274539</v>
      </c>
      <c r="AA283" s="112">
        <f t="shared" si="200"/>
        <v>2.8779804116085193</v>
      </c>
      <c r="AB283" s="112">
        <f t="shared" si="200"/>
        <v>2.8706023733006298</v>
      </c>
      <c r="AC283" s="112">
        <f t="shared" si="200"/>
        <v>2.8250245131376794</v>
      </c>
      <c r="AD283" s="112">
        <f t="shared" si="200"/>
        <v>2.8863481537646591</v>
      </c>
      <c r="AE283" s="112">
        <f t="shared" si="200"/>
        <v>2.9043453915627659</v>
      </c>
      <c r="AF283" s="112">
        <f t="shared" si="200"/>
        <v>2.9077787506531707</v>
      </c>
      <c r="AG283" s="114">
        <f t="shared" si="200"/>
        <v>2.918819836483781</v>
      </c>
      <c r="AH283" s="114">
        <f t="shared" si="200"/>
        <v>2.9108742022795688</v>
      </c>
      <c r="AI283" s="114">
        <f t="shared" si="200"/>
        <v>2.9343230331160939</v>
      </c>
      <c r="AJ283" s="114">
        <f t="shared" si="200"/>
        <v>2.9404545452448212</v>
      </c>
      <c r="AK283" s="114">
        <f t="shared" si="200"/>
        <v>2.9479489556331537</v>
      </c>
      <c r="AL283" s="114">
        <f t="shared" si="200"/>
        <v>2.9561179042810664</v>
      </c>
      <c r="AM283" s="114">
        <f t="shared" si="200"/>
        <v>2.9634001840684099</v>
      </c>
      <c r="AN283" s="114">
        <f t="shared" si="200"/>
        <v>2.9747111095687835</v>
      </c>
      <c r="AO283" s="114">
        <f t="shared" si="200"/>
        <v>2.9819803973068626</v>
      </c>
      <c r="AP283" s="114">
        <f t="shared" si="200"/>
        <v>2.9905445383878533</v>
      </c>
      <c r="AQ283" s="114">
        <f t="shared" si="200"/>
        <v>2.9990523988062798</v>
      </c>
      <c r="AR283" s="114">
        <f t="shared" si="200"/>
        <v>3.0076590573329764</v>
      </c>
      <c r="AS283" s="114">
        <f t="shared" si="200"/>
        <v>3.0165721110174446</v>
      </c>
      <c r="AT283" s="114">
        <f t="shared" si="200"/>
        <v>3.0248090979584927</v>
      </c>
      <c r="AU283" s="114">
        <f t="shared" si="200"/>
        <v>3.033457026386138</v>
      </c>
      <c r="AV283" s="114">
        <f t="shared" si="200"/>
        <v>3.0420231662787987</v>
      </c>
      <c r="AW283" s="114">
        <f t="shared" si="200"/>
        <v>3.0506243231737629</v>
      </c>
      <c r="AX283" s="114">
        <f t="shared" si="200"/>
        <v>3.0592153504102182</v>
      </c>
      <c r="AY283" s="114">
        <f t="shared" si="200"/>
        <v>3.0677284034492978</v>
      </c>
      <c r="AZ283" s="114">
        <f t="shared" si="200"/>
        <v>3.0763299665622292</v>
      </c>
      <c r="BA283" s="114">
        <f t="shared" si="200"/>
        <v>3.0848978108280192</v>
      </c>
      <c r="BB283" s="114">
        <f t="shared" si="200"/>
        <v>3.093474510898877</v>
      </c>
      <c r="BC283" s="114">
        <f t="shared" si="200"/>
        <v>3.1020428828124413</v>
      </c>
      <c r="BD283" s="114">
        <f t="shared" si="200"/>
        <v>3.1106076729346057</v>
      </c>
      <c r="BE283" s="114">
        <f t="shared" si="200"/>
        <v>3.1191862927753919</v>
      </c>
      <c r="BF283" s="114">
        <f t="shared" si="200"/>
        <v>3.1277557193684857</v>
      </c>
    </row>
    <row r="284" spans="1:58">
      <c r="A284" s="69" t="s">
        <v>174</v>
      </c>
      <c r="X284" s="112">
        <f t="shared" ref="X284:BF284" si="201">AVERAGE(X202:X204)</f>
        <v>2.8511323789402554</v>
      </c>
      <c r="Y284" s="112">
        <f t="shared" si="201"/>
        <v>2.8258378737978771</v>
      </c>
      <c r="Z284" s="112">
        <f t="shared" si="201"/>
        <v>2.867748813297561</v>
      </c>
      <c r="AA284" s="112">
        <f t="shared" si="201"/>
        <v>2.8936196586098517</v>
      </c>
      <c r="AB284" s="112">
        <f t="shared" si="201"/>
        <v>2.8446173287711591</v>
      </c>
      <c r="AC284" s="112">
        <f t="shared" si="201"/>
        <v>2.7335251543574413</v>
      </c>
      <c r="AD284" s="112">
        <f t="shared" si="201"/>
        <v>2.9186113202965349</v>
      </c>
      <c r="AE284" s="112">
        <f t="shared" si="201"/>
        <v>2.9085101575041339</v>
      </c>
      <c r="AF284" s="112">
        <f t="shared" si="201"/>
        <v>2.9209668142848266</v>
      </c>
      <c r="AG284" s="114">
        <f t="shared" si="201"/>
        <v>2.9052461550428195</v>
      </c>
      <c r="AH284" s="114">
        <f t="shared" si="201"/>
        <v>2.9004033616107336</v>
      </c>
      <c r="AI284" s="114">
        <f t="shared" si="201"/>
        <v>2.9433336117820783</v>
      </c>
      <c r="AJ284" s="114">
        <f t="shared" si="201"/>
        <v>2.9387816221106284</v>
      </c>
      <c r="AK284" s="114">
        <f t="shared" si="201"/>
        <v>2.9474874856801141</v>
      </c>
      <c r="AL284" s="114">
        <f t="shared" si="201"/>
        <v>2.9519411876365651</v>
      </c>
      <c r="AM284" s="114">
        <f t="shared" si="201"/>
        <v>2.9625015202958882</v>
      </c>
      <c r="AN284" s="114">
        <f t="shared" si="201"/>
        <v>2.9753859768023463</v>
      </c>
      <c r="AO284" s="114">
        <f t="shared" si="201"/>
        <v>2.9801779539307987</v>
      </c>
      <c r="AP284" s="114">
        <f t="shared" si="201"/>
        <v>2.9893290426037282</v>
      </c>
      <c r="AQ284" s="114">
        <f t="shared" si="201"/>
        <v>2.997501659666399</v>
      </c>
      <c r="AR284" s="114">
        <f t="shared" si="201"/>
        <v>3.0068486234081901</v>
      </c>
      <c r="AS284" s="114">
        <f t="shared" si="201"/>
        <v>3.0155986582508176</v>
      </c>
      <c r="AT284" s="114">
        <f t="shared" si="201"/>
        <v>3.023464319902279</v>
      </c>
      <c r="AU284" s="114">
        <f t="shared" si="201"/>
        <v>3.0323194959822835</v>
      </c>
      <c r="AV284" s="114">
        <f t="shared" si="201"/>
        <v>3.0408533153069217</v>
      </c>
      <c r="AW284" s="114">
        <f t="shared" si="201"/>
        <v>3.0495577743858924</v>
      </c>
      <c r="AX284" s="114">
        <f t="shared" si="201"/>
        <v>3.0580589473605748</v>
      </c>
      <c r="AY284" s="114">
        <f t="shared" si="201"/>
        <v>3.0665487263943434</v>
      </c>
      <c r="AZ284" s="114">
        <f t="shared" si="201"/>
        <v>3.0751973832589177</v>
      </c>
      <c r="BA284" s="114">
        <f t="shared" si="201"/>
        <v>3.0837546908619333</v>
      </c>
      <c r="BB284" s="114">
        <f t="shared" si="201"/>
        <v>3.0923407078499321</v>
      </c>
      <c r="BC284" s="114">
        <f t="shared" si="201"/>
        <v>3.1008899369689424</v>
      </c>
      <c r="BD284" s="114">
        <f t="shared" si="201"/>
        <v>3.1094603770912812</v>
      </c>
      <c r="BE284" s="114">
        <f t="shared" si="201"/>
        <v>3.1180456797349314</v>
      </c>
      <c r="BF284" s="114">
        <f t="shared" si="201"/>
        <v>3.1266114281930224</v>
      </c>
    </row>
    <row r="285" spans="1:58" ht="12" thickBot="1">
      <c r="A285" s="69" t="s">
        <v>138</v>
      </c>
      <c r="X285" s="112">
        <f t="shared" ref="X285:BF285" si="202">X205</f>
        <v>2.8206450760265214</v>
      </c>
      <c r="Y285" s="112">
        <f t="shared" si="202"/>
        <v>2.8113966211313941</v>
      </c>
      <c r="Z285" s="112">
        <f t="shared" si="202"/>
        <v>2.8336007384455226</v>
      </c>
      <c r="AA285" s="112">
        <f t="shared" si="202"/>
        <v>2.8725118018792544</v>
      </c>
      <c r="AB285" s="112">
        <f t="shared" si="202"/>
        <v>2.8726258106303781</v>
      </c>
      <c r="AC285" s="112">
        <f t="shared" si="202"/>
        <v>2.8304247690137401</v>
      </c>
      <c r="AD285" s="112">
        <f t="shared" si="202"/>
        <v>2.8920143175187234</v>
      </c>
      <c r="AE285" s="112">
        <f t="shared" si="202"/>
        <v>2.9034033827375487</v>
      </c>
      <c r="AF285" s="112">
        <f t="shared" si="202"/>
        <v>2.9043640383623512</v>
      </c>
      <c r="AG285" s="114">
        <f t="shared" si="202"/>
        <v>2.9176796622112504</v>
      </c>
      <c r="AH285" s="114">
        <f t="shared" si="202"/>
        <v>2.9125516269080909</v>
      </c>
      <c r="AI285" s="114">
        <f t="shared" si="202"/>
        <v>2.9343653502074676</v>
      </c>
      <c r="AJ285" s="114">
        <f t="shared" si="202"/>
        <v>2.9394996775548101</v>
      </c>
      <c r="AK285" s="114">
        <f t="shared" si="202"/>
        <v>2.9472401694222898</v>
      </c>
      <c r="AL285" s="114">
        <f t="shared" si="202"/>
        <v>2.9560240792204042</v>
      </c>
      <c r="AM285" s="114">
        <f t="shared" si="202"/>
        <v>2.9634142060231645</v>
      </c>
      <c r="AN285" s="114">
        <f t="shared" si="202"/>
        <v>2.9742823191012424</v>
      </c>
      <c r="AO285" s="114">
        <f t="shared" si="202"/>
        <v>2.9815445330551671</v>
      </c>
      <c r="AP285" s="114">
        <f t="shared" si="202"/>
        <v>2.9902401934417751</v>
      </c>
      <c r="AQ285" s="114">
        <f t="shared" si="202"/>
        <v>2.9988162843499944</v>
      </c>
      <c r="AR285" s="114">
        <f t="shared" si="202"/>
        <v>3.0073703129053366</v>
      </c>
      <c r="AS285" s="114">
        <f t="shared" si="202"/>
        <v>3.0162208324870448</v>
      </c>
      <c r="AT285" s="114">
        <f t="shared" si="202"/>
        <v>3.0244928309380676</v>
      </c>
      <c r="AU285" s="114">
        <f t="shared" si="202"/>
        <v>3.0331619057960371</v>
      </c>
      <c r="AV285" s="114">
        <f t="shared" si="202"/>
        <v>3.0417250651701111</v>
      </c>
      <c r="AW285" s="114">
        <f t="shared" si="202"/>
        <v>3.0503114705316214</v>
      </c>
      <c r="AX285" s="114">
        <f t="shared" si="202"/>
        <v>3.0589001585978153</v>
      </c>
      <c r="AY285" s="114">
        <f t="shared" si="202"/>
        <v>3.0674228181089593</v>
      </c>
      <c r="AZ285" s="114">
        <f t="shared" si="202"/>
        <v>3.0760246500238964</v>
      </c>
      <c r="BA285" s="114">
        <f t="shared" si="202"/>
        <v>3.0845898781021268</v>
      </c>
      <c r="BB285" s="114">
        <f t="shared" si="202"/>
        <v>3.0931647743155728</v>
      </c>
      <c r="BC285" s="114">
        <f t="shared" si="202"/>
        <v>3.1017343762081993</v>
      </c>
      <c r="BD285" s="114">
        <f t="shared" si="202"/>
        <v>3.1103005301376392</v>
      </c>
      <c r="BE285" s="114">
        <f t="shared" si="202"/>
        <v>3.1188784196624479</v>
      </c>
      <c r="BF285" s="114">
        <f t="shared" si="202"/>
        <v>3.1274473896908841</v>
      </c>
    </row>
    <row r="286" spans="1:58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</row>
    <row r="288" spans="1:58" ht="12" thickBot="1">
      <c r="A288" s="105" t="s">
        <v>179</v>
      </c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6"/>
      <c r="AA288" s="106"/>
      <c r="AB288" s="106"/>
      <c r="AC288" s="106"/>
    </row>
    <row r="289" spans="1:83" ht="12" thickBot="1">
      <c r="A289" s="84"/>
      <c r="B289" s="85" t="s">
        <v>66</v>
      </c>
      <c r="C289" s="86" t="s">
        <v>67</v>
      </c>
      <c r="D289" s="86" t="s">
        <v>68</v>
      </c>
      <c r="E289" s="86" t="s">
        <v>69</v>
      </c>
      <c r="F289" s="86" t="s">
        <v>70</v>
      </c>
      <c r="G289" s="86" t="s">
        <v>71</v>
      </c>
      <c r="H289" s="86" t="s">
        <v>72</v>
      </c>
      <c r="I289" s="86" t="s">
        <v>73</v>
      </c>
      <c r="J289" s="86" t="s">
        <v>74</v>
      </c>
      <c r="K289" s="86" t="s">
        <v>75</v>
      </c>
      <c r="L289" s="86" t="s">
        <v>76</v>
      </c>
      <c r="M289" s="86" t="s">
        <v>77</v>
      </c>
      <c r="N289" s="86" t="s">
        <v>78</v>
      </c>
      <c r="O289" s="86" t="s">
        <v>79</v>
      </c>
      <c r="P289" s="86" t="s">
        <v>80</v>
      </c>
      <c r="Q289" s="86" t="s">
        <v>81</v>
      </c>
      <c r="R289" s="86" t="s">
        <v>82</v>
      </c>
      <c r="S289" s="86" t="s">
        <v>83</v>
      </c>
      <c r="T289" s="86" t="s">
        <v>84</v>
      </c>
      <c r="U289" s="86" t="s">
        <v>85</v>
      </c>
      <c r="V289" s="86" t="s">
        <v>86</v>
      </c>
      <c r="W289" s="86" t="s">
        <v>87</v>
      </c>
      <c r="X289" s="86" t="s">
        <v>88</v>
      </c>
      <c r="Y289" s="86" t="s">
        <v>89</v>
      </c>
      <c r="Z289" s="86" t="s">
        <v>90</v>
      </c>
      <c r="AA289" s="86" t="s">
        <v>91</v>
      </c>
      <c r="AB289" s="86" t="s">
        <v>92</v>
      </c>
      <c r="AC289" s="86" t="s">
        <v>93</v>
      </c>
      <c r="AD289" s="86" t="str">
        <f>AD2</f>
        <v>21/22</v>
      </c>
      <c r="AE289" s="86" t="str">
        <f t="shared" ref="AE289:BF289" si="203">AE2</f>
        <v>22/23</v>
      </c>
      <c r="AF289" s="86" t="str">
        <f t="shared" si="203"/>
        <v>23/24</v>
      </c>
      <c r="AG289" s="86" t="str">
        <f t="shared" si="203"/>
        <v>24/25</v>
      </c>
      <c r="AH289" s="86" t="str">
        <f t="shared" si="203"/>
        <v>25/26</v>
      </c>
      <c r="AI289" s="86" t="str">
        <f t="shared" si="203"/>
        <v>26/27</v>
      </c>
      <c r="AJ289" s="86" t="str">
        <f t="shared" si="203"/>
        <v>27/28</v>
      </c>
      <c r="AK289" s="86" t="str">
        <f t="shared" si="203"/>
        <v>28/29</v>
      </c>
      <c r="AL289" s="86" t="str">
        <f t="shared" si="203"/>
        <v>29/30</v>
      </c>
      <c r="AM289" s="86" t="str">
        <f t="shared" si="203"/>
        <v>30/31</v>
      </c>
      <c r="AN289" s="86" t="str">
        <f t="shared" si="203"/>
        <v>31/32</v>
      </c>
      <c r="AO289" s="86" t="str">
        <f t="shared" si="203"/>
        <v>32/33</v>
      </c>
      <c r="AP289" s="86" t="str">
        <f t="shared" si="203"/>
        <v>33/34</v>
      </c>
      <c r="AQ289" s="86" t="str">
        <f t="shared" si="203"/>
        <v>34/35</v>
      </c>
      <c r="AR289" s="86" t="str">
        <f t="shared" si="203"/>
        <v>35/36</v>
      </c>
      <c r="AS289" s="86" t="str">
        <f t="shared" si="203"/>
        <v>36/37</v>
      </c>
      <c r="AT289" s="86" t="str">
        <f t="shared" si="203"/>
        <v>37/38</v>
      </c>
      <c r="AU289" s="86" t="str">
        <f t="shared" si="203"/>
        <v>38/39</v>
      </c>
      <c r="AV289" s="86" t="str">
        <f t="shared" si="203"/>
        <v>39/40</v>
      </c>
      <c r="AW289" s="86" t="str">
        <f t="shared" si="203"/>
        <v>40/41</v>
      </c>
      <c r="AX289" s="86" t="str">
        <f t="shared" si="203"/>
        <v>41/42</v>
      </c>
      <c r="AY289" s="86" t="str">
        <f t="shared" si="203"/>
        <v>42/43</v>
      </c>
      <c r="AZ289" s="86" t="str">
        <f t="shared" si="203"/>
        <v>43/44</v>
      </c>
      <c r="BA289" s="86" t="str">
        <f t="shared" si="203"/>
        <v>44/45</v>
      </c>
      <c r="BB289" s="86" t="str">
        <f t="shared" si="203"/>
        <v>45/46</v>
      </c>
      <c r="BC289" s="86" t="str">
        <f t="shared" si="203"/>
        <v>42/47</v>
      </c>
      <c r="BD289" s="86" t="str">
        <f t="shared" si="203"/>
        <v>42/48</v>
      </c>
      <c r="BE289" s="86" t="str">
        <f t="shared" si="203"/>
        <v>42/49</v>
      </c>
      <c r="BF289" s="86" t="str">
        <f t="shared" si="203"/>
        <v>42/50</v>
      </c>
      <c r="BV289" s="96"/>
      <c r="BW289" s="96"/>
      <c r="BX289" s="96"/>
      <c r="BY289" s="71"/>
      <c r="BZ289" s="71"/>
      <c r="CA289" s="71"/>
      <c r="CB289" s="71"/>
      <c r="CC289" s="71"/>
      <c r="CD289" s="71"/>
      <c r="CE289" s="71"/>
    </row>
    <row r="290" spans="1:83">
      <c r="A290" s="69" t="s">
        <v>37</v>
      </c>
      <c r="X290" s="76">
        <f t="shared" ref="X290:AL301" si="204">X129*X193</f>
        <v>1077.82656</v>
      </c>
      <c r="Y290" s="76">
        <f t="shared" si="204"/>
        <v>1104.1465579445719</v>
      </c>
      <c r="Z290" s="76">
        <f t="shared" si="204"/>
        <v>1121.5290526513097</v>
      </c>
      <c r="AA290" s="76">
        <f t="shared" si="204"/>
        <v>1139.2496645571414</v>
      </c>
      <c r="AB290" s="76">
        <f t="shared" si="204"/>
        <v>1069.1309012984939</v>
      </c>
      <c r="AC290" s="76">
        <f t="shared" si="204"/>
        <v>1027.5794582663896</v>
      </c>
      <c r="AD290" s="76">
        <f t="shared" si="204"/>
        <v>1054.0481803340081</v>
      </c>
      <c r="AE290" s="76">
        <f>AE129*AE193</f>
        <v>1030.5439095504498</v>
      </c>
      <c r="AF290" s="76">
        <f>AF129*AF193</f>
        <v>1148.7877189952183</v>
      </c>
      <c r="AG290" s="76">
        <f>AG129*AG193</f>
        <v>1189.1188041356152</v>
      </c>
      <c r="AH290" s="79">
        <f t="shared" ref="AH290:BF301" si="205">AH129*AH193</f>
        <v>1130.6976481798069</v>
      </c>
      <c r="AI290" s="79">
        <f t="shared" si="205"/>
        <v>1128.4870721470227</v>
      </c>
      <c r="AJ290" s="79">
        <f t="shared" si="205"/>
        <v>1134.3752267454599</v>
      </c>
      <c r="AK290" s="79">
        <f t="shared" si="205"/>
        <v>1159.7257510120264</v>
      </c>
      <c r="AL290" s="79">
        <f t="shared" si="205"/>
        <v>1171.5326260368677</v>
      </c>
      <c r="AM290" s="79">
        <f t="shared" si="205"/>
        <v>1179.6139100029309</v>
      </c>
      <c r="AN290" s="79">
        <f t="shared" si="205"/>
        <v>1195.3184816133389</v>
      </c>
      <c r="AO290" s="79">
        <f t="shared" si="205"/>
        <v>1208.6570233468481</v>
      </c>
      <c r="AP290" s="79">
        <f t="shared" si="205"/>
        <v>1224.6674600012191</v>
      </c>
      <c r="AQ290" s="79">
        <f t="shared" si="205"/>
        <v>1238.2773034880647</v>
      </c>
      <c r="AR290" s="79">
        <f t="shared" si="205"/>
        <v>1251.4248044429135</v>
      </c>
      <c r="AS290" s="79">
        <f t="shared" si="205"/>
        <v>1266.3395044238107</v>
      </c>
      <c r="AT290" s="79">
        <f t="shared" si="205"/>
        <v>1281.2674356493237</v>
      </c>
      <c r="AU290" s="79">
        <f t="shared" si="205"/>
        <v>1296.271700263266</v>
      </c>
      <c r="AV290" s="79">
        <f t="shared" si="205"/>
        <v>1311.192174469624</v>
      </c>
      <c r="AW290" s="79">
        <f t="shared" si="205"/>
        <v>1326.2459382801342</v>
      </c>
      <c r="AX290" s="79">
        <f t="shared" si="205"/>
        <v>1341.6720007270399</v>
      </c>
      <c r="AY290" s="79">
        <f t="shared" si="205"/>
        <v>1382.7241224993079</v>
      </c>
      <c r="AZ290" s="79">
        <f t="shared" si="205"/>
        <v>1403.4688723010975</v>
      </c>
      <c r="BA290" s="79">
        <f t="shared" si="205"/>
        <v>1425.3561915189812</v>
      </c>
      <c r="BB290" s="79">
        <f t="shared" si="205"/>
        <v>1448.6877904471387</v>
      </c>
      <c r="BC290" s="79">
        <f t="shared" si="205"/>
        <v>1473.6980810028047</v>
      </c>
      <c r="BD290" s="79">
        <f t="shared" si="205"/>
        <v>1500.6883435775742</v>
      </c>
      <c r="BE290" s="79">
        <f t="shared" si="205"/>
        <v>1524.7951791137393</v>
      </c>
      <c r="BF290" s="79">
        <f t="shared" si="205"/>
        <v>1549.5785903007318</v>
      </c>
      <c r="CC290" s="112"/>
      <c r="CD290" s="112"/>
      <c r="CE290" s="112"/>
    </row>
    <row r="291" spans="1:83">
      <c r="A291" s="69" t="s">
        <v>38</v>
      </c>
      <c r="X291" s="76">
        <f t="shared" si="204"/>
        <v>1096.3964957925564</v>
      </c>
      <c r="Y291" s="76">
        <f t="shared" si="204"/>
        <v>1147.4528768562125</v>
      </c>
      <c r="Z291" s="76">
        <f t="shared" si="204"/>
        <v>1194.5269991439254</v>
      </c>
      <c r="AA291" s="76">
        <f t="shared" si="204"/>
        <v>1209.2165703000435</v>
      </c>
      <c r="AB291" s="76">
        <f t="shared" si="204"/>
        <v>1144.1726400904197</v>
      </c>
      <c r="AC291" s="76">
        <f t="shared" si="204"/>
        <v>1110.4226183507633</v>
      </c>
      <c r="AD291" s="76">
        <f t="shared" si="204"/>
        <v>1235.3903752456083</v>
      </c>
      <c r="AE291" s="76">
        <f t="shared" si="204"/>
        <v>1197.3090361393663</v>
      </c>
      <c r="AF291" s="76">
        <f t="shared" si="204"/>
        <v>1217.7641348235775</v>
      </c>
      <c r="AG291" s="76">
        <f t="shared" si="204"/>
        <v>1247.5158339982293</v>
      </c>
      <c r="AH291" s="79">
        <f t="shared" si="205"/>
        <v>1251.26376077028</v>
      </c>
      <c r="AI291" s="79">
        <f t="shared" si="205"/>
        <v>1258.0638527194012</v>
      </c>
      <c r="AJ291" s="79">
        <f t="shared" si="205"/>
        <v>1271.111054094431</v>
      </c>
      <c r="AK291" s="79">
        <f t="shared" si="205"/>
        <v>1291.3730479991884</v>
      </c>
      <c r="AL291" s="79">
        <f t="shared" si="205"/>
        <v>1298.5002038790162</v>
      </c>
      <c r="AM291" s="79">
        <f t="shared" si="205"/>
        <v>1312.9511330325734</v>
      </c>
      <c r="AN291" s="79">
        <f t="shared" si="205"/>
        <v>1330.8423531269739</v>
      </c>
      <c r="AO291" s="79">
        <f t="shared" si="205"/>
        <v>1345.7720366630501</v>
      </c>
      <c r="AP291" s="79">
        <f t="shared" si="205"/>
        <v>1361.5735604900819</v>
      </c>
      <c r="AQ291" s="79">
        <f t="shared" si="205"/>
        <v>1375.7044880029923</v>
      </c>
      <c r="AR291" s="79">
        <f t="shared" si="205"/>
        <v>1391.4772333213771</v>
      </c>
      <c r="AS291" s="79">
        <f t="shared" si="205"/>
        <v>1407.9311743705905</v>
      </c>
      <c r="AT291" s="79">
        <f t="shared" si="205"/>
        <v>1423.9367220498198</v>
      </c>
      <c r="AU291" s="79">
        <f t="shared" si="205"/>
        <v>1440.1129813811874</v>
      </c>
      <c r="AV291" s="79">
        <f t="shared" si="205"/>
        <v>1456.3862079160795</v>
      </c>
      <c r="AW291" s="79">
        <f t="shared" si="205"/>
        <v>1473.0262946022867</v>
      </c>
      <c r="AX291" s="79">
        <f t="shared" si="205"/>
        <v>1489.9201825547414</v>
      </c>
      <c r="AY291" s="79">
        <f t="shared" si="205"/>
        <v>1586.5229415657325</v>
      </c>
      <c r="AZ291" s="79">
        <f t="shared" si="205"/>
        <v>1619.7899366516258</v>
      </c>
      <c r="BA291" s="79">
        <f t="shared" si="205"/>
        <v>1656.5635504394545</v>
      </c>
      <c r="BB291" s="79">
        <f t="shared" si="205"/>
        <v>1697.5483383110941</v>
      </c>
      <c r="BC291" s="79">
        <f t="shared" si="205"/>
        <v>1743.5285506823575</v>
      </c>
      <c r="BD291" s="79">
        <f t="shared" si="205"/>
        <v>1795.4953788915022</v>
      </c>
      <c r="BE291" s="79">
        <f t="shared" si="205"/>
        <v>1838.2693705196075</v>
      </c>
      <c r="BF291" s="79">
        <f t="shared" si="205"/>
        <v>1882.9830123524032</v>
      </c>
      <c r="CC291" s="112"/>
      <c r="CD291" s="112"/>
      <c r="CE291" s="112"/>
    </row>
    <row r="292" spans="1:83">
      <c r="A292" s="69" t="s">
        <v>39</v>
      </c>
      <c r="X292" s="76">
        <f t="shared" si="204"/>
        <v>1072.4881783835979</v>
      </c>
      <c r="Y292" s="76">
        <f t="shared" si="204"/>
        <v>1122.6678849289192</v>
      </c>
      <c r="Z292" s="76">
        <f>Z131*Z195</f>
        <v>1207.2034628095187</v>
      </c>
      <c r="AA292" s="76">
        <f t="shared" si="204"/>
        <v>1166.0569319956392</v>
      </c>
      <c r="AB292" s="76">
        <f t="shared" si="204"/>
        <v>1155.8409880058978</v>
      </c>
      <c r="AC292" s="76">
        <f t="shared" si="204"/>
        <v>1119.6949132445354</v>
      </c>
      <c r="AD292" s="76">
        <f t="shared" si="204"/>
        <v>1233.2484424118829</v>
      </c>
      <c r="AE292" s="76">
        <f t="shared" si="204"/>
        <v>1203.3118186123261</v>
      </c>
      <c r="AF292" s="76">
        <f t="shared" si="204"/>
        <v>1212.6842743000614</v>
      </c>
      <c r="AG292" s="76">
        <f t="shared" si="204"/>
        <v>1265.6627690732983</v>
      </c>
      <c r="AH292" s="79">
        <f t="shared" si="205"/>
        <v>1229.1783959461993</v>
      </c>
      <c r="AI292" s="79">
        <f t="shared" si="205"/>
        <v>1233.5084402583982</v>
      </c>
      <c r="AJ292" s="79">
        <f t="shared" si="205"/>
        <v>1234.5930769942511</v>
      </c>
      <c r="AK292" s="79">
        <f t="shared" si="205"/>
        <v>1242.2489780064941</v>
      </c>
      <c r="AL292" s="79">
        <f t="shared" si="205"/>
        <v>1252.9256340797392</v>
      </c>
      <c r="AM292" s="79">
        <f t="shared" si="205"/>
        <v>1274.9713761491525</v>
      </c>
      <c r="AN292" s="79">
        <f t="shared" si="205"/>
        <v>1291.3508493707034</v>
      </c>
      <c r="AO292" s="79">
        <f t="shared" si="205"/>
        <v>1302.6213774813448</v>
      </c>
      <c r="AP292" s="79">
        <f t="shared" si="205"/>
        <v>1317.159525812327</v>
      </c>
      <c r="AQ292" s="79">
        <f t="shared" si="205"/>
        <v>1332.2831861394143</v>
      </c>
      <c r="AR292" s="79">
        <f t="shared" si="205"/>
        <v>1348.4916079452446</v>
      </c>
      <c r="AS292" s="79">
        <f t="shared" si="205"/>
        <v>1363.667241159297</v>
      </c>
      <c r="AT292" s="79">
        <f t="shared" si="205"/>
        <v>1379.0022377610219</v>
      </c>
      <c r="AU292" s="79">
        <f t="shared" si="205"/>
        <v>1394.6766565265543</v>
      </c>
      <c r="AV292" s="79">
        <f t="shared" si="205"/>
        <v>1410.7804552374912</v>
      </c>
      <c r="AW292" s="79">
        <f t="shared" si="205"/>
        <v>1426.9526121852471</v>
      </c>
      <c r="AX292" s="79">
        <f t="shared" si="205"/>
        <v>1443.1972352702514</v>
      </c>
      <c r="AY292" s="79">
        <f t="shared" si="205"/>
        <v>1528.9530397958717</v>
      </c>
      <c r="AZ292" s="79">
        <f t="shared" si="205"/>
        <v>1559.6688872341422</v>
      </c>
      <c r="BA292" s="79">
        <f t="shared" si="205"/>
        <v>1593.4006590708661</v>
      </c>
      <c r="BB292" s="79">
        <f t="shared" si="205"/>
        <v>1630.7921318678386</v>
      </c>
      <c r="BC292" s="79">
        <f t="shared" si="205"/>
        <v>1672.5237639902932</v>
      </c>
      <c r="BD292" s="79">
        <f t="shared" si="205"/>
        <v>1719.5093537302093</v>
      </c>
      <c r="BE292" s="79">
        <f t="shared" si="205"/>
        <v>1758.5095835994864</v>
      </c>
      <c r="BF292" s="79">
        <f t="shared" si="205"/>
        <v>1799.2004997113029</v>
      </c>
      <c r="CC292" s="112"/>
      <c r="CD292" s="112"/>
      <c r="CE292" s="112"/>
    </row>
    <row r="293" spans="1:83">
      <c r="A293" s="69" t="s">
        <v>40</v>
      </c>
      <c r="X293" s="76">
        <f t="shared" si="204"/>
        <v>1127.4351397203855</v>
      </c>
      <c r="Y293" s="76">
        <f t="shared" si="204"/>
        <v>1198.3408316864088</v>
      </c>
      <c r="Z293" s="76">
        <f>Z132*Z196</f>
        <v>1233.6026879486801</v>
      </c>
      <c r="AA293" s="76">
        <f t="shared" si="204"/>
        <v>1199.0407086458301</v>
      </c>
      <c r="AB293" s="76">
        <f t="shared" si="204"/>
        <v>1229.1290105484468</v>
      </c>
      <c r="AC293" s="76">
        <f t="shared" si="204"/>
        <v>1132.801234706232</v>
      </c>
      <c r="AD293" s="76">
        <f t="shared" si="204"/>
        <v>1272.5169756943217</v>
      </c>
      <c r="AE293" s="76">
        <f t="shared" si="204"/>
        <v>1139.472453915846</v>
      </c>
      <c r="AF293" s="76">
        <f t="shared" si="204"/>
        <v>1285.1736977386938</v>
      </c>
      <c r="AG293" s="79">
        <f t="shared" si="204"/>
        <v>1296.8542633283698</v>
      </c>
      <c r="AH293" s="79">
        <f t="shared" si="204"/>
        <v>1255.0235452575862</v>
      </c>
      <c r="AI293" s="79">
        <f t="shared" si="204"/>
        <v>1278.691678067881</v>
      </c>
      <c r="AJ293" s="79">
        <f t="shared" si="204"/>
        <v>1274.517539545968</v>
      </c>
      <c r="AK293" s="79">
        <f t="shared" si="204"/>
        <v>1295.9412985977904</v>
      </c>
      <c r="AL293" s="79">
        <f t="shared" si="204"/>
        <v>1310.1098035623957</v>
      </c>
      <c r="AM293" s="79">
        <f t="shared" si="205"/>
        <v>1320.971186712402</v>
      </c>
      <c r="AN293" s="79">
        <f t="shared" si="205"/>
        <v>1341.264733778987</v>
      </c>
      <c r="AO293" s="79">
        <f t="shared" si="205"/>
        <v>1353.5223212352146</v>
      </c>
      <c r="AP293" s="79">
        <f t="shared" si="205"/>
        <v>1370.2845299943765</v>
      </c>
      <c r="AQ293" s="79">
        <f t="shared" si="205"/>
        <v>1384.9698479767035</v>
      </c>
      <c r="AR293" s="79">
        <f t="shared" si="205"/>
        <v>1400.4641298123038</v>
      </c>
      <c r="AS293" s="79">
        <f t="shared" si="205"/>
        <v>1417.0154940684054</v>
      </c>
      <c r="AT293" s="79">
        <f t="shared" si="205"/>
        <v>1432.9468029160578</v>
      </c>
      <c r="AU293" s="79">
        <f t="shared" si="205"/>
        <v>1449.2497069777198</v>
      </c>
      <c r="AV293" s="79">
        <f t="shared" si="205"/>
        <v>1465.6205735740687</v>
      </c>
      <c r="AW293" s="79">
        <f t="shared" si="205"/>
        <v>1482.2247077692971</v>
      </c>
      <c r="AX293" s="79">
        <f t="shared" si="205"/>
        <v>1499.2016190628863</v>
      </c>
      <c r="AY293" s="79">
        <f t="shared" si="205"/>
        <v>1605.4019039250061</v>
      </c>
      <c r="AZ293" s="79">
        <f t="shared" si="205"/>
        <v>1640.716510340118</v>
      </c>
      <c r="BA293" s="79">
        <f t="shared" si="205"/>
        <v>1679.8860436867126</v>
      </c>
      <c r="BB293" s="79">
        <f t="shared" si="205"/>
        <v>1723.7739697723334</v>
      </c>
      <c r="BC293" s="79">
        <f t="shared" si="205"/>
        <v>1773.2532773945773</v>
      </c>
      <c r="BD293" s="79">
        <f t="shared" si="205"/>
        <v>1829.4284069388523</v>
      </c>
      <c r="BE293" s="79">
        <f t="shared" si="205"/>
        <v>1875.2915478139018</v>
      </c>
      <c r="BF293" s="79">
        <f t="shared" si="205"/>
        <v>1923.3115303739937</v>
      </c>
      <c r="CC293" s="112"/>
      <c r="CD293" s="112"/>
      <c r="CE293" s="112"/>
    </row>
    <row r="294" spans="1:83">
      <c r="A294" s="69" t="s">
        <v>30</v>
      </c>
      <c r="W294" s="76">
        <f t="shared" ref="W294:W301" si="206">W133*W197</f>
        <v>1116.73974</v>
      </c>
      <c r="X294" s="76">
        <f t="shared" si="204"/>
        <v>1114.6632421204547</v>
      </c>
      <c r="Y294" s="76">
        <f t="shared" si="204"/>
        <v>1209.9318109462961</v>
      </c>
      <c r="Z294" s="76">
        <f t="shared" si="204"/>
        <v>1225.7849952652418</v>
      </c>
      <c r="AA294" s="76">
        <f t="shared" si="204"/>
        <v>1189.4919255846883</v>
      </c>
      <c r="AB294" s="76">
        <f t="shared" si="204"/>
        <v>1239.5284033603784</v>
      </c>
      <c r="AC294" s="76">
        <f t="shared" si="204"/>
        <v>1109.0216333662904</v>
      </c>
      <c r="AD294" s="76">
        <f t="shared" si="204"/>
        <v>1255.9823273284194</v>
      </c>
      <c r="AE294" s="76">
        <f t="shared" si="204"/>
        <v>1175.3996468147511</v>
      </c>
      <c r="AF294" s="76">
        <f>AF133*AF197</f>
        <v>1187.4184601049476</v>
      </c>
      <c r="AG294" s="79">
        <f t="shared" si="204"/>
        <v>1268.2068225590965</v>
      </c>
      <c r="AH294" s="79">
        <f t="shared" si="204"/>
        <v>1217.8781627856381</v>
      </c>
      <c r="AI294" s="79">
        <f t="shared" si="204"/>
        <v>1238.5678641518184</v>
      </c>
      <c r="AJ294" s="79">
        <f t="shared" si="204"/>
        <v>1250.1825856974685</v>
      </c>
      <c r="AK294" s="79">
        <f t="shared" si="204"/>
        <v>1260.1542340430162</v>
      </c>
      <c r="AL294" s="79">
        <f t="shared" si="204"/>
        <v>1278.1868721174558</v>
      </c>
      <c r="AM294" s="79">
        <f t="shared" si="205"/>
        <v>1288.7811074198175</v>
      </c>
      <c r="AN294" s="79">
        <f t="shared" si="205"/>
        <v>1308.1570509305229</v>
      </c>
      <c r="AO294" s="79">
        <f t="shared" si="205"/>
        <v>1321.033509617891</v>
      </c>
      <c r="AP294" s="79">
        <f t="shared" si="205"/>
        <v>1335.6287200629336</v>
      </c>
      <c r="AQ294" s="79">
        <f t="shared" si="205"/>
        <v>1350.2275643933158</v>
      </c>
      <c r="AR294" s="79">
        <f t="shared" si="205"/>
        <v>1365.6074091046173</v>
      </c>
      <c r="AS294" s="79">
        <f t="shared" si="205"/>
        <v>1381.3339321552392</v>
      </c>
      <c r="AT294" s="79">
        <f t="shared" si="205"/>
        <v>1397.2040512056983</v>
      </c>
      <c r="AU294" s="79">
        <f t="shared" si="205"/>
        <v>1412.5228761214855</v>
      </c>
      <c r="AV294" s="79">
        <f t="shared" si="205"/>
        <v>1428.4420117640448</v>
      </c>
      <c r="AW294" s="79">
        <f t="shared" si="205"/>
        <v>1444.547132306642</v>
      </c>
      <c r="AX294" s="79">
        <f t="shared" si="205"/>
        <v>1551.4905691090739</v>
      </c>
      <c r="AY294" s="79">
        <f t="shared" si="205"/>
        <v>1592.0219479898647</v>
      </c>
      <c r="AZ294" s="79">
        <f t="shared" si="205"/>
        <v>1631.9795777162308</v>
      </c>
      <c r="BA294" s="79">
        <f t="shared" si="205"/>
        <v>1676.8414780567314</v>
      </c>
      <c r="BB294" s="79">
        <f t="shared" si="205"/>
        <v>1727.7637517724197</v>
      </c>
      <c r="BC294" s="79">
        <f t="shared" si="205"/>
        <v>1785.8163509143178</v>
      </c>
      <c r="BD294" s="79">
        <f t="shared" si="205"/>
        <v>1833.8259642859266</v>
      </c>
      <c r="BE294" s="79">
        <f t="shared" si="205"/>
        <v>1883.3348940428912</v>
      </c>
      <c r="BF294" s="79">
        <f t="shared" si="205"/>
        <v>1934.8025635955587</v>
      </c>
      <c r="CC294" s="112"/>
      <c r="CD294" s="112"/>
      <c r="CE294" s="112"/>
    </row>
    <row r="295" spans="1:83">
      <c r="A295" s="69" t="s">
        <v>31</v>
      </c>
      <c r="W295" s="76">
        <f t="shared" si="206"/>
        <v>997.61165999999992</v>
      </c>
      <c r="X295" s="76">
        <f t="shared" si="204"/>
        <v>1030.3289669117264</v>
      </c>
      <c r="Y295" s="76">
        <f t="shared" si="204"/>
        <v>1052.4233619798492</v>
      </c>
      <c r="Z295" s="76">
        <f t="shared" si="204"/>
        <v>1100.020092565233</v>
      </c>
      <c r="AA295" s="76">
        <f>AA134*AA198</f>
        <v>1054.3248450948809</v>
      </c>
      <c r="AB295" s="76">
        <f t="shared" si="204"/>
        <v>1127.0524892454725</v>
      </c>
      <c r="AC295" s="76">
        <f t="shared" si="204"/>
        <v>850.34117291005396</v>
      </c>
      <c r="AD295" s="76">
        <f t="shared" si="204"/>
        <v>1078.5411097333508</v>
      </c>
      <c r="AE295" s="76">
        <f t="shared" si="204"/>
        <v>1058.0949608376147</v>
      </c>
      <c r="AF295" s="76">
        <f>AF134*AF198</f>
        <v>1198.1645742260048</v>
      </c>
      <c r="AG295" s="79">
        <f t="shared" si="204"/>
        <v>1156.0032759506337</v>
      </c>
      <c r="AH295" s="79">
        <f t="shared" si="204"/>
        <v>1110.987672190899</v>
      </c>
      <c r="AI295" s="79">
        <f t="shared" si="204"/>
        <v>1148.3685171911773</v>
      </c>
      <c r="AJ295" s="79">
        <f t="shared" si="204"/>
        <v>1173.554156802297</v>
      </c>
      <c r="AK295" s="79">
        <f t="shared" si="204"/>
        <v>1185.9193372843861</v>
      </c>
      <c r="AL295" s="79">
        <f t="shared" si="204"/>
        <v>1186.0825599502853</v>
      </c>
      <c r="AM295" s="79">
        <f t="shared" si="205"/>
        <v>1200.6135322577895</v>
      </c>
      <c r="AN295" s="79">
        <f t="shared" si="205"/>
        <v>1218.5083865203278</v>
      </c>
      <c r="AO295" s="79">
        <f t="shared" si="205"/>
        <v>1232.7889056191377</v>
      </c>
      <c r="AP295" s="79">
        <f t="shared" si="205"/>
        <v>1245.6132144524006</v>
      </c>
      <c r="AQ295" s="79">
        <f t="shared" si="205"/>
        <v>1257.4561716358678</v>
      </c>
      <c r="AR295" s="79">
        <f t="shared" si="205"/>
        <v>1272.4874257868487</v>
      </c>
      <c r="AS295" s="79">
        <f t="shared" si="205"/>
        <v>1287.1901979478178</v>
      </c>
      <c r="AT295" s="79">
        <f t="shared" si="205"/>
        <v>1301.4606709323793</v>
      </c>
      <c r="AU295" s="79">
        <f t="shared" si="205"/>
        <v>1315.681882947697</v>
      </c>
      <c r="AV295" s="79">
        <f t="shared" si="205"/>
        <v>1330.2486592621135</v>
      </c>
      <c r="AW295" s="79">
        <f t="shared" si="205"/>
        <v>1345.2568700465185</v>
      </c>
      <c r="AX295" s="79">
        <f t="shared" si="205"/>
        <v>1458.5838924308625</v>
      </c>
      <c r="AY295" s="79">
        <f t="shared" si="205"/>
        <v>1480.9558481209349</v>
      </c>
      <c r="AZ295" s="79">
        <f t="shared" si="205"/>
        <v>1517.7370191815276</v>
      </c>
      <c r="BA295" s="79">
        <f t="shared" si="205"/>
        <v>1559.1351200046838</v>
      </c>
      <c r="BB295" s="79">
        <f t="shared" si="205"/>
        <v>1606.0456159508615</v>
      </c>
      <c r="BC295" s="79">
        <f t="shared" si="205"/>
        <v>1659.4951618989739</v>
      </c>
      <c r="BD295" s="79">
        <f t="shared" si="205"/>
        <v>1700.6353674515892</v>
      </c>
      <c r="BE295" s="79">
        <f t="shared" si="205"/>
        <v>1745.6157442487404</v>
      </c>
      <c r="BF295" s="79">
        <f t="shared" si="205"/>
        <v>1792.2811317984861</v>
      </c>
      <c r="CC295" s="112"/>
      <c r="CD295" s="112"/>
      <c r="CE295" s="112"/>
    </row>
    <row r="296" spans="1:83">
      <c r="A296" s="69" t="s">
        <v>32</v>
      </c>
      <c r="W296" s="76">
        <f t="shared" si="206"/>
        <v>1104.69552</v>
      </c>
      <c r="X296" s="76">
        <f t="shared" si="204"/>
        <v>1119.3602896940711</v>
      </c>
      <c r="Y296" s="76">
        <f t="shared" si="204"/>
        <v>1173.6260809453233</v>
      </c>
      <c r="Z296" s="76">
        <f t="shared" si="204"/>
        <v>1221.3222660896538</v>
      </c>
      <c r="AA296" s="76">
        <f>AA135*AA199</f>
        <v>1146.960462213141</v>
      </c>
      <c r="AB296" s="76">
        <f t="shared" si="204"/>
        <v>1109.4990035416695</v>
      </c>
      <c r="AC296" s="76">
        <f t="shared" si="204"/>
        <v>1113.673073360834</v>
      </c>
      <c r="AD296" s="76">
        <f t="shared" si="204"/>
        <v>1228.6334757049706</v>
      </c>
      <c r="AE296" s="76">
        <f t="shared" si="204"/>
        <v>1157.7348428257378</v>
      </c>
      <c r="AF296" s="76">
        <f t="shared" si="204"/>
        <v>1272.4101811143357</v>
      </c>
      <c r="AG296" s="79">
        <f t="shared" si="204"/>
        <v>1263.0242025436889</v>
      </c>
      <c r="AH296" s="79">
        <f t="shared" si="204"/>
        <v>1233.5982925419114</v>
      </c>
      <c r="AI296" s="79">
        <f t="shared" si="204"/>
        <v>1239.7587504048465</v>
      </c>
      <c r="AJ296" s="79">
        <f t="shared" si="204"/>
        <v>1245.5265098425593</v>
      </c>
      <c r="AK296" s="79">
        <f t="shared" si="204"/>
        <v>1254.8620387739913</v>
      </c>
      <c r="AL296" s="79">
        <f t="shared" si="204"/>
        <v>1276.7228923924633</v>
      </c>
      <c r="AM296" s="79">
        <f t="shared" si="205"/>
        <v>1294.5178373426133</v>
      </c>
      <c r="AN296" s="79">
        <f t="shared" si="205"/>
        <v>1305.6046139885682</v>
      </c>
      <c r="AO296" s="79">
        <f t="shared" si="205"/>
        <v>1318.8764920665774</v>
      </c>
      <c r="AP296" s="79">
        <f t="shared" si="205"/>
        <v>1334.3541382433714</v>
      </c>
      <c r="AQ296" s="79">
        <f t="shared" si="205"/>
        <v>1349.9320136698823</v>
      </c>
      <c r="AR296" s="79">
        <f t="shared" si="205"/>
        <v>1365.7177279733889</v>
      </c>
      <c r="AS296" s="79">
        <f t="shared" si="205"/>
        <v>1380.5702860975921</v>
      </c>
      <c r="AT296" s="79">
        <f t="shared" si="205"/>
        <v>1395.9100976398502</v>
      </c>
      <c r="AU296" s="79">
        <f t="shared" si="205"/>
        <v>1411.849659766857</v>
      </c>
      <c r="AV296" s="79">
        <f t="shared" si="205"/>
        <v>1427.9095403333433</v>
      </c>
      <c r="AW296" s="79">
        <f t="shared" si="205"/>
        <v>1443.9911577502539</v>
      </c>
      <c r="AX296" s="79">
        <f t="shared" si="205"/>
        <v>1544.0413812647716</v>
      </c>
      <c r="AY296" s="79">
        <f t="shared" si="205"/>
        <v>1562.663339774329</v>
      </c>
      <c r="AZ296" s="79">
        <f t="shared" si="205"/>
        <v>1596.759460174994</v>
      </c>
      <c r="BA296" s="79">
        <f t="shared" si="205"/>
        <v>1634.619928416327</v>
      </c>
      <c r="BB296" s="79">
        <f t="shared" si="205"/>
        <v>1676.9526960559253</v>
      </c>
      <c r="BC296" s="79">
        <f t="shared" si="205"/>
        <v>1724.6744084500174</v>
      </c>
      <c r="BD296" s="79">
        <f t="shared" si="205"/>
        <v>1761.6410578760376</v>
      </c>
      <c r="BE296" s="79">
        <f t="shared" si="205"/>
        <v>1802.3447861245745</v>
      </c>
      <c r="BF296" s="79">
        <f t="shared" si="205"/>
        <v>1844.4087664348531</v>
      </c>
      <c r="CC296" s="112"/>
      <c r="CD296" s="112"/>
      <c r="CE296" s="112"/>
    </row>
    <row r="297" spans="1:83">
      <c r="A297" s="69" t="s">
        <v>33</v>
      </c>
      <c r="W297" s="76">
        <f t="shared" si="206"/>
        <v>1029.37896</v>
      </c>
      <c r="X297" s="76">
        <f t="shared" si="204"/>
        <v>1009.2321914295402</v>
      </c>
      <c r="Y297" s="76">
        <f t="shared" si="204"/>
        <v>1076.1463015340589</v>
      </c>
      <c r="Z297" s="76">
        <f>Z136*Z200</f>
        <v>1147.9268785112827</v>
      </c>
      <c r="AA297" s="76">
        <f>AA136*AA200</f>
        <v>1150.9205110948819</v>
      </c>
      <c r="AB297" s="76">
        <f t="shared" si="204"/>
        <v>574.42518771914149</v>
      </c>
      <c r="AC297" s="76">
        <f t="shared" si="204"/>
        <v>1079.691531423985</v>
      </c>
      <c r="AD297" s="76">
        <f t="shared" si="204"/>
        <v>1103.5520502754175</v>
      </c>
      <c r="AE297" s="76">
        <f t="shared" si="204"/>
        <v>1108.8248635162831</v>
      </c>
      <c r="AF297" s="76">
        <f t="shared" si="204"/>
        <v>1129.7536765242478</v>
      </c>
      <c r="AG297" s="79">
        <f t="shared" si="204"/>
        <v>1054.292285430578</v>
      </c>
      <c r="AH297" s="79">
        <f t="shared" si="204"/>
        <v>1120.5565260490418</v>
      </c>
      <c r="AI297" s="79">
        <f t="shared" si="204"/>
        <v>1139.5446314615526</v>
      </c>
      <c r="AJ297" s="79">
        <f t="shared" si="204"/>
        <v>1147.6078791793341</v>
      </c>
      <c r="AK297" s="79">
        <f t="shared" si="204"/>
        <v>1157.5351387163178</v>
      </c>
      <c r="AL297" s="79">
        <f t="shared" si="204"/>
        <v>1159.7906280234124</v>
      </c>
      <c r="AM297" s="79">
        <f t="shared" si="205"/>
        <v>1183.5677594253555</v>
      </c>
      <c r="AN297" s="79">
        <f t="shared" si="205"/>
        <v>1195.6355102530692</v>
      </c>
      <c r="AO297" s="79">
        <f t="shared" si="205"/>
        <v>1210.2270043421559</v>
      </c>
      <c r="AP297" s="79">
        <f t="shared" si="205"/>
        <v>1221.736005237181</v>
      </c>
      <c r="AQ297" s="79">
        <f t="shared" si="205"/>
        <v>1235.0359280199009</v>
      </c>
      <c r="AR297" s="79">
        <f t="shared" si="205"/>
        <v>1250.4140702547402</v>
      </c>
      <c r="AS297" s="79">
        <f t="shared" si="205"/>
        <v>1264.0903857646995</v>
      </c>
      <c r="AT297" s="79">
        <f t="shared" si="205"/>
        <v>1278.5280626428043</v>
      </c>
      <c r="AU297" s="79">
        <f t="shared" si="205"/>
        <v>1292.9408156711022</v>
      </c>
      <c r="AV297" s="79">
        <f t="shared" si="205"/>
        <v>1307.3847012200397</v>
      </c>
      <c r="AW297" s="79">
        <f t="shared" si="205"/>
        <v>1322.4128433847461</v>
      </c>
      <c r="AX297" s="79">
        <f t="shared" si="205"/>
        <v>1407.8687486216015</v>
      </c>
      <c r="AY297" s="79">
        <f t="shared" si="205"/>
        <v>1419.9958041990928</v>
      </c>
      <c r="AZ297" s="79">
        <f t="shared" si="205"/>
        <v>1448.9918209672003</v>
      </c>
      <c r="BA297" s="79">
        <f t="shared" si="205"/>
        <v>1480.9314598698786</v>
      </c>
      <c r="BB297" s="79">
        <f t="shared" si="205"/>
        <v>1516.4172771207814</v>
      </c>
      <c r="BC297" s="79">
        <f t="shared" si="205"/>
        <v>1556.1718003802423</v>
      </c>
      <c r="BD297" s="79">
        <f t="shared" si="205"/>
        <v>1586.4982327213127</v>
      </c>
      <c r="BE297" s="79">
        <f t="shared" si="205"/>
        <v>1620.5722082218176</v>
      </c>
      <c r="BF297" s="79">
        <f t="shared" si="205"/>
        <v>1655.678229738475</v>
      </c>
      <c r="CC297" s="112"/>
      <c r="CD297" s="112"/>
      <c r="CE297" s="112"/>
    </row>
    <row r="298" spans="1:83">
      <c r="A298" s="69" t="s">
        <v>14</v>
      </c>
      <c r="W298" s="76">
        <f t="shared" si="206"/>
        <v>1131.5616599999998</v>
      </c>
      <c r="X298" s="76">
        <f t="shared" si="204"/>
        <v>1103.9197284664008</v>
      </c>
      <c r="Y298" s="76">
        <f t="shared" si="204"/>
        <v>1157.136822883692</v>
      </c>
      <c r="Z298" s="76">
        <f t="shared" si="204"/>
        <v>1210.6759573100528</v>
      </c>
      <c r="AA298" s="76">
        <f>AA137*AA201</f>
        <v>1210.4978435738051</v>
      </c>
      <c r="AB298" s="76">
        <f>AB137*AB201</f>
        <v>748.54560314502078</v>
      </c>
      <c r="AC298" s="76">
        <f t="shared" si="204"/>
        <v>1187.2930430027925</v>
      </c>
      <c r="AD298" s="76">
        <f t="shared" si="204"/>
        <v>1188.4883517115752</v>
      </c>
      <c r="AE298" s="76">
        <f t="shared" si="204"/>
        <v>1178.9919753196871</v>
      </c>
      <c r="AF298" s="76">
        <f t="shared" si="204"/>
        <v>1219.9958044941895</v>
      </c>
      <c r="AG298" s="79">
        <f t="shared" si="204"/>
        <v>1164.1762055600841</v>
      </c>
      <c r="AH298" s="79">
        <f t="shared" si="204"/>
        <v>1211.9814978784345</v>
      </c>
      <c r="AI298" s="79">
        <f t="shared" si="204"/>
        <v>1222.4393301213677</v>
      </c>
      <c r="AJ298" s="79">
        <f t="shared" si="204"/>
        <v>1237.1102468988552</v>
      </c>
      <c r="AK298" s="79">
        <f t="shared" si="204"/>
        <v>1247.0777442856513</v>
      </c>
      <c r="AL298" s="79">
        <f t="shared" si="204"/>
        <v>1255.0592315941244</v>
      </c>
      <c r="AM298" s="79">
        <f t="shared" si="205"/>
        <v>1278.0339962422477</v>
      </c>
      <c r="AN298" s="79">
        <f t="shared" si="205"/>
        <v>1290.1915772141426</v>
      </c>
      <c r="AO298" s="79">
        <f t="shared" si="205"/>
        <v>1306.2473838598755</v>
      </c>
      <c r="AP298" s="79">
        <f t="shared" si="205"/>
        <v>1319.8136750884055</v>
      </c>
      <c r="AQ298" s="79">
        <f t="shared" si="205"/>
        <v>1334.8418125771168</v>
      </c>
      <c r="AR298" s="79">
        <f t="shared" si="205"/>
        <v>1351.0396192209068</v>
      </c>
      <c r="AS298" s="79">
        <f t="shared" si="205"/>
        <v>1366.2059701753399</v>
      </c>
      <c r="AT298" s="79">
        <f t="shared" si="205"/>
        <v>1382.0230167695506</v>
      </c>
      <c r="AU298" s="79">
        <f t="shared" si="205"/>
        <v>1397.9515698461682</v>
      </c>
      <c r="AV298" s="79">
        <f t="shared" si="205"/>
        <v>1413.9509414895072</v>
      </c>
      <c r="AW298" s="79">
        <f t="shared" si="205"/>
        <v>1430.3431416657904</v>
      </c>
      <c r="AX298" s="79">
        <f t="shared" si="205"/>
        <v>1497.2613184136908</v>
      </c>
      <c r="AY298" s="79">
        <f t="shared" si="205"/>
        <v>1504.2846375959505</v>
      </c>
      <c r="AZ298" s="79">
        <f t="shared" si="205"/>
        <v>1529.2859901341276</v>
      </c>
      <c r="BA298" s="79">
        <f t="shared" si="205"/>
        <v>1556.1416388866094</v>
      </c>
      <c r="BB298" s="79">
        <f t="shared" si="205"/>
        <v>1585.1801696362054</v>
      </c>
      <c r="BC298" s="79">
        <f t="shared" si="205"/>
        <v>1616.8574042629041</v>
      </c>
      <c r="BD298" s="79">
        <f t="shared" si="205"/>
        <v>1641.2734247909257</v>
      </c>
      <c r="BE298" s="79">
        <f t="shared" si="205"/>
        <v>1669.2704917781091</v>
      </c>
      <c r="BF298" s="79">
        <f t="shared" si="205"/>
        <v>1697.870046338315</v>
      </c>
      <c r="CC298" s="112"/>
      <c r="CD298" s="112"/>
      <c r="CE298" s="112"/>
    </row>
    <row r="299" spans="1:83">
      <c r="A299" s="69" t="s">
        <v>34</v>
      </c>
      <c r="W299" s="76">
        <f t="shared" si="206"/>
        <v>1115.88528</v>
      </c>
      <c r="X299" s="76">
        <f t="shared" si="204"/>
        <v>1102.226517832325</v>
      </c>
      <c r="Y299" s="76">
        <f t="shared" si="204"/>
        <v>1131.2907541134161</v>
      </c>
      <c r="Z299" s="76">
        <f t="shared" si="204"/>
        <v>1189.5868601420002</v>
      </c>
      <c r="AA299" s="76">
        <f t="shared" si="204"/>
        <v>1183.259516395796</v>
      </c>
      <c r="AB299" s="76">
        <f t="shared" si="204"/>
        <v>949.62371350936871</v>
      </c>
      <c r="AC299" s="76">
        <f t="shared" si="204"/>
        <v>1170.2283966470075</v>
      </c>
      <c r="AD299" s="76">
        <f t="shared" si="204"/>
        <v>1191.3503421395926</v>
      </c>
      <c r="AE299" s="76">
        <f t="shared" si="204"/>
        <v>1187.0313001170894</v>
      </c>
      <c r="AF299" s="76">
        <f t="shared" si="204"/>
        <v>1194.6343575406718</v>
      </c>
      <c r="AG299" s="79">
        <f t="shared" si="204"/>
        <v>1200.2206340027374</v>
      </c>
      <c r="AH299" s="79">
        <f t="shared" si="204"/>
        <v>1212.4690666275615</v>
      </c>
      <c r="AI299" s="79">
        <f t="shared" si="204"/>
        <v>1221.0508656455897</v>
      </c>
      <c r="AJ299" s="79">
        <f t="shared" si="204"/>
        <v>1229.1082506910548</v>
      </c>
      <c r="AK299" s="79">
        <f t="shared" si="204"/>
        <v>1235.2108033751795</v>
      </c>
      <c r="AL299" s="79">
        <f t="shared" si="204"/>
        <v>1257.4576694134373</v>
      </c>
      <c r="AM299" s="79">
        <f t="shared" si="205"/>
        <v>1275.4694953293765</v>
      </c>
      <c r="AN299" s="79">
        <f t="shared" si="205"/>
        <v>1286.7963702722625</v>
      </c>
      <c r="AO299" s="79">
        <f t="shared" si="205"/>
        <v>1301.6754859144846</v>
      </c>
      <c r="AP299" s="79">
        <f t="shared" si="205"/>
        <v>1316.1337437262839</v>
      </c>
      <c r="AQ299" s="79">
        <f t="shared" si="205"/>
        <v>1332.5608366025388</v>
      </c>
      <c r="AR299" s="79">
        <f t="shared" si="205"/>
        <v>1348.0398482063108</v>
      </c>
      <c r="AS299" s="79">
        <f t="shared" si="205"/>
        <v>1363.3546404742806</v>
      </c>
      <c r="AT299" s="79">
        <f t="shared" si="205"/>
        <v>1379.1207121601947</v>
      </c>
      <c r="AU299" s="79">
        <f t="shared" si="205"/>
        <v>1395.3127302968855</v>
      </c>
      <c r="AV299" s="79">
        <f t="shared" si="205"/>
        <v>1411.570559825512</v>
      </c>
      <c r="AW299" s="79">
        <f t="shared" si="205"/>
        <v>1427.9256564050877</v>
      </c>
      <c r="AX299" s="79">
        <f t="shared" si="205"/>
        <v>1474.979366035659</v>
      </c>
      <c r="AY299" s="79">
        <f t="shared" si="205"/>
        <v>1464.2903358784654</v>
      </c>
      <c r="AZ299" s="79">
        <f t="shared" si="205"/>
        <v>1481.6278416986422</v>
      </c>
      <c r="BA299" s="79">
        <f t="shared" si="205"/>
        <v>1499.2267914954127</v>
      </c>
      <c r="BB299" s="79">
        <f t="shared" si="205"/>
        <v>1517.0648662614478</v>
      </c>
      <c r="BC299" s="79">
        <f t="shared" si="205"/>
        <v>1535.2388934526618</v>
      </c>
      <c r="BD299" s="79">
        <f t="shared" si="205"/>
        <v>1547.4692032914684</v>
      </c>
      <c r="BE299" s="79">
        <f t="shared" si="205"/>
        <v>1564.4072858743998</v>
      </c>
      <c r="BF299" s="79">
        <f t="shared" si="205"/>
        <v>1581.2544743305029</v>
      </c>
      <c r="CC299" s="112"/>
      <c r="CD299" s="112"/>
      <c r="CE299" s="112"/>
    </row>
    <row r="300" spans="1:83">
      <c r="A300" s="69" t="s">
        <v>35</v>
      </c>
      <c r="W300" s="76">
        <f t="shared" si="206"/>
        <v>1132.01286</v>
      </c>
      <c r="X300" s="76">
        <f t="shared" si="204"/>
        <v>1151.5734702077239</v>
      </c>
      <c r="Y300" s="76">
        <f t="shared" si="204"/>
        <v>1138.5040652603295</v>
      </c>
      <c r="Z300" s="76">
        <f t="shared" si="204"/>
        <v>1259.5122352838239</v>
      </c>
      <c r="AA300" s="76">
        <f t="shared" si="204"/>
        <v>1201.0284420808323</v>
      </c>
      <c r="AB300" s="76">
        <f t="shared" si="204"/>
        <v>1079.9432550439535</v>
      </c>
      <c r="AC300" s="76">
        <f t="shared" si="204"/>
        <v>1203.1243859438734</v>
      </c>
      <c r="AD300" s="76">
        <f t="shared" si="204"/>
        <v>1210.6125082063397</v>
      </c>
      <c r="AE300" s="76">
        <f t="shared" si="204"/>
        <v>1216.4648146854038</v>
      </c>
      <c r="AF300" s="76">
        <f t="shared" si="204"/>
        <v>1297.571385188666</v>
      </c>
      <c r="AG300" s="79">
        <f t="shared" si="204"/>
        <v>1206.5203806615064</v>
      </c>
      <c r="AH300" s="79">
        <f t="shared" si="204"/>
        <v>1206.2092925095712</v>
      </c>
      <c r="AI300" s="79">
        <f t="shared" si="204"/>
        <v>1209.598977415332</v>
      </c>
      <c r="AJ300" s="79">
        <f t="shared" si="204"/>
        <v>1237.9608591702518</v>
      </c>
      <c r="AK300" s="79">
        <f t="shared" si="204"/>
        <v>1250.5021311297676</v>
      </c>
      <c r="AL300" s="79">
        <f t="shared" si="204"/>
        <v>1261.0810124110706</v>
      </c>
      <c r="AM300" s="79">
        <f t="shared" si="205"/>
        <v>1278.3214271328955</v>
      </c>
      <c r="AN300" s="79">
        <f t="shared" si="205"/>
        <v>1292.0545707869044</v>
      </c>
      <c r="AO300" s="79">
        <f t="shared" si="205"/>
        <v>1309.5441402525983</v>
      </c>
      <c r="AP300" s="79">
        <f t="shared" si="205"/>
        <v>1324.1968724620006</v>
      </c>
      <c r="AQ300" s="79">
        <f t="shared" si="205"/>
        <v>1338.7006392344342</v>
      </c>
      <c r="AR300" s="79">
        <f t="shared" si="205"/>
        <v>1355.2091009840622</v>
      </c>
      <c r="AS300" s="79">
        <f t="shared" si="205"/>
        <v>1371.2759933169032</v>
      </c>
      <c r="AT300" s="79">
        <f t="shared" si="205"/>
        <v>1387.6199594723237</v>
      </c>
      <c r="AU300" s="79">
        <f t="shared" si="205"/>
        <v>1403.823917688916</v>
      </c>
      <c r="AV300" s="79">
        <f t="shared" si="205"/>
        <v>1420.2522161591257</v>
      </c>
      <c r="AW300" s="79">
        <f t="shared" si="205"/>
        <v>1437.1101707841701</v>
      </c>
      <c r="AX300" s="79">
        <f t="shared" si="205"/>
        <v>1450.3630426749628</v>
      </c>
      <c r="AY300" s="79">
        <f t="shared" si="205"/>
        <v>1520.7099716092216</v>
      </c>
      <c r="AZ300" s="79">
        <f t="shared" si="205"/>
        <v>1547.898886929403</v>
      </c>
      <c r="BA300" s="79">
        <f t="shared" si="205"/>
        <v>1577.3597832516455</v>
      </c>
      <c r="BB300" s="79">
        <f t="shared" si="205"/>
        <v>1609.4858589367893</v>
      </c>
      <c r="BC300" s="79">
        <f t="shared" si="205"/>
        <v>1644.7615900078574</v>
      </c>
      <c r="BD300" s="79">
        <f t="shared" si="205"/>
        <v>1684.5655754871746</v>
      </c>
      <c r="BE300" s="79">
        <f t="shared" si="205"/>
        <v>1718.0631258453222</v>
      </c>
      <c r="BF300" s="79">
        <f t="shared" si="205"/>
        <v>1752.8556041502864</v>
      </c>
      <c r="CC300" s="112"/>
      <c r="CD300" s="112"/>
      <c r="CE300" s="112"/>
    </row>
    <row r="301" spans="1:83">
      <c r="A301" s="69" t="s">
        <v>36</v>
      </c>
      <c r="W301" s="76">
        <f t="shared" si="206"/>
        <v>1122.9860399999998</v>
      </c>
      <c r="X301" s="76">
        <f t="shared" si="204"/>
        <v>1174.5613544168739</v>
      </c>
      <c r="Y301" s="76">
        <f t="shared" si="204"/>
        <v>1208.7313217051058</v>
      </c>
      <c r="Z301" s="76">
        <f t="shared" si="204"/>
        <v>1281.5216752396893</v>
      </c>
      <c r="AA301" s="76">
        <f t="shared" si="204"/>
        <v>1185.5490032122057</v>
      </c>
      <c r="AB301" s="76">
        <f t="shared" si="204"/>
        <v>1066.5763622420204</v>
      </c>
      <c r="AC301" s="76">
        <f t="shared" si="204"/>
        <v>1120.9763302209685</v>
      </c>
      <c r="AD301" s="76">
        <f t="shared" si="204"/>
        <v>1169.8880096951175</v>
      </c>
      <c r="AE301" s="76">
        <f t="shared" si="204"/>
        <v>1181.4037536019139</v>
      </c>
      <c r="AF301" s="76">
        <f t="shared" si="204"/>
        <v>1277.7499564696839</v>
      </c>
      <c r="AG301" s="79">
        <f t="shared" si="204"/>
        <v>1236.5937370656382</v>
      </c>
      <c r="AH301" s="79">
        <f t="shared" si="204"/>
        <v>1252.7539122283138</v>
      </c>
      <c r="AI301" s="79">
        <f t="shared" si="204"/>
        <v>1267.6086823926728</v>
      </c>
      <c r="AJ301" s="79">
        <f t="shared" si="204"/>
        <v>1279.3381171461165</v>
      </c>
      <c r="AK301" s="79">
        <f t="shared" si="204"/>
        <v>1292.8092844086361</v>
      </c>
      <c r="AL301" s="79">
        <f t="shared" si="204"/>
        <v>1303.9167577014621</v>
      </c>
      <c r="AM301" s="79">
        <f t="shared" si="205"/>
        <v>1326.1786462956854</v>
      </c>
      <c r="AN301" s="79">
        <f t="shared" si="205"/>
        <v>1338.9995655170276</v>
      </c>
      <c r="AO301" s="79">
        <f t="shared" si="205"/>
        <v>1354.6408655776845</v>
      </c>
      <c r="AP301" s="79">
        <f t="shared" si="205"/>
        <v>1369.6050709333522</v>
      </c>
      <c r="AQ301" s="79">
        <f t="shared" si="205"/>
        <v>1384.8769749127771</v>
      </c>
      <c r="AR301" s="79">
        <f t="shared" si="205"/>
        <v>1401.990561598875</v>
      </c>
      <c r="AS301" s="79">
        <f t="shared" si="205"/>
        <v>1418.0981185249652</v>
      </c>
      <c r="AT301" s="79">
        <f t="shared" si="205"/>
        <v>1434.2131799848644</v>
      </c>
      <c r="AU301" s="79">
        <f t="shared" si="205"/>
        <v>1450.7807754668022</v>
      </c>
      <c r="AV301" s="79">
        <f t="shared" si="205"/>
        <v>1467.4542365702648</v>
      </c>
      <c r="AW301" s="79">
        <f t="shared" si="205"/>
        <v>1484.5532762399216</v>
      </c>
      <c r="AX301" s="79">
        <f t="shared" si="205"/>
        <v>1552.0381908348804</v>
      </c>
      <c r="AY301" s="79">
        <f t="shared" si="205"/>
        <v>1551.3453266072067</v>
      </c>
      <c r="AZ301" s="79">
        <f t="shared" si="205"/>
        <v>1575.2122230775351</v>
      </c>
      <c r="BA301" s="79">
        <f t="shared" si="205"/>
        <v>1600.6417440731916</v>
      </c>
      <c r="BB301" s="79">
        <f t="shared" si="205"/>
        <v>1627.8368815299207</v>
      </c>
      <c r="BC301" s="79">
        <f t="shared" si="205"/>
        <v>1657.1366324217117</v>
      </c>
      <c r="BD301" s="79">
        <f t="shared" si="205"/>
        <v>1678.575725748693</v>
      </c>
      <c r="BE301" s="79">
        <f t="shared" si="205"/>
        <v>1704.5445559220977</v>
      </c>
      <c r="BF301" s="79">
        <f t="shared" si="205"/>
        <v>1730.9404789204534</v>
      </c>
      <c r="CC301" s="112"/>
      <c r="CD301" s="112"/>
      <c r="CE301" s="112"/>
    </row>
    <row r="302" spans="1:83" ht="12" thickBot="1">
      <c r="A302" s="69" t="s">
        <v>138</v>
      </c>
      <c r="X302" s="76">
        <f t="shared" ref="X302:BF302" si="207">SUM(X290:X301)</f>
        <v>13180.012134975655</v>
      </c>
      <c r="Y302" s="76">
        <f t="shared" si="207"/>
        <v>13720.398670784183</v>
      </c>
      <c r="Z302" s="76">
        <f t="shared" si="207"/>
        <v>14393.213162960416</v>
      </c>
      <c r="AA302" s="76">
        <f t="shared" si="207"/>
        <v>14035.596424748885</v>
      </c>
      <c r="AB302" s="76">
        <f t="shared" si="207"/>
        <v>12493.467557750284</v>
      </c>
      <c r="AC302" s="76">
        <f t="shared" si="207"/>
        <v>13224.847791443723</v>
      </c>
      <c r="AD302" s="76">
        <f t="shared" si="207"/>
        <v>14222.252148480604</v>
      </c>
      <c r="AE302" s="76">
        <f t="shared" si="207"/>
        <v>13834.583375936467</v>
      </c>
      <c r="AF302" s="76">
        <f t="shared" si="207"/>
        <v>14642.108221520297</v>
      </c>
      <c r="AG302" s="79">
        <f t="shared" si="207"/>
        <v>14548.189214309476</v>
      </c>
      <c r="AH302" s="79">
        <f t="shared" si="207"/>
        <v>14432.597772965246</v>
      </c>
      <c r="AI302" s="79">
        <f t="shared" si="207"/>
        <v>14585.688661977059</v>
      </c>
      <c r="AJ302" s="79">
        <f t="shared" si="207"/>
        <v>14714.985502808047</v>
      </c>
      <c r="AK302" s="79">
        <f t="shared" si="207"/>
        <v>14873.359787632446</v>
      </c>
      <c r="AL302" s="79">
        <f t="shared" si="207"/>
        <v>15011.365891161729</v>
      </c>
      <c r="AM302" s="79">
        <f t="shared" si="207"/>
        <v>15213.991407342843</v>
      </c>
      <c r="AN302" s="79">
        <f t="shared" si="207"/>
        <v>15394.724063372827</v>
      </c>
      <c r="AO302" s="79">
        <f t="shared" si="207"/>
        <v>15565.606545976863</v>
      </c>
      <c r="AP302" s="79">
        <f t="shared" si="207"/>
        <v>15740.766516503934</v>
      </c>
      <c r="AQ302" s="79">
        <f t="shared" si="207"/>
        <v>15914.866766653007</v>
      </c>
      <c r="AR302" s="79">
        <f t="shared" si="207"/>
        <v>16102.363538651591</v>
      </c>
      <c r="AS302" s="79">
        <f t="shared" si="207"/>
        <v>16287.072938478943</v>
      </c>
      <c r="AT302" s="79">
        <f t="shared" si="207"/>
        <v>16473.232949183886</v>
      </c>
      <c r="AU302" s="79">
        <f t="shared" si="207"/>
        <v>16661.175272954639</v>
      </c>
      <c r="AV302" s="79">
        <f t="shared" si="207"/>
        <v>16851.192277821214</v>
      </c>
      <c r="AW302" s="79">
        <f t="shared" si="207"/>
        <v>17044.589801420094</v>
      </c>
      <c r="AX302" s="79">
        <f t="shared" si="207"/>
        <v>17710.61754700042</v>
      </c>
      <c r="AY302" s="79">
        <f t="shared" si="207"/>
        <v>18199.869219560984</v>
      </c>
      <c r="AZ302" s="79">
        <f t="shared" si="207"/>
        <v>18553.137026406643</v>
      </c>
      <c r="BA302" s="79">
        <f t="shared" si="207"/>
        <v>18940.104388770495</v>
      </c>
      <c r="BB302" s="79">
        <f t="shared" si="207"/>
        <v>19367.549347662756</v>
      </c>
      <c r="BC302" s="79">
        <f t="shared" si="207"/>
        <v>19843.155914858718</v>
      </c>
      <c r="BD302" s="79">
        <f t="shared" si="207"/>
        <v>20279.606034791264</v>
      </c>
      <c r="BE302" s="79">
        <f t="shared" si="207"/>
        <v>20705.018773104686</v>
      </c>
      <c r="BF302" s="79">
        <f t="shared" si="207"/>
        <v>21145.16492804536</v>
      </c>
      <c r="CC302" s="112"/>
      <c r="CD302" s="112"/>
      <c r="CE302" s="112"/>
    </row>
    <row r="303" spans="1:8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Y303" s="112"/>
      <c r="BZ303" s="112"/>
      <c r="CA303" s="112"/>
      <c r="CB303" s="112"/>
      <c r="CC303" s="112"/>
      <c r="CD303" s="112"/>
      <c r="CE303" s="112"/>
    </row>
    <row r="304" spans="1:83" ht="12" thickBot="1">
      <c r="A304" s="105" t="s">
        <v>180</v>
      </c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</row>
    <row r="305" spans="1:83" ht="12" thickBot="1">
      <c r="A305" s="84"/>
      <c r="B305" s="85" t="s">
        <v>66</v>
      </c>
      <c r="C305" s="86" t="s">
        <v>67</v>
      </c>
      <c r="D305" s="86" t="s">
        <v>68</v>
      </c>
      <c r="E305" s="86" t="s">
        <v>69</v>
      </c>
      <c r="F305" s="86" t="s">
        <v>70</v>
      </c>
      <c r="G305" s="86" t="s">
        <v>71</v>
      </c>
      <c r="H305" s="86" t="s">
        <v>72</v>
      </c>
      <c r="I305" s="86" t="s">
        <v>73</v>
      </c>
      <c r="J305" s="86" t="s">
        <v>74</v>
      </c>
      <c r="K305" s="86" t="s">
        <v>75</v>
      </c>
      <c r="L305" s="86" t="s">
        <v>76</v>
      </c>
      <c r="M305" s="86" t="s">
        <v>77</v>
      </c>
      <c r="N305" s="86" t="s">
        <v>78</v>
      </c>
      <c r="O305" s="86" t="s">
        <v>79</v>
      </c>
      <c r="P305" s="86" t="s">
        <v>80</v>
      </c>
      <c r="Q305" s="86" t="s">
        <v>81</v>
      </c>
      <c r="R305" s="86" t="s">
        <v>82</v>
      </c>
      <c r="S305" s="86" t="s">
        <v>83</v>
      </c>
      <c r="T305" s="86" t="s">
        <v>84</v>
      </c>
      <c r="U305" s="86" t="s">
        <v>85</v>
      </c>
      <c r="V305" s="86" t="s">
        <v>86</v>
      </c>
      <c r="W305" s="86" t="s">
        <v>87</v>
      </c>
      <c r="X305" s="86" t="s">
        <v>88</v>
      </c>
      <c r="Y305" s="86" t="s">
        <v>89</v>
      </c>
      <c r="Z305" s="86" t="s">
        <v>90</v>
      </c>
      <c r="AA305" s="86" t="s">
        <v>91</v>
      </c>
      <c r="AB305" s="86" t="s">
        <v>92</v>
      </c>
      <c r="AC305" s="86" t="s">
        <v>93</v>
      </c>
      <c r="AD305" s="86" t="str">
        <f>AD2</f>
        <v>21/22</v>
      </c>
      <c r="AE305" s="86" t="str">
        <f t="shared" ref="AE305:BF305" si="208">AE2</f>
        <v>22/23</v>
      </c>
      <c r="AF305" s="86" t="str">
        <f t="shared" si="208"/>
        <v>23/24</v>
      </c>
      <c r="AG305" s="86" t="str">
        <f t="shared" si="208"/>
        <v>24/25</v>
      </c>
      <c r="AH305" s="86" t="str">
        <f t="shared" si="208"/>
        <v>25/26</v>
      </c>
      <c r="AI305" s="86" t="str">
        <f t="shared" si="208"/>
        <v>26/27</v>
      </c>
      <c r="AJ305" s="86" t="str">
        <f t="shared" si="208"/>
        <v>27/28</v>
      </c>
      <c r="AK305" s="86" t="str">
        <f t="shared" si="208"/>
        <v>28/29</v>
      </c>
      <c r="AL305" s="86" t="str">
        <f t="shared" si="208"/>
        <v>29/30</v>
      </c>
      <c r="AM305" s="86" t="str">
        <f t="shared" si="208"/>
        <v>30/31</v>
      </c>
      <c r="AN305" s="86" t="str">
        <f t="shared" si="208"/>
        <v>31/32</v>
      </c>
      <c r="AO305" s="86" t="str">
        <f t="shared" si="208"/>
        <v>32/33</v>
      </c>
      <c r="AP305" s="86" t="str">
        <f t="shared" si="208"/>
        <v>33/34</v>
      </c>
      <c r="AQ305" s="86" t="str">
        <f t="shared" si="208"/>
        <v>34/35</v>
      </c>
      <c r="AR305" s="86" t="str">
        <f t="shared" si="208"/>
        <v>35/36</v>
      </c>
      <c r="AS305" s="86" t="str">
        <f t="shared" si="208"/>
        <v>36/37</v>
      </c>
      <c r="AT305" s="86" t="str">
        <f t="shared" si="208"/>
        <v>37/38</v>
      </c>
      <c r="AU305" s="86" t="str">
        <f t="shared" si="208"/>
        <v>38/39</v>
      </c>
      <c r="AV305" s="86" t="str">
        <f t="shared" si="208"/>
        <v>39/40</v>
      </c>
      <c r="AW305" s="86" t="str">
        <f t="shared" si="208"/>
        <v>40/41</v>
      </c>
      <c r="AX305" s="86" t="str">
        <f t="shared" si="208"/>
        <v>41/42</v>
      </c>
      <c r="AY305" s="86" t="str">
        <f t="shared" si="208"/>
        <v>42/43</v>
      </c>
      <c r="AZ305" s="86" t="str">
        <f t="shared" si="208"/>
        <v>43/44</v>
      </c>
      <c r="BA305" s="86" t="str">
        <f t="shared" si="208"/>
        <v>44/45</v>
      </c>
      <c r="BB305" s="86" t="str">
        <f t="shared" si="208"/>
        <v>45/46</v>
      </c>
      <c r="BC305" s="86" t="str">
        <f t="shared" si="208"/>
        <v>42/47</v>
      </c>
      <c r="BD305" s="86" t="str">
        <f t="shared" si="208"/>
        <v>42/48</v>
      </c>
      <c r="BE305" s="86" t="str">
        <f t="shared" si="208"/>
        <v>42/49</v>
      </c>
      <c r="BF305" s="86" t="str">
        <f t="shared" si="208"/>
        <v>42/50</v>
      </c>
      <c r="BV305" s="96"/>
      <c r="BW305" s="96"/>
      <c r="BX305" s="96"/>
      <c r="BY305" s="71"/>
      <c r="BZ305" s="71"/>
      <c r="CA305" s="71"/>
      <c r="CB305" s="71"/>
      <c r="CC305" s="71"/>
      <c r="CD305" s="71"/>
      <c r="CE305" s="71"/>
    </row>
    <row r="306" spans="1:83">
      <c r="A306" s="69" t="s">
        <v>37</v>
      </c>
      <c r="X306" s="76">
        <f t="shared" ref="X306:BF313" si="209">X145*X193</f>
        <v>127.13969999999999</v>
      </c>
      <c r="Y306" s="76">
        <f t="shared" si="209"/>
        <v>137.36175284794083</v>
      </c>
      <c r="Z306" s="76">
        <f t="shared" si="209"/>
        <v>143.23417789039837</v>
      </c>
      <c r="AA306" s="76">
        <f t="shared" si="209"/>
        <v>119.86119775388154</v>
      </c>
      <c r="AB306" s="76">
        <f t="shared" si="209"/>
        <v>124.16687439330769</v>
      </c>
      <c r="AC306" s="76">
        <f t="shared" si="209"/>
        <v>127.41092686821818</v>
      </c>
      <c r="AD306" s="76">
        <f t="shared" si="209"/>
        <v>116.2810158021211</v>
      </c>
      <c r="AE306" s="76">
        <f t="shared" si="209"/>
        <v>81.154165410370112</v>
      </c>
      <c r="AF306" s="76">
        <f t="shared" si="209"/>
        <v>99.44328446922853</v>
      </c>
      <c r="AG306" s="76">
        <f t="shared" si="209"/>
        <v>108.74841456541209</v>
      </c>
      <c r="AH306" s="79">
        <f t="shared" si="209"/>
        <v>90.725358583435778</v>
      </c>
      <c r="AI306" s="79">
        <f t="shared" si="209"/>
        <v>85.234465879635835</v>
      </c>
      <c r="AJ306" s="79">
        <f t="shared" si="209"/>
        <v>76.294877467378896</v>
      </c>
      <c r="AK306" s="79">
        <f t="shared" si="209"/>
        <v>70.350986127557277</v>
      </c>
      <c r="AL306" s="79">
        <f t="shared" si="209"/>
        <v>68.441699831096997</v>
      </c>
      <c r="AM306" s="79">
        <f t="shared" si="209"/>
        <v>63.001939028473437</v>
      </c>
      <c r="AN306" s="79">
        <f t="shared" si="209"/>
        <v>56.300647722226721</v>
      </c>
      <c r="AO306" s="79">
        <f t="shared" si="209"/>
        <v>50.710685344616806</v>
      </c>
      <c r="AP306" s="79">
        <f t="shared" si="209"/>
        <v>44.70486798182452</v>
      </c>
      <c r="AQ306" s="79">
        <f t="shared" si="209"/>
        <v>39.176575138107793</v>
      </c>
      <c r="AR306" s="79">
        <f t="shared" si="209"/>
        <v>33.76561373408051</v>
      </c>
      <c r="AS306" s="79">
        <f t="shared" si="209"/>
        <v>27.64887880268277</v>
      </c>
      <c r="AT306" s="79">
        <f t="shared" si="209"/>
        <v>21.471131352006157</v>
      </c>
      <c r="AU306" s="79">
        <f t="shared" si="209"/>
        <v>15.423595293883089</v>
      </c>
      <c r="AV306" s="79">
        <f t="shared" si="209"/>
        <v>9.2450019337373366</v>
      </c>
      <c r="AW306" s="79">
        <f t="shared" si="209"/>
        <v>3.0701307393156032</v>
      </c>
      <c r="AX306" s="79">
        <f t="shared" si="209"/>
        <v>-3.2439343371165741</v>
      </c>
      <c r="AY306" s="79">
        <f t="shared" si="209"/>
        <v>-9.9067283024071529</v>
      </c>
      <c r="AZ306" s="79">
        <f t="shared" si="209"/>
        <v>-16.607007246696732</v>
      </c>
      <c r="BA306" s="79">
        <f t="shared" si="209"/>
        <v>-23.431900223765219</v>
      </c>
      <c r="BB306" s="79">
        <f t="shared" si="209"/>
        <v>-30.436670957751613</v>
      </c>
      <c r="BC306" s="79">
        <f t="shared" si="209"/>
        <v>-37.630457778692019</v>
      </c>
      <c r="BD306" s="79">
        <f t="shared" si="209"/>
        <v>-45.063062311447624</v>
      </c>
      <c r="BE306" s="79">
        <f t="shared" si="209"/>
        <v>-52.578594272391214</v>
      </c>
      <c r="BF306" s="79">
        <f t="shared" si="209"/>
        <v>-60.261069106044012</v>
      </c>
      <c r="BY306" s="112"/>
      <c r="BZ306" s="112"/>
      <c r="CA306" s="112"/>
      <c r="CB306" s="112"/>
      <c r="CC306" s="112"/>
      <c r="CD306" s="112"/>
      <c r="CE306" s="112"/>
    </row>
    <row r="307" spans="1:83">
      <c r="A307" s="69" t="s">
        <v>38</v>
      </c>
      <c r="X307" s="76">
        <f t="shared" si="209"/>
        <v>127.93483590842213</v>
      </c>
      <c r="Y307" s="76">
        <f t="shared" si="209"/>
        <v>124.40916622056518</v>
      </c>
      <c r="Z307" s="76">
        <f t="shared" si="209"/>
        <v>132.68372658858539</v>
      </c>
      <c r="AA307" s="76">
        <f t="shared" si="209"/>
        <v>119.41246509415947</v>
      </c>
      <c r="AB307" s="76">
        <f t="shared" si="209"/>
        <v>126.47942289848532</v>
      </c>
      <c r="AC307" s="76">
        <f t="shared" si="209"/>
        <v>121.62439721884469</v>
      </c>
      <c r="AD307" s="76">
        <f t="shared" si="209"/>
        <v>108.95712546750384</v>
      </c>
      <c r="AE307" s="76">
        <f t="shared" si="209"/>
        <v>98.721285343627642</v>
      </c>
      <c r="AF307" s="76">
        <f t="shared" si="209"/>
        <v>106.62352775057332</v>
      </c>
      <c r="AG307" s="76">
        <f t="shared" si="209"/>
        <v>101.38203328086186</v>
      </c>
      <c r="AH307" s="79">
        <f t="shared" si="209"/>
        <v>91.577619484770679</v>
      </c>
      <c r="AI307" s="79">
        <f t="shared" si="209"/>
        <v>85.047036690096391</v>
      </c>
      <c r="AJ307" s="79">
        <f t="shared" si="209"/>
        <v>77.142837541554869</v>
      </c>
      <c r="AK307" s="79">
        <f t="shared" si="209"/>
        <v>73.240685522237143</v>
      </c>
      <c r="AL307" s="79">
        <f t="shared" si="209"/>
        <v>68.169955043962545</v>
      </c>
      <c r="AM307" s="79">
        <f t="shared" si="209"/>
        <v>61.166140465508413</v>
      </c>
      <c r="AN307" s="79">
        <f t="shared" si="209"/>
        <v>54.668482763794124</v>
      </c>
      <c r="AO307" s="79">
        <f t="shared" si="209"/>
        <v>48.406584331320566</v>
      </c>
      <c r="AP307" s="79">
        <f t="shared" si="209"/>
        <v>42.034947801637884</v>
      </c>
      <c r="AQ307" s="79">
        <f t="shared" si="209"/>
        <v>35.92382801797789</v>
      </c>
      <c r="AR307" s="79">
        <f t="shared" si="209"/>
        <v>29.417906480083175</v>
      </c>
      <c r="AS307" s="79">
        <f t="shared" si="209"/>
        <v>22.627750617902329</v>
      </c>
      <c r="AT307" s="79">
        <f t="shared" si="209"/>
        <v>15.918416196933119</v>
      </c>
      <c r="AU307" s="79">
        <f t="shared" si="209"/>
        <v>9.1704812002810474</v>
      </c>
      <c r="AV307" s="79">
        <f t="shared" si="209"/>
        <v>2.3260763833510336</v>
      </c>
      <c r="AW307" s="79">
        <f t="shared" si="209"/>
        <v>-4.595345485526698</v>
      </c>
      <c r="AX307" s="79">
        <f t="shared" si="209"/>
        <v>-11.678412211459833</v>
      </c>
      <c r="AY307" s="79">
        <f t="shared" si="209"/>
        <v>-19.844870545819361</v>
      </c>
      <c r="AZ307" s="79">
        <f t="shared" si="209"/>
        <v>-27.718553795272502</v>
      </c>
      <c r="BA307" s="79">
        <f t="shared" si="209"/>
        <v>-35.905443877195417</v>
      </c>
      <c r="BB307" s="79">
        <f t="shared" si="209"/>
        <v>-44.471804926712331</v>
      </c>
      <c r="BC307" s="79">
        <f t="shared" si="209"/>
        <v>-53.493562680588859</v>
      </c>
      <c r="BD307" s="79">
        <f t="shared" si="209"/>
        <v>-63.072233769469527</v>
      </c>
      <c r="BE307" s="79">
        <f t="shared" si="209"/>
        <v>-72.667531614211583</v>
      </c>
      <c r="BF307" s="79">
        <f t="shared" si="209"/>
        <v>-82.64521179242611</v>
      </c>
      <c r="BY307" s="112"/>
      <c r="BZ307" s="112"/>
      <c r="CA307" s="112"/>
      <c r="CB307" s="112"/>
      <c r="CC307" s="112"/>
      <c r="CD307" s="112"/>
      <c r="CE307" s="112"/>
    </row>
    <row r="308" spans="1:83">
      <c r="A308" s="69" t="s">
        <v>39</v>
      </c>
      <c r="X308" s="76">
        <f t="shared" si="209"/>
        <v>138.46372570471289</v>
      </c>
      <c r="Y308" s="76">
        <f t="shared" si="209"/>
        <v>135.16342408767181</v>
      </c>
      <c r="Z308" s="76">
        <f>Z147*Z195</f>
        <v>134.42535186156425</v>
      </c>
      <c r="AA308" s="76">
        <f t="shared" si="209"/>
        <v>123.08490041890991</v>
      </c>
      <c r="AB308" s="76">
        <f t="shared" si="209"/>
        <v>133.34143163436258</v>
      </c>
      <c r="AC308" s="76">
        <f t="shared" si="209"/>
        <v>125.21358455918785</v>
      </c>
      <c r="AD308" s="76">
        <f t="shared" si="209"/>
        <v>111.21466847463893</v>
      </c>
      <c r="AE308" s="76">
        <f t="shared" si="209"/>
        <v>100.34326041364758</v>
      </c>
      <c r="AF308" s="76">
        <f t="shared" si="209"/>
        <v>102.94964528585653</v>
      </c>
      <c r="AG308" s="76">
        <f t="shared" si="209"/>
        <v>114.46346978389951</v>
      </c>
      <c r="AH308" s="79">
        <f t="shared" si="209"/>
        <v>91.653518746427309</v>
      </c>
      <c r="AI308" s="79">
        <f t="shared" si="209"/>
        <v>86.163974403491565</v>
      </c>
      <c r="AJ308" s="79">
        <f t="shared" si="209"/>
        <v>77.483336180939574</v>
      </c>
      <c r="AK308" s="79">
        <f t="shared" si="209"/>
        <v>73.091175004192039</v>
      </c>
      <c r="AL308" s="79">
        <f t="shared" si="209"/>
        <v>68.7048586522276</v>
      </c>
      <c r="AM308" s="79">
        <f t="shared" si="209"/>
        <v>63.508711696886422</v>
      </c>
      <c r="AN308" s="79">
        <f t="shared" si="209"/>
        <v>55.571276844090619</v>
      </c>
      <c r="AO308" s="79">
        <f t="shared" si="209"/>
        <v>49.865513869421996</v>
      </c>
      <c r="AP308" s="79">
        <f t="shared" si="209"/>
        <v>43.630612936388516</v>
      </c>
      <c r="AQ308" s="79">
        <f t="shared" si="209"/>
        <v>37.851066603351356</v>
      </c>
      <c r="AR308" s="79">
        <f t="shared" si="209"/>
        <v>31.63907620290545</v>
      </c>
      <c r="AS308" s="79">
        <f t="shared" si="209"/>
        <v>25.07071000992168</v>
      </c>
      <c r="AT308" s="79">
        <f t="shared" si="209"/>
        <v>18.372878492276453</v>
      </c>
      <c r="AU308" s="79">
        <f t="shared" si="209"/>
        <v>11.966476731947459</v>
      </c>
      <c r="AV308" s="79">
        <f t="shared" si="209"/>
        <v>5.3285971621760853</v>
      </c>
      <c r="AW308" s="79">
        <f t="shared" si="209"/>
        <v>-1.3518600785108197</v>
      </c>
      <c r="AX308" s="79">
        <f t="shared" si="209"/>
        <v>-8.2093745879056108</v>
      </c>
      <c r="AY308" s="79">
        <f t="shared" si="209"/>
        <v>-15.880394772353855</v>
      </c>
      <c r="AZ308" s="79">
        <f t="shared" si="209"/>
        <v>-23.427994530987629</v>
      </c>
      <c r="BA308" s="79">
        <f t="shared" si="209"/>
        <v>-31.21087768996944</v>
      </c>
      <c r="BB308" s="79">
        <f t="shared" si="209"/>
        <v>-39.35682126456615</v>
      </c>
      <c r="BC308" s="79">
        <f t="shared" si="209"/>
        <v>-47.892106892379431</v>
      </c>
      <c r="BD308" s="79">
        <f t="shared" si="209"/>
        <v>-56.919064010712184</v>
      </c>
      <c r="BE308" s="79">
        <f t="shared" si="209"/>
        <v>-65.9859905703876</v>
      </c>
      <c r="BF308" s="79">
        <f t="shared" si="209"/>
        <v>-75.390304538796016</v>
      </c>
      <c r="BY308" s="112"/>
      <c r="BZ308" s="112"/>
      <c r="CA308" s="112"/>
      <c r="CB308" s="112"/>
      <c r="CC308" s="112"/>
      <c r="CD308" s="112"/>
      <c r="CE308" s="112"/>
    </row>
    <row r="309" spans="1:83">
      <c r="A309" s="69" t="s">
        <v>40</v>
      </c>
      <c r="X309" s="76">
        <f t="shared" si="209"/>
        <v>132.08605043334416</v>
      </c>
      <c r="Y309" s="76">
        <f t="shared" si="209"/>
        <v>139.24560663983962</v>
      </c>
      <c r="Z309" s="76">
        <f>Z148*Z196</f>
        <v>125.21686006230169</v>
      </c>
      <c r="AA309" s="76">
        <f t="shared" si="209"/>
        <v>110.60813438015187</v>
      </c>
      <c r="AB309" s="76">
        <f t="shared" si="209"/>
        <v>133.58760426246101</v>
      </c>
      <c r="AC309" s="76">
        <f t="shared" si="209"/>
        <v>120.42075006523537</v>
      </c>
      <c r="AD309" s="76">
        <f t="shared" si="209"/>
        <v>103.46523951457023</v>
      </c>
      <c r="AE309" s="76">
        <f t="shared" si="209"/>
        <v>98.787296652452724</v>
      </c>
      <c r="AF309" s="76">
        <f t="shared" si="209"/>
        <v>112.94763886091658</v>
      </c>
      <c r="AG309" s="79">
        <f t="shared" si="209"/>
        <v>111.69414179830009</v>
      </c>
      <c r="AH309" s="79">
        <f t="shared" si="209"/>
        <v>90.089612366601827</v>
      </c>
      <c r="AI309" s="79">
        <f t="shared" si="209"/>
        <v>86.307367797236168</v>
      </c>
      <c r="AJ309" s="79">
        <f t="shared" si="209"/>
        <v>77.621141554945737</v>
      </c>
      <c r="AK309" s="79">
        <f t="shared" si="209"/>
        <v>75.44435275475108</v>
      </c>
      <c r="AL309" s="79">
        <f t="shared" si="209"/>
        <v>69.735506522105482</v>
      </c>
      <c r="AM309" s="79">
        <f t="shared" si="209"/>
        <v>62.801453605387465</v>
      </c>
      <c r="AN309" s="79">
        <f t="shared" si="209"/>
        <v>55.351371879394762</v>
      </c>
      <c r="AO309" s="79">
        <f t="shared" si="209"/>
        <v>49.548370008432499</v>
      </c>
      <c r="AP309" s="79">
        <f t="shared" si="209"/>
        <v>43.24693445163512</v>
      </c>
      <c r="AQ309" s="79">
        <f t="shared" si="209"/>
        <v>37.228260696774107</v>
      </c>
      <c r="AR309" s="79">
        <f t="shared" si="209"/>
        <v>30.468724851014947</v>
      </c>
      <c r="AS309" s="79">
        <f t="shared" si="209"/>
        <v>23.656548080812275</v>
      </c>
      <c r="AT309" s="79">
        <f t="shared" si="209"/>
        <v>16.82053610764935</v>
      </c>
      <c r="AU309" s="79">
        <f t="shared" si="209"/>
        <v>10.157228048360279</v>
      </c>
      <c r="AV309" s="79">
        <f t="shared" si="209"/>
        <v>3.2571359424528867</v>
      </c>
      <c r="AW309" s="79">
        <f t="shared" si="209"/>
        <v>-3.7104693029880798</v>
      </c>
      <c r="AX309" s="79">
        <f t="shared" si="209"/>
        <v>-10.866956188420406</v>
      </c>
      <c r="AY309" s="79">
        <f t="shared" si="209"/>
        <v>-19.133444057182576</v>
      </c>
      <c r="AZ309" s="79">
        <f t="shared" si="209"/>
        <v>-27.118615885440747</v>
      </c>
      <c r="BA309" s="79">
        <f t="shared" si="209"/>
        <v>-35.420366321446529</v>
      </c>
      <c r="BB309" s="79">
        <f t="shared" si="209"/>
        <v>-44.160990891255729</v>
      </c>
      <c r="BC309" s="79">
        <f t="shared" si="209"/>
        <v>-53.390848843050549</v>
      </c>
      <c r="BD309" s="79">
        <f t="shared" si="209"/>
        <v>-63.23029464747539</v>
      </c>
      <c r="BE309" s="79">
        <f t="shared" si="209"/>
        <v>-73.077402174334523</v>
      </c>
      <c r="BF309" s="79">
        <f t="shared" si="209"/>
        <v>-83.343803831575016</v>
      </c>
      <c r="BY309" s="112"/>
      <c r="BZ309" s="112"/>
      <c r="CA309" s="112"/>
      <c r="CB309" s="112"/>
      <c r="CC309" s="112"/>
      <c r="CD309" s="112"/>
      <c r="CE309" s="112"/>
    </row>
    <row r="310" spans="1:83">
      <c r="A310" s="69" t="s">
        <v>30</v>
      </c>
      <c r="W310" s="76">
        <f t="shared" ref="W310:W317" si="210">W148*W197</f>
        <v>135.03005999999999</v>
      </c>
      <c r="X310" s="76">
        <f t="shared" si="209"/>
        <v>121.86593225344954</v>
      </c>
      <c r="Y310" s="76">
        <f t="shared" si="209"/>
        <v>117.24904830483965</v>
      </c>
      <c r="Z310" s="76">
        <f t="shared" si="209"/>
        <v>114.50061521475293</v>
      </c>
      <c r="AA310" s="76">
        <f t="shared" si="209"/>
        <v>104.50234029323222</v>
      </c>
      <c r="AB310" s="76">
        <f t="shared" si="209"/>
        <v>127.31915359437592</v>
      </c>
      <c r="AC310" s="76">
        <f t="shared" si="209"/>
        <v>89.843805972658032</v>
      </c>
      <c r="AD310" s="76">
        <f t="shared" si="209"/>
        <v>81.092013779998027</v>
      </c>
      <c r="AE310" s="76">
        <f t="shared" si="209"/>
        <v>107.88075225103512</v>
      </c>
      <c r="AF310" s="76">
        <f>AF149*AF197</f>
        <v>96.375660722502531</v>
      </c>
      <c r="AG310" s="79">
        <f t="shared" si="209"/>
        <v>115.09829864243906</v>
      </c>
      <c r="AH310" s="79">
        <f t="shared" si="209"/>
        <v>75.775757221663994</v>
      </c>
      <c r="AI310" s="79">
        <f t="shared" si="209"/>
        <v>74.289943591608747</v>
      </c>
      <c r="AJ310" s="79">
        <f t="shared" si="209"/>
        <v>70.404866740941983</v>
      </c>
      <c r="AK310" s="79">
        <f t="shared" si="209"/>
        <v>69.824989045237743</v>
      </c>
      <c r="AL310" s="79">
        <f t="shared" si="209"/>
        <v>62.123650590427616</v>
      </c>
      <c r="AM310" s="79">
        <f t="shared" si="209"/>
        <v>56.271853867339289</v>
      </c>
      <c r="AN310" s="79">
        <f t="shared" si="209"/>
        <v>46.695176335921083</v>
      </c>
      <c r="AO310" s="79">
        <f t="shared" si="209"/>
        <v>42.427327818261993</v>
      </c>
      <c r="AP310" s="79">
        <f t="shared" si="209"/>
        <v>36.629864063919413</v>
      </c>
      <c r="AQ310" s="79">
        <f t="shared" si="209"/>
        <v>30.731783453879004</v>
      </c>
      <c r="AR310" s="79">
        <f t="shared" si="209"/>
        <v>23.747407686457439</v>
      </c>
      <c r="AS310" s="79">
        <f t="shared" si="209"/>
        <v>17.163972693617495</v>
      </c>
      <c r="AT310" s="79">
        <f t="shared" si="209"/>
        <v>10.309184509310899</v>
      </c>
      <c r="AU310" s="79">
        <f t="shared" si="209"/>
        <v>4.0883359724346784</v>
      </c>
      <c r="AV310" s="79">
        <f t="shared" si="209"/>
        <v>-2.6699000199635434</v>
      </c>
      <c r="AW310" s="79">
        <f t="shared" si="209"/>
        <v>-9.5200045821220485</v>
      </c>
      <c r="AX310" s="79">
        <f t="shared" si="209"/>
        <v>-17.577617114394503</v>
      </c>
      <c r="AY310" s="79">
        <f t="shared" si="209"/>
        <v>-25.38672272186572</v>
      </c>
      <c r="AZ310" s="79">
        <f t="shared" si="209"/>
        <v>-33.490131977307158</v>
      </c>
      <c r="BA310" s="79">
        <f t="shared" si="209"/>
        <v>-41.946364704569461</v>
      </c>
      <c r="BB310" s="79">
        <f t="shared" si="209"/>
        <v>-51.013999126591088</v>
      </c>
      <c r="BC310" s="79">
        <f t="shared" si="209"/>
        <v>-60.691946423893803</v>
      </c>
      <c r="BD310" s="79">
        <f t="shared" si="209"/>
        <v>-70.428782692227642</v>
      </c>
      <c r="BE310" s="79">
        <f t="shared" si="209"/>
        <v>-80.554770850547442</v>
      </c>
      <c r="BF310" s="79">
        <f t="shared" si="209"/>
        <v>-91.133599020479011</v>
      </c>
      <c r="BY310" s="112"/>
      <c r="BZ310" s="112"/>
      <c r="CA310" s="112"/>
      <c r="CB310" s="112"/>
      <c r="CC310" s="112"/>
      <c r="CD310" s="112"/>
      <c r="CE310" s="112"/>
    </row>
    <row r="311" spans="1:83">
      <c r="A311" s="69" t="s">
        <v>31</v>
      </c>
      <c r="W311" s="76">
        <f t="shared" si="210"/>
        <v>113.7024</v>
      </c>
      <c r="X311" s="76">
        <f t="shared" si="209"/>
        <v>129.53276231433603</v>
      </c>
      <c r="Y311" s="76">
        <f t="shared" si="209"/>
        <v>128.39365200952963</v>
      </c>
      <c r="Z311" s="76">
        <f t="shared" si="209"/>
        <v>123.04670519147356</v>
      </c>
      <c r="AA311" s="76">
        <f t="shared" si="209"/>
        <v>112.2925588474417</v>
      </c>
      <c r="AB311" s="76">
        <f t="shared" si="209"/>
        <v>116.46696336745649</v>
      </c>
      <c r="AC311" s="76">
        <f t="shared" si="209"/>
        <v>100.55017656441157</v>
      </c>
      <c r="AD311" s="76">
        <f t="shared" si="209"/>
        <v>95.775262184595007</v>
      </c>
      <c r="AE311" s="76">
        <f t="shared" si="209"/>
        <v>98.632185055708348</v>
      </c>
      <c r="AF311" s="76">
        <f>AF150*AF198</f>
        <v>97.763936432511017</v>
      </c>
      <c r="AG311" s="79">
        <f t="shared" si="209"/>
        <v>91.702287154084644</v>
      </c>
      <c r="AH311" s="79">
        <f t="shared" si="209"/>
        <v>82.767370818695767</v>
      </c>
      <c r="AI311" s="79">
        <f t="shared" si="209"/>
        <v>80.228818257874607</v>
      </c>
      <c r="AJ311" s="79">
        <f t="shared" si="209"/>
        <v>72.282522559365518</v>
      </c>
      <c r="AK311" s="79">
        <f t="shared" si="209"/>
        <v>68.713515769281386</v>
      </c>
      <c r="AL311" s="79">
        <f t="shared" si="209"/>
        <v>61.529763051008089</v>
      </c>
      <c r="AM311" s="79">
        <f t="shared" si="209"/>
        <v>56.815313978862733</v>
      </c>
      <c r="AN311" s="79">
        <f t="shared" si="209"/>
        <v>51.231432365105363</v>
      </c>
      <c r="AO311" s="79">
        <f t="shared" si="209"/>
        <v>45.398659023914192</v>
      </c>
      <c r="AP311" s="79">
        <f t="shared" si="209"/>
        <v>39.222646887594685</v>
      </c>
      <c r="AQ311" s="79">
        <f t="shared" si="209"/>
        <v>33.602522612971548</v>
      </c>
      <c r="AR311" s="79">
        <f t="shared" si="209"/>
        <v>27.533153207469866</v>
      </c>
      <c r="AS311" s="79">
        <f t="shared" si="209"/>
        <v>21.622677324630668</v>
      </c>
      <c r="AT311" s="79">
        <f t="shared" si="209"/>
        <v>15.433859387913216</v>
      </c>
      <c r="AU311" s="79">
        <f t="shared" si="209"/>
        <v>9.213936732167463</v>
      </c>
      <c r="AV311" s="79">
        <f t="shared" si="209"/>
        <v>2.9261059060212444</v>
      </c>
      <c r="AW311" s="79">
        <f t="shared" si="209"/>
        <v>-3.3811768977557963</v>
      </c>
      <c r="AX311" s="79">
        <f t="shared" si="209"/>
        <v>-10.550649055084108</v>
      </c>
      <c r="AY311" s="79">
        <f t="shared" si="209"/>
        <v>-17.598255141551093</v>
      </c>
      <c r="AZ311" s="79">
        <f t="shared" si="209"/>
        <v>-25.058120074879778</v>
      </c>
      <c r="BA311" s="79">
        <f t="shared" si="209"/>
        <v>-32.870422004495175</v>
      </c>
      <c r="BB311" s="79">
        <f t="shared" si="209"/>
        <v>-41.133521131616391</v>
      </c>
      <c r="BC311" s="79">
        <f t="shared" si="209"/>
        <v>-49.94615272593083</v>
      </c>
      <c r="BD311" s="79">
        <f t="shared" si="209"/>
        <v>-58.753391861846374</v>
      </c>
      <c r="BE311" s="79">
        <f t="shared" si="209"/>
        <v>-67.999113283773525</v>
      </c>
      <c r="BF311" s="79">
        <f t="shared" si="209"/>
        <v>-77.646889826656889</v>
      </c>
      <c r="BY311" s="112"/>
      <c r="BZ311" s="112"/>
      <c r="CA311" s="112"/>
      <c r="CB311" s="112"/>
      <c r="CC311" s="112"/>
      <c r="CD311" s="112"/>
      <c r="CE311" s="112"/>
    </row>
    <row r="312" spans="1:83">
      <c r="A312" s="69" t="s">
        <v>32</v>
      </c>
      <c r="W312" s="76">
        <f t="shared" si="210"/>
        <v>129.97943999999998</v>
      </c>
      <c r="X312" s="76">
        <f t="shared" si="209"/>
        <v>121.23697211601147</v>
      </c>
      <c r="Y312" s="76">
        <f t="shared" si="209"/>
        <v>133.7322088402093</v>
      </c>
      <c r="Z312" s="76">
        <f t="shared" si="209"/>
        <v>112.73389157027364</v>
      </c>
      <c r="AA312" s="76">
        <f t="shared" si="209"/>
        <v>116.56780220897814</v>
      </c>
      <c r="AB312" s="76">
        <f t="shared" si="209"/>
        <v>93.17177375720928</v>
      </c>
      <c r="AC312" s="76">
        <f t="shared" si="209"/>
        <v>108.32022923504452</v>
      </c>
      <c r="AD312" s="76">
        <f t="shared" si="209"/>
        <v>84.889820408898785</v>
      </c>
      <c r="AE312" s="76">
        <f t="shared" si="209"/>
        <v>107.36349380393771</v>
      </c>
      <c r="AF312" s="76">
        <f t="shared" si="209"/>
        <v>106.58627576632018</v>
      </c>
      <c r="AG312" s="79">
        <f t="shared" si="209"/>
        <v>84.305680897135645</v>
      </c>
      <c r="AH312" s="79">
        <f t="shared" si="209"/>
        <v>78.153909554663755</v>
      </c>
      <c r="AI312" s="79">
        <f t="shared" si="209"/>
        <v>74.380434895587385</v>
      </c>
      <c r="AJ312" s="79">
        <f t="shared" si="209"/>
        <v>66.641920610423284</v>
      </c>
      <c r="AK312" s="79">
        <f t="shared" si="209"/>
        <v>64.909167615031549</v>
      </c>
      <c r="AL312" s="79">
        <f t="shared" si="209"/>
        <v>56.483301371488558</v>
      </c>
      <c r="AM312" s="79">
        <f t="shared" si="209"/>
        <v>49.380768506412736</v>
      </c>
      <c r="AN312" s="79">
        <f t="shared" si="209"/>
        <v>44.141051071229313</v>
      </c>
      <c r="AO312" s="79">
        <f t="shared" si="209"/>
        <v>38.18243078357682</v>
      </c>
      <c r="AP312" s="79">
        <f t="shared" si="209"/>
        <v>31.911576062013332</v>
      </c>
      <c r="AQ312" s="79">
        <f t="shared" si="209"/>
        <v>25.902132335431126</v>
      </c>
      <c r="AR312" s="79">
        <f t="shared" si="209"/>
        <v>18.916068304264144</v>
      </c>
      <c r="AS312" s="79">
        <f t="shared" si="209"/>
        <v>12.472495305555201</v>
      </c>
      <c r="AT312" s="79">
        <f t="shared" si="209"/>
        <v>6.080179889544052</v>
      </c>
      <c r="AU312" s="79">
        <f t="shared" si="209"/>
        <v>-0.58305515753645687</v>
      </c>
      <c r="AV312" s="79">
        <f t="shared" si="209"/>
        <v>-7.3485784341671945</v>
      </c>
      <c r="AW312" s="79">
        <f t="shared" si="209"/>
        <v>-14.193596850550124</v>
      </c>
      <c r="AX312" s="79">
        <f t="shared" si="209"/>
        <v>-22.408926744230548</v>
      </c>
      <c r="AY312" s="79">
        <f t="shared" si="209"/>
        <v>-29.805775629974232</v>
      </c>
      <c r="AZ312" s="79">
        <f t="shared" si="209"/>
        <v>-37.699087157073592</v>
      </c>
      <c r="BA312" s="79">
        <f t="shared" si="209"/>
        <v>-45.970628366244519</v>
      </c>
      <c r="BB312" s="79">
        <f t="shared" si="209"/>
        <v>-54.655873172960163</v>
      </c>
      <c r="BC312" s="79">
        <f t="shared" si="209"/>
        <v>-63.847517458733662</v>
      </c>
      <c r="BD312" s="79">
        <f t="shared" si="209"/>
        <v>-72.944750515686749</v>
      </c>
      <c r="BE312" s="79">
        <f t="shared" si="209"/>
        <v>-82.450294832311371</v>
      </c>
      <c r="BF312" s="79">
        <f t="shared" si="209"/>
        <v>-92.316716260396419</v>
      </c>
      <c r="BY312" s="112"/>
      <c r="BZ312" s="112"/>
      <c r="CA312" s="112"/>
      <c r="CB312" s="112"/>
      <c r="CC312" s="112"/>
      <c r="CD312" s="112"/>
      <c r="CE312" s="112"/>
    </row>
    <row r="313" spans="1:83">
      <c r="A313" s="69" t="s">
        <v>33</v>
      </c>
      <c r="W313" s="76">
        <f t="shared" si="210"/>
        <v>120.38862</v>
      </c>
      <c r="X313" s="76">
        <f t="shared" si="209"/>
        <v>130.12776427410023</v>
      </c>
      <c r="Y313" s="76">
        <f t="shared" si="209"/>
        <v>128.35186235573696</v>
      </c>
      <c r="Z313" s="76">
        <f>Z152*Z200</f>
        <v>113.39729006026688</v>
      </c>
      <c r="AA313" s="76">
        <f t="shared" si="209"/>
        <v>118.63957746289263</v>
      </c>
      <c r="AB313" s="76">
        <f t="shared" si="209"/>
        <v>119.009845698554</v>
      </c>
      <c r="AC313" s="76">
        <f t="shared" si="209"/>
        <v>96.182395760018736</v>
      </c>
      <c r="AD313" s="76">
        <f t="shared" si="209"/>
        <v>96.599232488071848</v>
      </c>
      <c r="AE313" s="76">
        <f t="shared" si="209"/>
        <v>96.774902680755588</v>
      </c>
      <c r="AF313" s="76">
        <f t="shared" si="209"/>
        <v>94.914877766154675</v>
      </c>
      <c r="AG313" s="79">
        <f t="shared" si="209"/>
        <v>94.832663523401195</v>
      </c>
      <c r="AH313" s="79">
        <f t="shared" si="209"/>
        <v>96.56206201674803</v>
      </c>
      <c r="AI313" s="79">
        <f t="shared" si="209"/>
        <v>74.696569758060889</v>
      </c>
      <c r="AJ313" s="79">
        <f t="shared" si="209"/>
        <v>74.58439996902699</v>
      </c>
      <c r="AK313" s="79">
        <f t="shared" si="209"/>
        <v>70.267993197366678</v>
      </c>
      <c r="AL313" s="79">
        <f t="shared" si="209"/>
        <v>65.40259443601461</v>
      </c>
      <c r="AM313" s="79">
        <f t="shared" ref="AM313:BF317" si="211">AM152*AM200</f>
        <v>61.411183465407809</v>
      </c>
      <c r="AN313" s="79">
        <f t="shared" si="211"/>
        <v>54.373100161363666</v>
      </c>
      <c r="AO313" s="79">
        <f t="shared" si="211"/>
        <v>47.146836354636037</v>
      </c>
      <c r="AP313" s="79">
        <f t="shared" si="211"/>
        <v>42.860326735919045</v>
      </c>
      <c r="AQ313" s="79">
        <f t="shared" si="211"/>
        <v>37.130377851799587</v>
      </c>
      <c r="AR313" s="79">
        <f t="shared" si="211"/>
        <v>31.429652340461541</v>
      </c>
      <c r="AS313" s="79">
        <f t="shared" si="211"/>
        <v>25.37691546010717</v>
      </c>
      <c r="AT313" s="79">
        <f t="shared" si="211"/>
        <v>19.099200537176394</v>
      </c>
      <c r="AU313" s="79">
        <f t="shared" si="211"/>
        <v>13.000583327465471</v>
      </c>
      <c r="AV313" s="79">
        <f t="shared" si="211"/>
        <v>7.0974249355840087</v>
      </c>
      <c r="AW313" s="79">
        <f t="shared" si="211"/>
        <v>0.80967817488607408</v>
      </c>
      <c r="AX313" s="79">
        <f t="shared" si="211"/>
        <v>-5.8123178343815107</v>
      </c>
      <c r="AY313" s="79">
        <f t="shared" si="211"/>
        <v>-12.564151080510854</v>
      </c>
      <c r="AZ313" s="79">
        <f t="shared" si="211"/>
        <v>-19.571833318363684</v>
      </c>
      <c r="BA313" s="79">
        <f t="shared" si="211"/>
        <v>-26.78717417516102</v>
      </c>
      <c r="BB313" s="79">
        <f t="shared" si="211"/>
        <v>-34.311755492766594</v>
      </c>
      <c r="BC313" s="79">
        <f t="shared" si="211"/>
        <v>-42.260555926017112</v>
      </c>
      <c r="BD313" s="79">
        <f t="shared" si="211"/>
        <v>-50.187185764881477</v>
      </c>
      <c r="BE313" s="79">
        <f t="shared" si="211"/>
        <v>-58.456229481639681</v>
      </c>
      <c r="BF313" s="79">
        <f t="shared" si="211"/>
        <v>-66.993637008867935</v>
      </c>
      <c r="BY313" s="112"/>
      <c r="BZ313" s="112"/>
      <c r="CA313" s="112"/>
      <c r="CB313" s="112"/>
      <c r="CC313" s="112"/>
      <c r="CD313" s="112"/>
      <c r="CE313" s="112"/>
    </row>
    <row r="314" spans="1:83">
      <c r="A314" s="69" t="s">
        <v>14</v>
      </c>
      <c r="W314" s="76">
        <f t="shared" si="210"/>
        <v>134.57321999999999</v>
      </c>
      <c r="X314" s="76">
        <f t="shared" ref="X314:AL317" si="212">X153*X201</f>
        <v>130.21327143858227</v>
      </c>
      <c r="Y314" s="76">
        <f t="shared" si="212"/>
        <v>131.39041603356009</v>
      </c>
      <c r="Z314" s="76">
        <f t="shared" si="212"/>
        <v>116.12894351671544</v>
      </c>
      <c r="AA314" s="76">
        <f t="shared" si="212"/>
        <v>117.69275677168285</v>
      </c>
      <c r="AB314" s="76">
        <f t="shared" si="212"/>
        <v>121.67742503933135</v>
      </c>
      <c r="AC314" s="76">
        <f t="shared" si="212"/>
        <v>115.84231165977988</v>
      </c>
      <c r="AD314" s="76">
        <f t="shared" si="212"/>
        <v>104.65903404176902</v>
      </c>
      <c r="AE314" s="76">
        <f t="shared" si="212"/>
        <v>94.437357586548671</v>
      </c>
      <c r="AF314" s="76">
        <f t="shared" si="212"/>
        <v>102.50098646147947</v>
      </c>
      <c r="AG314" s="79">
        <f t="shared" si="212"/>
        <v>95.052399258563455</v>
      </c>
      <c r="AH314" s="79">
        <f t="shared" si="212"/>
        <v>95.813632827122035</v>
      </c>
      <c r="AI314" s="79">
        <f t="shared" si="212"/>
        <v>78.575797422210059</v>
      </c>
      <c r="AJ314" s="79">
        <f t="shared" si="212"/>
        <v>75.152560213808769</v>
      </c>
      <c r="AK314" s="79">
        <f t="shared" si="212"/>
        <v>70.01935978438334</v>
      </c>
      <c r="AL314" s="79">
        <f t="shared" si="212"/>
        <v>65.75515286171435</v>
      </c>
      <c r="AM314" s="79">
        <f t="shared" si="211"/>
        <v>60.102451407796828</v>
      </c>
      <c r="AN314" s="79">
        <f t="shared" si="211"/>
        <v>53.442891023215878</v>
      </c>
      <c r="AO314" s="79">
        <f t="shared" si="211"/>
        <v>46.122834904426746</v>
      </c>
      <c r="AP314" s="79">
        <f t="shared" si="211"/>
        <v>40.792337741653398</v>
      </c>
      <c r="AQ314" s="79">
        <f t="shared" si="211"/>
        <v>34.715757086733369</v>
      </c>
      <c r="AR314" s="79">
        <f t="shared" si="211"/>
        <v>28.574540496182156</v>
      </c>
      <c r="AS314" s="79">
        <f t="shared" si="211"/>
        <v>21.967641402363338</v>
      </c>
      <c r="AT314" s="79">
        <f t="shared" si="211"/>
        <v>15.349069874319095</v>
      </c>
      <c r="AU314" s="79">
        <f t="shared" si="211"/>
        <v>8.7132125997476102</v>
      </c>
      <c r="AV314" s="79">
        <f t="shared" si="211"/>
        <v>2.2234595610216443</v>
      </c>
      <c r="AW314" s="79">
        <f t="shared" si="211"/>
        <v>-4.5444592934275985</v>
      </c>
      <c r="AX314" s="79">
        <f t="shared" si="211"/>
        <v>-11.798923033673921</v>
      </c>
      <c r="AY314" s="79">
        <f t="shared" si="211"/>
        <v>-18.89825452903413</v>
      </c>
      <c r="AZ314" s="79">
        <f t="shared" si="211"/>
        <v>-26.267270957794427</v>
      </c>
      <c r="BA314" s="79">
        <f t="shared" si="211"/>
        <v>-33.822503704656036</v>
      </c>
      <c r="BB314" s="79">
        <f t="shared" si="211"/>
        <v>-41.602301103410007</v>
      </c>
      <c r="BC314" s="79">
        <f t="shared" si="211"/>
        <v>-49.693852284348864</v>
      </c>
      <c r="BD314" s="79">
        <f t="shared" si="211"/>
        <v>-57.7393491134643</v>
      </c>
      <c r="BE314" s="79">
        <f t="shared" si="211"/>
        <v>-66.076649382660719</v>
      </c>
      <c r="BF314" s="79">
        <f t="shared" si="211"/>
        <v>-74.610748092705037</v>
      </c>
      <c r="BY314" s="112"/>
      <c r="BZ314" s="112"/>
      <c r="CA314" s="112"/>
      <c r="CB314" s="112"/>
      <c r="CC314" s="112"/>
      <c r="CD314" s="112"/>
      <c r="CE314" s="112"/>
    </row>
    <row r="315" spans="1:83">
      <c r="A315" s="69" t="s">
        <v>34</v>
      </c>
      <c r="W315" s="76">
        <f t="shared" si="210"/>
        <v>128.50175999999999</v>
      </c>
      <c r="X315" s="76">
        <f t="shared" si="212"/>
        <v>137.97519385337228</v>
      </c>
      <c r="Y315" s="76">
        <f t="shared" si="212"/>
        <v>123.76670115605033</v>
      </c>
      <c r="Z315" s="76">
        <f t="shared" si="212"/>
        <v>122.04285131952255</v>
      </c>
      <c r="AA315" s="76">
        <f t="shared" si="212"/>
        <v>123.66987689011029</v>
      </c>
      <c r="AB315" s="76">
        <f t="shared" si="212"/>
        <v>126.52931306028165</v>
      </c>
      <c r="AC315" s="76">
        <f t="shared" si="212"/>
        <v>107.21727078431474</v>
      </c>
      <c r="AD315" s="76">
        <f t="shared" si="212"/>
        <v>93.805135428122426</v>
      </c>
      <c r="AE315" s="76">
        <f t="shared" si="212"/>
        <v>98.237253570823015</v>
      </c>
      <c r="AF315" s="76">
        <f t="shared" si="212"/>
        <v>105.73502160285319</v>
      </c>
      <c r="AG315" s="79">
        <f t="shared" si="212"/>
        <v>90.493899077519771</v>
      </c>
      <c r="AH315" s="79">
        <f t="shared" si="212"/>
        <v>87.694083637742523</v>
      </c>
      <c r="AI315" s="79">
        <f t="shared" si="212"/>
        <v>75.120522872723626</v>
      </c>
      <c r="AJ315" s="79">
        <f t="shared" si="212"/>
        <v>71.06652616456627</v>
      </c>
      <c r="AK315" s="79">
        <f t="shared" si="212"/>
        <v>67.276182366894588</v>
      </c>
      <c r="AL315" s="79">
        <f t="shared" si="212"/>
        <v>62.426962934615879</v>
      </c>
      <c r="AM315" s="79">
        <f t="shared" si="211"/>
        <v>55.036931858608568</v>
      </c>
      <c r="AN315" s="79">
        <f t="shared" si="211"/>
        <v>49.166872163129511</v>
      </c>
      <c r="AO315" s="79">
        <f t="shared" si="211"/>
        <v>42.455644216755204</v>
      </c>
      <c r="AP315" s="79">
        <f t="shared" si="211"/>
        <v>37.015828098607848</v>
      </c>
      <c r="AQ315" s="79">
        <f t="shared" si="211"/>
        <v>31.008462253260614</v>
      </c>
      <c r="AR315" s="79">
        <f t="shared" si="211"/>
        <v>24.543576778237199</v>
      </c>
      <c r="AS315" s="79">
        <f t="shared" si="211"/>
        <v>17.915032498725441</v>
      </c>
      <c r="AT315" s="79">
        <f t="shared" si="211"/>
        <v>11.504860162016623</v>
      </c>
      <c r="AU315" s="79">
        <f t="shared" si="211"/>
        <v>4.9100726108500083</v>
      </c>
      <c r="AV315" s="79">
        <f t="shared" si="211"/>
        <v>-1.6297791673416879</v>
      </c>
      <c r="AW315" s="79">
        <f t="shared" si="211"/>
        <v>-8.4115512444034959</v>
      </c>
      <c r="AX315" s="79">
        <f t="shared" si="211"/>
        <v>-15.62237400415853</v>
      </c>
      <c r="AY315" s="79">
        <f t="shared" si="211"/>
        <v>-22.30230879881902</v>
      </c>
      <c r="AZ315" s="79">
        <f t="shared" si="211"/>
        <v>-29.338212626517596</v>
      </c>
      <c r="BA315" s="79">
        <f t="shared" si="211"/>
        <v>-36.49409019809476</v>
      </c>
      <c r="BB315" s="79">
        <f t="shared" si="211"/>
        <v>-43.744147245260429</v>
      </c>
      <c r="BC315" s="79">
        <f t="shared" si="211"/>
        <v>-51.126942399153663</v>
      </c>
      <c r="BD315" s="79">
        <f t="shared" si="211"/>
        <v>-58.376252780682307</v>
      </c>
      <c r="BE315" s="79">
        <f t="shared" si="211"/>
        <v>-65.863211324825258</v>
      </c>
      <c r="BF315" s="79">
        <f t="shared" si="211"/>
        <v>-73.429143678067078</v>
      </c>
      <c r="BY315" s="112"/>
      <c r="BZ315" s="112"/>
      <c r="CA315" s="112"/>
      <c r="CB315" s="112"/>
      <c r="CC315" s="112"/>
      <c r="CD315" s="112"/>
      <c r="CE315" s="112"/>
    </row>
    <row r="316" spans="1:83">
      <c r="A316" s="69" t="s">
        <v>35</v>
      </c>
      <c r="W316" s="76">
        <f t="shared" si="210"/>
        <v>132.47513999999998</v>
      </c>
      <c r="X316" s="76">
        <f t="shared" si="212"/>
        <v>132.35494878807268</v>
      </c>
      <c r="Y316" s="76">
        <f t="shared" si="212"/>
        <v>138.81959925985021</v>
      </c>
      <c r="Z316" s="76">
        <f t="shared" si="212"/>
        <v>121.70446203281939</v>
      </c>
      <c r="AA316" s="76">
        <f t="shared" si="212"/>
        <v>129.39432632246064</v>
      </c>
      <c r="AB316" s="76">
        <f t="shared" si="212"/>
        <v>113.41508150372036</v>
      </c>
      <c r="AC316" s="76">
        <f t="shared" si="212"/>
        <v>108.45158022022717</v>
      </c>
      <c r="AD316" s="76">
        <f t="shared" si="212"/>
        <v>82.770119435714832</v>
      </c>
      <c r="AE316" s="76">
        <f t="shared" si="212"/>
        <v>107.2166867288997</v>
      </c>
      <c r="AF316" s="76">
        <f t="shared" si="212"/>
        <v>107.69434744345442</v>
      </c>
      <c r="AG316" s="79">
        <f t="shared" si="212"/>
        <v>83.869828545899779</v>
      </c>
      <c r="AH316" s="79">
        <f t="shared" si="212"/>
        <v>78.182683187982903</v>
      </c>
      <c r="AI316" s="79">
        <f t="shared" si="212"/>
        <v>70.214108511675818</v>
      </c>
      <c r="AJ316" s="79">
        <f t="shared" si="212"/>
        <v>65.8413014536508</v>
      </c>
      <c r="AK316" s="79">
        <f t="shared" si="212"/>
        <v>63.979776294406449</v>
      </c>
      <c r="AL316" s="79">
        <f t="shared" si="212"/>
        <v>56.075459387397736</v>
      </c>
      <c r="AM316" s="79">
        <f t="shared" si="211"/>
        <v>49.088221496213635</v>
      </c>
      <c r="AN316" s="79">
        <f t="shared" si="211"/>
        <v>43.396750389291853</v>
      </c>
      <c r="AO316" s="79">
        <f t="shared" si="211"/>
        <v>37.332406372072725</v>
      </c>
      <c r="AP316" s="79">
        <f t="shared" si="211"/>
        <v>31.512648980051697</v>
      </c>
      <c r="AQ316" s="79">
        <f t="shared" si="211"/>
        <v>25.49415049721626</v>
      </c>
      <c r="AR316" s="79">
        <f t="shared" si="211"/>
        <v>18.688214026274618</v>
      </c>
      <c r="AS316" s="79">
        <f t="shared" si="211"/>
        <v>12.209710222362091</v>
      </c>
      <c r="AT316" s="79">
        <f t="shared" si="211"/>
        <v>5.7822002611516519</v>
      </c>
      <c r="AU316" s="79">
        <f t="shared" si="211"/>
        <v>-0.81994954583892798</v>
      </c>
      <c r="AV316" s="79">
        <f t="shared" si="211"/>
        <v>-7.4848937833758393</v>
      </c>
      <c r="AW316" s="79">
        <f t="shared" si="211"/>
        <v>-14.318690631982976</v>
      </c>
      <c r="AX316" s="79">
        <f t="shared" si="211"/>
        <v>-21.238252273754615</v>
      </c>
      <c r="AY316" s="79">
        <f t="shared" si="211"/>
        <v>-29.224535132815816</v>
      </c>
      <c r="AZ316" s="79">
        <f t="shared" si="211"/>
        <v>-36.768103811252544</v>
      </c>
      <c r="BA316" s="79">
        <f t="shared" si="211"/>
        <v>-44.573883160220454</v>
      </c>
      <c r="BB316" s="79">
        <f t="shared" si="211"/>
        <v>-52.666761293372247</v>
      </c>
      <c r="BC316" s="79">
        <f t="shared" si="211"/>
        <v>-61.10717184903794</v>
      </c>
      <c r="BD316" s="79">
        <f t="shared" si="211"/>
        <v>-69.975313521063924</v>
      </c>
      <c r="BE316" s="79">
        <f t="shared" si="211"/>
        <v>-78.821921075534178</v>
      </c>
      <c r="BF316" s="79">
        <f t="shared" si="211"/>
        <v>-87.962018324030609</v>
      </c>
      <c r="BY316" s="112"/>
      <c r="BZ316" s="112"/>
      <c r="CA316" s="112"/>
      <c r="CB316" s="112"/>
      <c r="CC316" s="112"/>
      <c r="CD316" s="112"/>
      <c r="CE316" s="112"/>
    </row>
    <row r="317" spans="1:83">
      <c r="A317" s="69" t="s">
        <v>36</v>
      </c>
      <c r="W317" s="76">
        <f t="shared" si="210"/>
        <v>133.93871999999999</v>
      </c>
      <c r="X317" s="76">
        <f t="shared" si="212"/>
        <v>133.46522461091968</v>
      </c>
      <c r="Y317" s="76">
        <f t="shared" si="212"/>
        <v>127.69275489228188</v>
      </c>
      <c r="Z317" s="76">
        <f t="shared" si="212"/>
        <v>111.35076089754372</v>
      </c>
      <c r="AA317" s="76">
        <f t="shared" si="212"/>
        <v>115.94885089687551</v>
      </c>
      <c r="AB317" s="76">
        <f t="shared" si="212"/>
        <v>115.03685316107241</v>
      </c>
      <c r="AC317" s="76">
        <f t="shared" si="212"/>
        <v>91.665954234935711</v>
      </c>
      <c r="AD317" s="76">
        <f t="shared" si="212"/>
        <v>81.358455722679082</v>
      </c>
      <c r="AE317" s="76">
        <f t="shared" si="212"/>
        <v>104.15539091522281</v>
      </c>
      <c r="AF317" s="76">
        <f t="shared" si="212"/>
        <v>113.8422052468687</v>
      </c>
      <c r="AG317" s="79">
        <f t="shared" si="212"/>
        <v>82.602221177166314</v>
      </c>
      <c r="AH317" s="79">
        <f t="shared" si="212"/>
        <v>81.608622539239349</v>
      </c>
      <c r="AI317" s="79">
        <f t="shared" si="212"/>
        <v>72.657465811852788</v>
      </c>
      <c r="AJ317" s="79">
        <f t="shared" si="212"/>
        <v>69.214020974491874</v>
      </c>
      <c r="AK317" s="79">
        <f t="shared" si="212"/>
        <v>66.844023047394245</v>
      </c>
      <c r="AL317" s="79">
        <f t="shared" si="212"/>
        <v>58.90608580502812</v>
      </c>
      <c r="AM317" s="79">
        <f t="shared" si="211"/>
        <v>50.517393331251981</v>
      </c>
      <c r="AN317" s="79">
        <f t="shared" si="211"/>
        <v>45.431862423908633</v>
      </c>
      <c r="AO317" s="79">
        <f t="shared" si="211"/>
        <v>38.912670537082775</v>
      </c>
      <c r="AP317" s="79">
        <f t="shared" si="211"/>
        <v>33.167647225647507</v>
      </c>
      <c r="AQ317" s="79">
        <f t="shared" si="211"/>
        <v>26.77059571539171</v>
      </c>
      <c r="AR317" s="79">
        <f t="shared" si="211"/>
        <v>19.705328580817625</v>
      </c>
      <c r="AS317" s="79">
        <f t="shared" si="211"/>
        <v>12.891120673966478</v>
      </c>
      <c r="AT317" s="79">
        <f t="shared" si="211"/>
        <v>6.3987566737414321</v>
      </c>
      <c r="AU317" s="79">
        <f t="shared" si="211"/>
        <v>-0.46388537109092126</v>
      </c>
      <c r="AV317" s="79">
        <f t="shared" si="211"/>
        <v>-7.324275491174701</v>
      </c>
      <c r="AW317" s="79">
        <f t="shared" si="211"/>
        <v>-14.420561896150335</v>
      </c>
      <c r="AX317" s="79">
        <f t="shared" si="211"/>
        <v>-22.341333255620256</v>
      </c>
      <c r="AY317" s="79">
        <f t="shared" si="211"/>
        <v>-29.432222948403638</v>
      </c>
      <c r="AZ317" s="79">
        <f t="shared" si="211"/>
        <v>-37.011698306225661</v>
      </c>
      <c r="BA317" s="79">
        <f t="shared" si="211"/>
        <v>-44.834956395672471</v>
      </c>
      <c r="BB317" s="79">
        <f t="shared" si="211"/>
        <v>-52.865771239626916</v>
      </c>
      <c r="BC317" s="79">
        <f t="shared" si="211"/>
        <v>-61.167914488973921</v>
      </c>
      <c r="BD317" s="79">
        <f t="shared" si="211"/>
        <v>-69.323288036288673</v>
      </c>
      <c r="BE317" s="79">
        <f t="shared" si="211"/>
        <v>-77.794805573556829</v>
      </c>
      <c r="BF317" s="79">
        <f t="shared" si="211"/>
        <v>-86.45086686252553</v>
      </c>
      <c r="BY317" s="112"/>
      <c r="BZ317" s="112"/>
      <c r="CA317" s="112"/>
      <c r="CB317" s="112"/>
      <c r="CC317" s="112"/>
      <c r="CD317" s="112"/>
      <c r="CE317" s="112"/>
    </row>
    <row r="318" spans="1:83" ht="12" thickBot="1">
      <c r="A318" s="69" t="s">
        <v>138</v>
      </c>
      <c r="X318" s="76">
        <f t="shared" ref="X318:BF318" si="213">SUM(X306:X317)</f>
        <v>1562.3963816953233</v>
      </c>
      <c r="Y318" s="76">
        <f t="shared" si="213"/>
        <v>1565.5761926480759</v>
      </c>
      <c r="Z318" s="76">
        <f t="shared" si="213"/>
        <v>1470.4656362062176</v>
      </c>
      <c r="AA318" s="76">
        <f t="shared" si="213"/>
        <v>1411.6747873407764</v>
      </c>
      <c r="AB318" s="76">
        <f t="shared" si="213"/>
        <v>1450.2017423706181</v>
      </c>
      <c r="AC318" s="76">
        <f t="shared" si="213"/>
        <v>1312.7433831428764</v>
      </c>
      <c r="AD318" s="76">
        <f t="shared" si="213"/>
        <v>1160.867122748683</v>
      </c>
      <c r="AE318" s="76">
        <f t="shared" si="213"/>
        <v>1193.7040304130289</v>
      </c>
      <c r="AF318" s="76">
        <f t="shared" si="213"/>
        <v>1247.3774078087192</v>
      </c>
      <c r="AG318" s="79">
        <f t="shared" si="213"/>
        <v>1174.2453377046834</v>
      </c>
      <c r="AH318" s="79">
        <f t="shared" si="213"/>
        <v>1040.6042309850939</v>
      </c>
      <c r="AI318" s="79">
        <f t="shared" si="213"/>
        <v>942.91650589205392</v>
      </c>
      <c r="AJ318" s="79">
        <f t="shared" si="213"/>
        <v>873.73031143109461</v>
      </c>
      <c r="AK318" s="79">
        <f t="shared" si="213"/>
        <v>833.96220652873342</v>
      </c>
      <c r="AL318" s="79">
        <f t="shared" si="213"/>
        <v>763.75499048708764</v>
      </c>
      <c r="AM318" s="79">
        <f t="shared" si="213"/>
        <v>689.10236270814926</v>
      </c>
      <c r="AN318" s="79">
        <f t="shared" si="213"/>
        <v>609.77091514267147</v>
      </c>
      <c r="AO318" s="79">
        <f t="shared" si="213"/>
        <v>536.50996356451833</v>
      </c>
      <c r="AP318" s="79">
        <f t="shared" si="213"/>
        <v>466.73023896689301</v>
      </c>
      <c r="AQ318" s="79">
        <f t="shared" si="213"/>
        <v>395.53551226289443</v>
      </c>
      <c r="AR318" s="79">
        <f t="shared" si="213"/>
        <v>318.42926268824874</v>
      </c>
      <c r="AS318" s="79">
        <f t="shared" si="213"/>
        <v>240.62345309264694</v>
      </c>
      <c r="AT318" s="79">
        <f t="shared" si="213"/>
        <v>162.54027344403846</v>
      </c>
      <c r="AU318" s="79">
        <f t="shared" si="213"/>
        <v>84.777032442670787</v>
      </c>
      <c r="AV318" s="79">
        <f t="shared" si="213"/>
        <v>5.9463749283212781</v>
      </c>
      <c r="AW318" s="79">
        <f t="shared" si="213"/>
        <v>-74.567907349216298</v>
      </c>
      <c r="AX318" s="79">
        <f t="shared" si="213"/>
        <v>-161.34907064020041</v>
      </c>
      <c r="AY318" s="79">
        <f t="shared" si="213"/>
        <v>-249.97766366073745</v>
      </c>
      <c r="AZ318" s="79">
        <f t="shared" si="213"/>
        <v>-340.07662968781204</v>
      </c>
      <c r="BA318" s="79">
        <f t="shared" si="213"/>
        <v>-433.26861082149048</v>
      </c>
      <c r="BB318" s="79">
        <f t="shared" si="213"/>
        <v>-530.42041784588957</v>
      </c>
      <c r="BC318" s="79">
        <f t="shared" si="213"/>
        <v>-632.24902975080056</v>
      </c>
      <c r="BD318" s="79">
        <f t="shared" si="213"/>
        <v>-736.01296902524609</v>
      </c>
      <c r="BE318" s="79">
        <f t="shared" si="213"/>
        <v>-842.32651443617385</v>
      </c>
      <c r="BF318" s="79">
        <f t="shared" si="213"/>
        <v>-952.18400834256977</v>
      </c>
      <c r="BY318" s="112"/>
      <c r="BZ318" s="112"/>
      <c r="CA318" s="112"/>
      <c r="CB318" s="112"/>
      <c r="CC318" s="112"/>
      <c r="CD318" s="112"/>
      <c r="CE318" s="112"/>
    </row>
    <row r="319" spans="1:83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Y319" s="112"/>
      <c r="BZ319" s="112"/>
      <c r="CA319" s="112"/>
      <c r="CB319" s="112"/>
      <c r="CC319" s="112"/>
      <c r="CD319" s="112"/>
      <c r="CE319" s="112"/>
    </row>
    <row r="320" spans="1:83" ht="12" thickBot="1">
      <c r="A320" s="105" t="s">
        <v>181</v>
      </c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</row>
    <row r="321" spans="1:83" ht="12" thickBot="1">
      <c r="A321" s="84"/>
      <c r="B321" s="85" t="s">
        <v>66</v>
      </c>
      <c r="C321" s="86" t="s">
        <v>67</v>
      </c>
      <c r="D321" s="86" t="s">
        <v>68</v>
      </c>
      <c r="E321" s="86" t="s">
        <v>69</v>
      </c>
      <c r="F321" s="86" t="s">
        <v>70</v>
      </c>
      <c r="G321" s="86" t="s">
        <v>71</v>
      </c>
      <c r="H321" s="86" t="s">
        <v>72</v>
      </c>
      <c r="I321" s="86" t="s">
        <v>73</v>
      </c>
      <c r="J321" s="86" t="s">
        <v>74</v>
      </c>
      <c r="K321" s="86" t="s">
        <v>75</v>
      </c>
      <c r="L321" s="86" t="s">
        <v>76</v>
      </c>
      <c r="M321" s="86" t="s">
        <v>77</v>
      </c>
      <c r="N321" s="86" t="s">
        <v>78</v>
      </c>
      <c r="O321" s="86" t="s">
        <v>79</v>
      </c>
      <c r="P321" s="86" t="s">
        <v>80</v>
      </c>
      <c r="Q321" s="86" t="s">
        <v>81</v>
      </c>
      <c r="R321" s="86" t="s">
        <v>82</v>
      </c>
      <c r="S321" s="86" t="s">
        <v>83</v>
      </c>
      <c r="T321" s="86" t="s">
        <v>84</v>
      </c>
      <c r="U321" s="86" t="s">
        <v>85</v>
      </c>
      <c r="V321" s="86" t="s">
        <v>86</v>
      </c>
      <c r="W321" s="86" t="s">
        <v>87</v>
      </c>
      <c r="X321" s="86" t="s">
        <v>88</v>
      </c>
      <c r="Y321" s="86" t="s">
        <v>89</v>
      </c>
      <c r="Z321" s="86" t="s">
        <v>90</v>
      </c>
      <c r="AA321" s="86" t="s">
        <v>91</v>
      </c>
      <c r="AB321" s="86" t="s">
        <v>92</v>
      </c>
      <c r="AC321" s="86" t="s">
        <v>93</v>
      </c>
      <c r="AD321" s="86" t="str">
        <f>AD2</f>
        <v>21/22</v>
      </c>
      <c r="AE321" s="86" t="str">
        <f t="shared" ref="AE321:BF321" si="214">AE2</f>
        <v>22/23</v>
      </c>
      <c r="AF321" s="86" t="str">
        <f t="shared" si="214"/>
        <v>23/24</v>
      </c>
      <c r="AG321" s="86" t="str">
        <f t="shared" si="214"/>
        <v>24/25</v>
      </c>
      <c r="AH321" s="86" t="str">
        <f t="shared" si="214"/>
        <v>25/26</v>
      </c>
      <c r="AI321" s="86" t="str">
        <f t="shared" si="214"/>
        <v>26/27</v>
      </c>
      <c r="AJ321" s="86" t="str">
        <f t="shared" si="214"/>
        <v>27/28</v>
      </c>
      <c r="AK321" s="86" t="str">
        <f t="shared" si="214"/>
        <v>28/29</v>
      </c>
      <c r="AL321" s="86" t="str">
        <f t="shared" si="214"/>
        <v>29/30</v>
      </c>
      <c r="AM321" s="86" t="str">
        <f t="shared" si="214"/>
        <v>30/31</v>
      </c>
      <c r="AN321" s="86" t="str">
        <f t="shared" si="214"/>
        <v>31/32</v>
      </c>
      <c r="AO321" s="86" t="str">
        <f t="shared" si="214"/>
        <v>32/33</v>
      </c>
      <c r="AP321" s="86" t="str">
        <f t="shared" si="214"/>
        <v>33/34</v>
      </c>
      <c r="AQ321" s="86" t="str">
        <f t="shared" si="214"/>
        <v>34/35</v>
      </c>
      <c r="AR321" s="86" t="str">
        <f t="shared" si="214"/>
        <v>35/36</v>
      </c>
      <c r="AS321" s="86" t="str">
        <f t="shared" si="214"/>
        <v>36/37</v>
      </c>
      <c r="AT321" s="86" t="str">
        <f t="shared" si="214"/>
        <v>37/38</v>
      </c>
      <c r="AU321" s="86" t="str">
        <f t="shared" si="214"/>
        <v>38/39</v>
      </c>
      <c r="AV321" s="86" t="str">
        <f t="shared" si="214"/>
        <v>39/40</v>
      </c>
      <c r="AW321" s="86" t="str">
        <f t="shared" si="214"/>
        <v>40/41</v>
      </c>
      <c r="AX321" s="86" t="str">
        <f t="shared" si="214"/>
        <v>41/42</v>
      </c>
      <c r="AY321" s="86" t="str">
        <f t="shared" si="214"/>
        <v>42/43</v>
      </c>
      <c r="AZ321" s="86" t="str">
        <f t="shared" si="214"/>
        <v>43/44</v>
      </c>
      <c r="BA321" s="86" t="str">
        <f t="shared" si="214"/>
        <v>44/45</v>
      </c>
      <c r="BB321" s="86" t="str">
        <f t="shared" si="214"/>
        <v>45/46</v>
      </c>
      <c r="BC321" s="86" t="str">
        <f t="shared" si="214"/>
        <v>42/47</v>
      </c>
      <c r="BD321" s="86" t="str">
        <f t="shared" si="214"/>
        <v>42/48</v>
      </c>
      <c r="BE321" s="86" t="str">
        <f t="shared" si="214"/>
        <v>42/49</v>
      </c>
      <c r="BF321" s="86" t="str">
        <f t="shared" si="214"/>
        <v>42/50</v>
      </c>
      <c r="BV321" s="96"/>
      <c r="BW321" s="96"/>
      <c r="BX321" s="96"/>
      <c r="BY321" s="71"/>
      <c r="BZ321" s="71"/>
      <c r="CA321" s="71"/>
      <c r="CB321" s="71"/>
      <c r="CC321" s="71"/>
      <c r="CD321" s="71"/>
      <c r="CE321" s="71"/>
    </row>
    <row r="322" spans="1:83">
      <c r="A322" s="69" t="s">
        <v>37</v>
      </c>
      <c r="X322" s="92"/>
      <c r="Y322" s="92">
        <f>'NASS Data'!$I25*1000*4.3/1000000</f>
        <v>10.879</v>
      </c>
      <c r="Z322" s="92">
        <f>'NASS Data'!$I37*1000*4.3/1000000</f>
        <v>10.2813</v>
      </c>
      <c r="AA322" s="92">
        <f>'NASS Data'!$I49*1000*4.3/1000000</f>
        <v>18.446999999999999</v>
      </c>
      <c r="AB322" s="92">
        <f>'NASS Data'!$I61*1000*4.3/1000000</f>
        <v>22.046099999999999</v>
      </c>
      <c r="AC322" s="92">
        <f>'NASS Data'!$I73*1000*4.3/1000000</f>
        <v>3.44</v>
      </c>
      <c r="AD322" s="92">
        <f>'NASS Data'!$I85*1000*4.3/1000000</f>
        <v>1.1568290000000001</v>
      </c>
      <c r="AE322" s="92">
        <f>'NASS Data'!$I97*1000*4.3/1000000</f>
        <v>14.660549</v>
      </c>
      <c r="AF322" s="92">
        <f>'NASS Data'!$I109*1000*4.3/1000000</f>
        <v>7.0288230000000009</v>
      </c>
      <c r="AG322" s="109">
        <f>'NASS Data'!$I121*1000*4.3/1000000</f>
        <v>4.7167559999999993</v>
      </c>
      <c r="AH322" s="93">
        <f t="shared" ref="AH322:AH332" si="215">SUM(AC322:AG322)/SUM(AC$334:AG$334)*AH$334</f>
        <v>9.7045949937696392</v>
      </c>
      <c r="AI322" s="93">
        <f t="shared" ref="AI322:AI332" si="216">SUM(AD322:AH322)/SUM(AD$334:AH$334)*AI$334</f>
        <v>6.6422248450134349</v>
      </c>
      <c r="AJ322" s="93">
        <f t="shared" ref="AJ322:AY332" si="217">SUM(AE322:AI322)/SUM(AE$334:AI$334)*AJ$334</f>
        <v>7.4495651840132719</v>
      </c>
      <c r="AK322" s="93">
        <f t="shared" si="217"/>
        <v>6.6464848640705396</v>
      </c>
      <c r="AL322" s="93">
        <f t="shared" si="217"/>
        <v>6.0620044632529106</v>
      </c>
      <c r="AM322" s="93">
        <f t="shared" si="217"/>
        <v>6.7601619166888502</v>
      </c>
      <c r="AN322" s="93">
        <f t="shared" si="217"/>
        <v>6.7792091371538801</v>
      </c>
      <c r="AO322" s="93">
        <f t="shared" si="217"/>
        <v>6.8605537078808467</v>
      </c>
      <c r="AP322" s="93">
        <f t="shared" si="217"/>
        <v>6.7796553701229501</v>
      </c>
      <c r="AQ322" s="93">
        <f t="shared" si="217"/>
        <v>6.8322624464236004</v>
      </c>
      <c r="AR322" s="93">
        <f t="shared" si="217"/>
        <v>7.002438177879144</v>
      </c>
      <c r="AS322" s="93">
        <f t="shared" si="217"/>
        <v>7.0503623242384554</v>
      </c>
      <c r="AT322" s="93">
        <f t="shared" si="217"/>
        <v>7.1042386670006046</v>
      </c>
      <c r="AU322" s="93">
        <f t="shared" si="217"/>
        <v>7.1524711513367505</v>
      </c>
      <c r="AV322" s="93">
        <f t="shared" si="217"/>
        <v>7.2272702482825704</v>
      </c>
      <c r="AW322" s="93">
        <f t="shared" si="217"/>
        <v>7.3066277804880899</v>
      </c>
      <c r="AX322" s="93">
        <f t="shared" si="217"/>
        <v>7.36731053522122</v>
      </c>
      <c r="AY322" s="93">
        <f t="shared" si="217"/>
        <v>7.4306180895795864</v>
      </c>
      <c r="AZ322" s="93">
        <f t="shared" ref="AZ322:BF332" si="218">SUM(AU322:AY322)/SUM(AU$334:AY$334)*AZ$334</f>
        <v>7.4958648217356885</v>
      </c>
      <c r="BA322" s="93">
        <f t="shared" si="218"/>
        <v>7.56460689763066</v>
      </c>
      <c r="BB322" s="93">
        <f t="shared" si="218"/>
        <v>7.6321039898845591</v>
      </c>
      <c r="BC322" s="93">
        <f t="shared" si="218"/>
        <v>7.6971654915929202</v>
      </c>
      <c r="BD322" s="93">
        <f t="shared" si="218"/>
        <v>7.7631263806658586</v>
      </c>
      <c r="BE322" s="93">
        <f t="shared" si="218"/>
        <v>7.8296319558576393</v>
      </c>
      <c r="BF322" s="93">
        <f t="shared" si="218"/>
        <v>7.8963957433795953</v>
      </c>
      <c r="BY322" s="112"/>
      <c r="BZ322" s="112"/>
      <c r="CA322" s="112"/>
      <c r="CB322" s="112"/>
      <c r="CC322" s="112"/>
      <c r="CD322" s="112"/>
      <c r="CE322" s="112"/>
    </row>
    <row r="323" spans="1:83">
      <c r="A323" s="69" t="s">
        <v>38</v>
      </c>
      <c r="X323" s="92">
        <f>'NASS Data'!$I14*1000*4.3/1000000</f>
        <v>20.1541</v>
      </c>
      <c r="Y323" s="92">
        <f>'NASS Data'!$I26*1000*4.3/1000000</f>
        <v>19.431699999999999</v>
      </c>
      <c r="Z323" s="92">
        <f>'NASS Data'!$I38*1000*4.3/1000000</f>
        <v>10.4017</v>
      </c>
      <c r="AA323" s="92">
        <f>'NASS Data'!$I50*1000*4.3/1000000</f>
        <v>19.728400000000001</v>
      </c>
      <c r="AB323" s="92">
        <f>'NASS Data'!$I62*1000*4.3/1000000</f>
        <v>17.432200000000002</v>
      </c>
      <c r="AC323" s="92">
        <f>'NASS Data'!$I74*1000*4.3/1000000</f>
        <v>3.44</v>
      </c>
      <c r="AD323" s="92">
        <f>'NASS Data'!$I86*1000*4.3/1000000</f>
        <v>2.9778359999999999</v>
      </c>
      <c r="AE323" s="92">
        <f>'NASS Data'!$I98*1000*4.3/1000000</f>
        <v>13.988975</v>
      </c>
      <c r="AF323" s="92">
        <f>'NASS Data'!$I110*1000*4.3/1000000</f>
        <v>5.0032220000000001</v>
      </c>
      <c r="AG323" s="109">
        <f>'NASS Data'!$I122*1000*4.3/1000000</f>
        <v>8.3918858307999979</v>
      </c>
      <c r="AH323" s="93">
        <f t="shared" si="215"/>
        <v>10.580730485327233</v>
      </c>
      <c r="AI323" s="93">
        <f t="shared" si="216"/>
        <v>7.297240305821993</v>
      </c>
      <c r="AJ323" s="93">
        <f t="shared" si="217"/>
        <v>7.8867688864518861</v>
      </c>
      <c r="AK323" s="93">
        <f t="shared" si="217"/>
        <v>7.3230430816079801</v>
      </c>
      <c r="AL323" s="93">
        <f t="shared" si="217"/>
        <v>7.1516669982774284</v>
      </c>
      <c r="AM323" s="93">
        <f t="shared" si="217"/>
        <v>7.4517499550900963</v>
      </c>
      <c r="AN323" s="93">
        <f t="shared" si="217"/>
        <v>7.4963147839043742</v>
      </c>
      <c r="AO323" s="93">
        <f t="shared" si="217"/>
        <v>7.5959550058759273</v>
      </c>
      <c r="AP323" s="93">
        <f t="shared" si="217"/>
        <v>7.5803760873754431</v>
      </c>
      <c r="AQ323" s="93">
        <f t="shared" si="217"/>
        <v>7.6614832695146626</v>
      </c>
      <c r="AR323" s="93">
        <f t="shared" si="217"/>
        <v>7.7794456974212789</v>
      </c>
      <c r="AS323" s="93">
        <f t="shared" si="217"/>
        <v>7.8447357931528519</v>
      </c>
      <c r="AT323" s="93">
        <f t="shared" si="217"/>
        <v>7.9142953005911494</v>
      </c>
      <c r="AU323" s="93">
        <f t="shared" si="217"/>
        <v>7.9776691504571078</v>
      </c>
      <c r="AV323" s="93">
        <f t="shared" si="217"/>
        <v>8.0572860075734702</v>
      </c>
      <c r="AW323" s="93">
        <f t="shared" si="217"/>
        <v>8.1365934848813897</v>
      </c>
      <c r="AX323" s="93">
        <f t="shared" si="217"/>
        <v>8.207952501423728</v>
      </c>
      <c r="AY323" s="93">
        <f t="shared" si="217"/>
        <v>8.2805600033611118</v>
      </c>
      <c r="AZ323" s="93">
        <f t="shared" si="218"/>
        <v>8.3537943812540707</v>
      </c>
      <c r="BA323" s="93">
        <f t="shared" si="218"/>
        <v>8.4290544993662877</v>
      </c>
      <c r="BB323" s="93">
        <f t="shared" si="218"/>
        <v>8.5034193037195678</v>
      </c>
      <c r="BC323" s="93">
        <f t="shared" si="218"/>
        <v>8.5767691326344657</v>
      </c>
      <c r="BD323" s="93">
        <f t="shared" si="218"/>
        <v>8.6505278710162354</v>
      </c>
      <c r="BE323" s="93">
        <f t="shared" si="218"/>
        <v>8.7245229429267734</v>
      </c>
      <c r="BF323" s="93">
        <f t="shared" si="218"/>
        <v>8.7986740624309263</v>
      </c>
      <c r="BY323" s="112"/>
      <c r="BZ323" s="112"/>
      <c r="CA323" s="112"/>
      <c r="CB323" s="112"/>
      <c r="CC323" s="112"/>
      <c r="CD323" s="112"/>
      <c r="CE323" s="112"/>
    </row>
    <row r="324" spans="1:83">
      <c r="A324" s="69" t="s">
        <v>39</v>
      </c>
      <c r="X324" s="92">
        <f>'NASS Data'!$I15*1000*4.3/1000000</f>
        <v>24.144500000000001</v>
      </c>
      <c r="Y324" s="92">
        <f>'NASS Data'!$I27*1000*4.3/1000000</f>
        <v>21.130199999999999</v>
      </c>
      <c r="Z324" s="92">
        <f>'NASS Data'!$I39*1000*4.3/1000000</f>
        <v>12.328099999999999</v>
      </c>
      <c r="AA324" s="92">
        <f>'NASS Data'!$I51*1000*4.3/1000000</f>
        <v>22.850200000000001</v>
      </c>
      <c r="AB324" s="92">
        <f>'NASS Data'!$I63*1000*4.3/1000000</f>
        <v>17.389199999999999</v>
      </c>
      <c r="AC324" s="92">
        <f>'NASS Data'!$I75*1000*4.3/1000000</f>
        <v>3.2250000000000001</v>
      </c>
      <c r="AD324" s="92">
        <f>'NASS Data'!$I87*1000*4.3/1000000</f>
        <v>6.6677519999999992</v>
      </c>
      <c r="AE324" s="92">
        <f>'NASS Data'!$I99*1000*4.3/1000000</f>
        <v>12.514677000000001</v>
      </c>
      <c r="AF324" s="92">
        <f>'NASS Data'!$I111*1000*4.3/1000000</f>
        <v>3.3691360000000001</v>
      </c>
      <c r="AG324" s="109">
        <f>'NASS Data'!$I123*1000*4.3/1000000</f>
        <v>11.759897999999998</v>
      </c>
      <c r="AH324" s="93">
        <f t="shared" si="215"/>
        <v>11.749723451012086</v>
      </c>
      <c r="AI324" s="93">
        <f t="shared" si="216"/>
        <v>8.209521169698963</v>
      </c>
      <c r="AJ324" s="93">
        <f t="shared" si="217"/>
        <v>8.2946636144346808</v>
      </c>
      <c r="AK324" s="93">
        <f t="shared" si="217"/>
        <v>8.1127781441622382</v>
      </c>
      <c r="AL324" s="93">
        <f t="shared" si="217"/>
        <v>8.2976869619496512</v>
      </c>
      <c r="AM324" s="93">
        <f t="shared" si="217"/>
        <v>8.2711802483810395</v>
      </c>
      <c r="AN324" s="93">
        <f t="shared" si="217"/>
        <v>8.3195376880025673</v>
      </c>
      <c r="AO324" s="93">
        <f t="shared" si="217"/>
        <v>8.4075376427283004</v>
      </c>
      <c r="AP324" s="93">
        <f t="shared" si="217"/>
        <v>8.4793205379285315</v>
      </c>
      <c r="AQ324" s="93">
        <f t="shared" si="217"/>
        <v>8.586220079476222</v>
      </c>
      <c r="AR324" s="93">
        <f t="shared" si="217"/>
        <v>8.6601933345769595</v>
      </c>
      <c r="AS324" s="93">
        <f t="shared" si="217"/>
        <v>8.7378597746942397</v>
      </c>
      <c r="AT324" s="93">
        <f t="shared" si="217"/>
        <v>8.8215597240889512</v>
      </c>
      <c r="AU324" s="93">
        <f t="shared" si="217"/>
        <v>8.9043744241573517</v>
      </c>
      <c r="AV324" s="93">
        <f t="shared" si="217"/>
        <v>8.9894577353439917</v>
      </c>
      <c r="AW324" s="93">
        <f t="shared" si="217"/>
        <v>9.070054110681804</v>
      </c>
      <c r="AX324" s="93">
        <f t="shared" si="217"/>
        <v>9.1520128525097473</v>
      </c>
      <c r="AY324" s="93">
        <f t="shared" si="217"/>
        <v>9.2348539281459932</v>
      </c>
      <c r="AZ324" s="93">
        <f t="shared" si="218"/>
        <v>9.3175183540814448</v>
      </c>
      <c r="BA324" s="93">
        <f t="shared" si="218"/>
        <v>9.4001518122648289</v>
      </c>
      <c r="BB324" s="93">
        <f t="shared" si="218"/>
        <v>9.4822820922029276</v>
      </c>
      <c r="BC324" s="93">
        <f t="shared" si="218"/>
        <v>9.5647274487571217</v>
      </c>
      <c r="BD324" s="93">
        <f t="shared" si="218"/>
        <v>9.6472726935928446</v>
      </c>
      <c r="BE324" s="93">
        <f t="shared" si="218"/>
        <v>9.7297571883584393</v>
      </c>
      <c r="BF324" s="93">
        <f t="shared" si="218"/>
        <v>9.8122047534240764</v>
      </c>
      <c r="BY324" s="112"/>
      <c r="BZ324" s="112"/>
      <c r="CA324" s="112"/>
      <c r="CB324" s="112"/>
      <c r="CC324" s="112"/>
      <c r="CD324" s="112"/>
      <c r="CE324" s="112"/>
    </row>
    <row r="325" spans="1:83">
      <c r="A325" s="69" t="s">
        <v>40</v>
      </c>
      <c r="X325" s="92">
        <f>'NASS Data'!$I16*1000*4.3/1000000</f>
        <v>32.748800000000003</v>
      </c>
      <c r="Y325" s="92">
        <f>'NASS Data'!$I28*1000*4.3/1000000</f>
        <v>23.314599999999999</v>
      </c>
      <c r="Z325" s="92">
        <f>'NASS Data'!$I40*1000*4.3/1000000</f>
        <v>9.8684999999999992</v>
      </c>
      <c r="AA325" s="92">
        <f>'NASS Data'!$I52*1000*4.3/1000000</f>
        <v>13.093500000000001</v>
      </c>
      <c r="AB325" s="92">
        <f>'NASS Data'!$I64*1000*4.3/1000000</f>
        <v>22.9663</v>
      </c>
      <c r="AC325" s="92">
        <f>'NASS Data'!$I76*1000*4.3/1000000</f>
        <v>3.01</v>
      </c>
      <c r="AD325" s="92">
        <f>'NASS Data'!$I88*1000*4.3/1000000</f>
        <v>6.5612409999999999</v>
      </c>
      <c r="AE325" s="92">
        <f>'NASS Data'!$I100*1000*4.3/1000000</f>
        <v>13.252858000000002</v>
      </c>
      <c r="AF325" s="92">
        <f>'NASS Data'!$I112*1000*4.3/1000000</f>
        <v>2.0606459999999998</v>
      </c>
      <c r="AG325" s="93">
        <f t="shared" ref="AG325:AG332" si="219">SUM(AB325:AF325)/SUM(AB$334:AF$334)*AG$334</f>
        <v>13.749453928318331</v>
      </c>
      <c r="AH325" s="93">
        <f t="shared" si="215"/>
        <v>12.093338500197206</v>
      </c>
      <c r="AI325" s="93">
        <f t="shared" si="216"/>
        <v>8.5047338956830849</v>
      </c>
      <c r="AJ325" s="93">
        <f t="shared" si="217"/>
        <v>8.653276585755723</v>
      </c>
      <c r="AK325" s="93">
        <f t="shared" si="217"/>
        <v>8.4266653902694379</v>
      </c>
      <c r="AL325" s="93">
        <f t="shared" si="217"/>
        <v>8.866804879348928</v>
      </c>
      <c r="AM325" s="93">
        <f t="shared" si="217"/>
        <v>8.6194109724545136</v>
      </c>
      <c r="AN325" s="93">
        <f t="shared" si="217"/>
        <v>8.7003201281493627</v>
      </c>
      <c r="AO325" s="93">
        <f t="shared" si="217"/>
        <v>8.8087440149895269</v>
      </c>
      <c r="AP325" s="93">
        <f t="shared" si="217"/>
        <v>8.891571321425074</v>
      </c>
      <c r="AQ325" s="93">
        <f t="shared" si="217"/>
        <v>9.0202224049450805</v>
      </c>
      <c r="AR325" s="93">
        <f t="shared" si="217"/>
        <v>9.0671141733454395</v>
      </c>
      <c r="AS325" s="93">
        <f t="shared" si="217"/>
        <v>9.1567476437719897</v>
      </c>
      <c r="AT325" s="93">
        <f t="shared" si="217"/>
        <v>9.2481745245327911</v>
      </c>
      <c r="AU325" s="93">
        <f t="shared" si="217"/>
        <v>9.3361021854213355</v>
      </c>
      <c r="AV325" s="93">
        <f t="shared" si="217"/>
        <v>9.4250780029996477</v>
      </c>
      <c r="AW325" s="93">
        <f t="shared" si="217"/>
        <v>9.5058949874912777</v>
      </c>
      <c r="AX325" s="93">
        <f t="shared" si="217"/>
        <v>9.5936883429779467</v>
      </c>
      <c r="AY325" s="93">
        <f t="shared" si="217"/>
        <v>9.6811028639694978</v>
      </c>
      <c r="AZ325" s="93">
        <f t="shared" si="218"/>
        <v>9.7676925477511762</v>
      </c>
      <c r="BA325" s="93">
        <f t="shared" si="218"/>
        <v>9.8540073314443397</v>
      </c>
      <c r="BB325" s="93">
        <f t="shared" si="218"/>
        <v>9.9397757115498866</v>
      </c>
      <c r="BC325" s="93">
        <f t="shared" si="218"/>
        <v>10.026560970853753</v>
      </c>
      <c r="BD325" s="93">
        <f t="shared" si="218"/>
        <v>10.113139145248303</v>
      </c>
      <c r="BE325" s="93">
        <f t="shared" si="218"/>
        <v>10.19954562331826</v>
      </c>
      <c r="BF325" s="93">
        <f t="shared" si="218"/>
        <v>10.285914526047121</v>
      </c>
      <c r="BY325" s="112"/>
      <c r="BZ325" s="112"/>
      <c r="CA325" s="112"/>
      <c r="CB325" s="112"/>
      <c r="CC325" s="112"/>
      <c r="CD325" s="112"/>
      <c r="CE325" s="112"/>
    </row>
    <row r="326" spans="1:83">
      <c r="A326" s="69" t="s">
        <v>30</v>
      </c>
      <c r="X326" s="92">
        <f>'NASS Data'!$I17*1000*4.3/1000000</f>
        <v>29.837700000000002</v>
      </c>
      <c r="Y326" s="92">
        <f>'NASS Data'!$I29*1000*4.3/1000000</f>
        <v>28.190799999999999</v>
      </c>
      <c r="Z326" s="92">
        <f>'NASS Data'!$I41*1000*4.3/1000000</f>
        <v>11.88666517696768</v>
      </c>
      <c r="AA326" s="92">
        <f>'NASS Data'!$I53*1000*4.3/1000000</f>
        <v>20.9969</v>
      </c>
      <c r="AB326" s="92">
        <f>'NASS Data'!$I65*1000*4.3/1000000</f>
        <v>21.3581</v>
      </c>
      <c r="AC326" s="92">
        <f>'NASS Data'!$I77*1000*4.3/1000000</f>
        <v>2.7949999999999999</v>
      </c>
      <c r="AD326" s="92">
        <f>'NASS Data'!$I89*1000*4.3/1000000</f>
        <v>5.9718400000000003</v>
      </c>
      <c r="AE326" s="92">
        <f>'NASS Data'!$I101*1000*4.3/1000000</f>
        <v>11.369759</v>
      </c>
      <c r="AF326" s="92">
        <f>'NASS Data'!$I113*1000*4.3/1000000</f>
        <v>3.2639580000000006</v>
      </c>
      <c r="AG326" s="93">
        <f t="shared" si="219"/>
        <v>12.86089138314331</v>
      </c>
      <c r="AH326" s="93">
        <f t="shared" si="215"/>
        <v>11.350616344301891</v>
      </c>
      <c r="AI326" s="93">
        <f t="shared" si="216"/>
        <v>7.98778038501103</v>
      </c>
      <c r="AJ326" s="93">
        <f t="shared" si="217"/>
        <v>8.1605021872194765</v>
      </c>
      <c r="AK326" s="93">
        <f t="shared" si="217"/>
        <v>8.157809810449681</v>
      </c>
      <c r="AL326" s="93">
        <f t="shared" si="217"/>
        <v>8.3651034672629976</v>
      </c>
      <c r="AM326" s="93">
        <f t="shared" si="217"/>
        <v>8.1521874433787165</v>
      </c>
      <c r="AN326" s="93">
        <f t="shared" si="217"/>
        <v>8.2463234252510258</v>
      </c>
      <c r="AO326" s="93">
        <f t="shared" si="217"/>
        <v>8.3639850020425417</v>
      </c>
      <c r="AP326" s="93">
        <f t="shared" si="217"/>
        <v>8.4540698653750521</v>
      </c>
      <c r="AQ326" s="93">
        <f t="shared" si="217"/>
        <v>8.5464300338819665</v>
      </c>
      <c r="AR326" s="93">
        <f t="shared" si="217"/>
        <v>8.5982638349854454</v>
      </c>
      <c r="AS326" s="93">
        <f t="shared" si="217"/>
        <v>8.6876925225685806</v>
      </c>
      <c r="AT326" s="93">
        <f t="shared" si="217"/>
        <v>8.7761484898025657</v>
      </c>
      <c r="AU326" s="93">
        <f t="shared" si="217"/>
        <v>8.8585929764462268</v>
      </c>
      <c r="AV326" s="93">
        <f t="shared" si="217"/>
        <v>8.9394659179012113</v>
      </c>
      <c r="AW326" s="93">
        <f t="shared" si="217"/>
        <v>9.0179775917522296</v>
      </c>
      <c r="AX326" s="93">
        <f t="shared" si="217"/>
        <v>9.1019748191301115</v>
      </c>
      <c r="AY326" s="93">
        <f t="shared" si="217"/>
        <v>9.184854856960774</v>
      </c>
      <c r="AZ326" s="93">
        <f t="shared" si="218"/>
        <v>9.2665888660500606</v>
      </c>
      <c r="BA326" s="93">
        <f t="shared" si="218"/>
        <v>9.3481770700983073</v>
      </c>
      <c r="BB326" s="93">
        <f t="shared" si="218"/>
        <v>9.4299123543911083</v>
      </c>
      <c r="BC326" s="93">
        <f t="shared" si="218"/>
        <v>9.5123096002285354</v>
      </c>
      <c r="BD326" s="93">
        <f t="shared" si="218"/>
        <v>9.5943782482180122</v>
      </c>
      <c r="BE326" s="93">
        <f t="shared" si="218"/>
        <v>9.6762803554788697</v>
      </c>
      <c r="BF326" s="93">
        <f t="shared" si="218"/>
        <v>9.7582169961747667</v>
      </c>
      <c r="BY326" s="112"/>
      <c r="BZ326" s="112"/>
      <c r="CA326" s="112"/>
      <c r="CB326" s="112"/>
      <c r="CC326" s="112"/>
      <c r="CD326" s="112"/>
      <c r="CE326" s="112"/>
    </row>
    <row r="327" spans="1:83">
      <c r="A327" s="69" t="s">
        <v>31</v>
      </c>
      <c r="X327" s="92">
        <f>'NASS Data'!$I18*1000*4.3/1000000</f>
        <v>37.491700000000002</v>
      </c>
      <c r="Y327" s="92">
        <f>'NASS Data'!$I30*1000*4.3/1000000</f>
        <v>27.734999999999999</v>
      </c>
      <c r="Z327" s="92">
        <f>'NASS Data'!$I42*1000*4.3/1000000</f>
        <v>7.8045</v>
      </c>
      <c r="AA327" s="92">
        <f>'NASS Data'!$I54*1000*4.3/1000000</f>
        <v>21.732199999999999</v>
      </c>
      <c r="AB327" s="92">
        <f>'NASS Data'!$I66*1000*4.3/1000000</f>
        <v>25.185099999999998</v>
      </c>
      <c r="AC327" s="92">
        <f>'NASS Data'!$I78*1000*4.3/1000000</f>
        <v>2.58</v>
      </c>
      <c r="AD327" s="92">
        <f>'NASS Data'!$I90*1000*4.3/1000000</f>
        <v>5.7329749999999997</v>
      </c>
      <c r="AE327" s="92">
        <f>'NASS Data'!$I102*1000*4.3/1000000</f>
        <v>8.9369910000000008</v>
      </c>
      <c r="AF327" s="92">
        <f>'NASS Data'!$I114*1000*4.3/1000000</f>
        <v>3.8597229999999993</v>
      </c>
      <c r="AG327" s="93">
        <f t="shared" si="219"/>
        <v>13.302281454390771</v>
      </c>
      <c r="AH327" s="93">
        <f t="shared" si="215"/>
        <v>10.771689816472326</v>
      </c>
      <c r="AI327" s="93">
        <f t="shared" si="216"/>
        <v>7.5932835831810888</v>
      </c>
      <c r="AJ327" s="93">
        <f t="shared" si="217"/>
        <v>7.7477051539743949</v>
      </c>
      <c r="AK327" s="93">
        <f t="shared" si="217"/>
        <v>8.0925332495909892</v>
      </c>
      <c r="AL327" s="93">
        <f t="shared" si="217"/>
        <v>8.1909471133809593</v>
      </c>
      <c r="AM327" s="93">
        <f t="shared" si="217"/>
        <v>7.8511405401110661</v>
      </c>
      <c r="AN327" s="93">
        <f t="shared" si="217"/>
        <v>7.9740731473281778</v>
      </c>
      <c r="AO327" s="93">
        <f t="shared" si="217"/>
        <v>8.1144764847252109</v>
      </c>
      <c r="AP327" s="93">
        <f t="shared" si="217"/>
        <v>8.2365538073937365</v>
      </c>
      <c r="AQ327" s="93">
        <f t="shared" si="217"/>
        <v>8.2968139795764255</v>
      </c>
      <c r="AR327" s="93">
        <f t="shared" si="217"/>
        <v>8.3326884033512449</v>
      </c>
      <c r="AS327" s="93">
        <f t="shared" si="217"/>
        <v>8.4294916838286014</v>
      </c>
      <c r="AT327" s="93">
        <f t="shared" si="217"/>
        <v>8.5209088584608619</v>
      </c>
      <c r="AU327" s="93">
        <f t="shared" si="217"/>
        <v>8.602242527851379</v>
      </c>
      <c r="AV327" s="93">
        <f t="shared" si="217"/>
        <v>8.6751959516688082</v>
      </c>
      <c r="AW327" s="93">
        <f t="shared" si="217"/>
        <v>8.7507626481639242</v>
      </c>
      <c r="AX327" s="93">
        <f t="shared" si="217"/>
        <v>8.8344903432723481</v>
      </c>
      <c r="AY327" s="93">
        <f t="shared" si="217"/>
        <v>8.9155288750362196</v>
      </c>
      <c r="AZ327" s="93">
        <f t="shared" si="218"/>
        <v>8.9944343619948608</v>
      </c>
      <c r="BA327" s="93">
        <f t="shared" si="218"/>
        <v>9.0728414207847266</v>
      </c>
      <c r="BB327" s="93">
        <f t="shared" si="218"/>
        <v>9.1523689815428373</v>
      </c>
      <c r="BC327" s="93">
        <f t="shared" si="218"/>
        <v>9.2327097734251247</v>
      </c>
      <c r="BD327" s="93">
        <f t="shared" si="218"/>
        <v>9.3123550163082474</v>
      </c>
      <c r="BE327" s="93">
        <f t="shared" si="218"/>
        <v>9.3917143084844952</v>
      </c>
      <c r="BF327" s="93">
        <f t="shared" si="218"/>
        <v>9.4711668113188043</v>
      </c>
      <c r="BY327" s="112"/>
      <c r="BZ327" s="112"/>
      <c r="CA327" s="112"/>
      <c r="CB327" s="112"/>
      <c r="CC327" s="112"/>
      <c r="CD327" s="112"/>
      <c r="CE327" s="112"/>
    </row>
    <row r="328" spans="1:83">
      <c r="A328" s="69" t="s">
        <v>32</v>
      </c>
      <c r="X328" s="92">
        <f>'NASS Data'!$I19*1000*4.3/1000000</f>
        <v>43.6708</v>
      </c>
      <c r="Y328" s="92">
        <f>'NASS Data'!$I31*1000*4.3/1000000</f>
        <v>30.336500000000001</v>
      </c>
      <c r="Z328" s="92">
        <f>'NASS Data'!$I43*1000*4.3/1000000</f>
        <v>9.5975999999999999</v>
      </c>
      <c r="AA328" s="92">
        <f>'NASS Data'!$I55*1000*4.3/1000000</f>
        <v>22.2181</v>
      </c>
      <c r="AB328" s="92">
        <f>'NASS Data'!$I67*1000*4.3/1000000</f>
        <v>19.952000000000002</v>
      </c>
      <c r="AC328" s="92">
        <f>'NASS Data'!$I79*1000*4.3/1000000</f>
        <v>1.72</v>
      </c>
      <c r="AD328" s="92">
        <f>'NASS Data'!$I91*1000*4.3/1000000</f>
        <v>4.2869279999999996</v>
      </c>
      <c r="AE328" s="92">
        <f>'NASS Data'!$I103*1000*4.3/1000000</f>
        <v>10.392583999999999</v>
      </c>
      <c r="AF328" s="92">
        <f>'NASS Data'!$I115*1000*4.3/1000000</f>
        <v>3.9196219999999999</v>
      </c>
      <c r="AG328" s="93">
        <f t="shared" si="219"/>
        <v>11.571452652165355</v>
      </c>
      <c r="AH328" s="93">
        <f t="shared" si="215"/>
        <v>9.982442241653942</v>
      </c>
      <c r="AI328" s="93">
        <f t="shared" si="216"/>
        <v>7.1565056423790994</v>
      </c>
      <c r="AJ328" s="93">
        <f t="shared" si="217"/>
        <v>7.4965523543811878</v>
      </c>
      <c r="AK328" s="93">
        <f t="shared" si="217"/>
        <v>7.5038248445181717</v>
      </c>
      <c r="AL328" s="93">
        <f t="shared" si="217"/>
        <v>7.5363409888099584</v>
      </c>
      <c r="AM328" s="93">
        <f t="shared" si="217"/>
        <v>7.3473455688411775</v>
      </c>
      <c r="AN328" s="93">
        <f t="shared" si="217"/>
        <v>7.482195018583778</v>
      </c>
      <c r="AO328" s="93">
        <f t="shared" si="217"/>
        <v>7.607501786554284</v>
      </c>
      <c r="AP328" s="93">
        <f t="shared" si="217"/>
        <v>7.6742593346971359</v>
      </c>
      <c r="AQ328" s="93">
        <f t="shared" si="217"/>
        <v>7.7378554160841473</v>
      </c>
      <c r="AR328" s="93">
        <f t="shared" si="217"/>
        <v>7.7924735256859909</v>
      </c>
      <c r="AS328" s="93">
        <f t="shared" si="217"/>
        <v>7.8819305216508084</v>
      </c>
      <c r="AT328" s="93">
        <f t="shared" si="217"/>
        <v>7.962038851076815</v>
      </c>
      <c r="AU328" s="93">
        <f t="shared" si="217"/>
        <v>8.0328461449772348</v>
      </c>
      <c r="AV328" s="93">
        <f t="shared" si="217"/>
        <v>8.1044882001561778</v>
      </c>
      <c r="AW328" s="93">
        <f t="shared" si="217"/>
        <v>8.1777859753087352</v>
      </c>
      <c r="AX328" s="93">
        <f t="shared" si="217"/>
        <v>8.2549239924848994</v>
      </c>
      <c r="AY328" s="93">
        <f t="shared" si="217"/>
        <v>8.3295290171897847</v>
      </c>
      <c r="AZ328" s="93">
        <f t="shared" si="218"/>
        <v>8.4030032478240031</v>
      </c>
      <c r="BA328" s="93">
        <f t="shared" si="218"/>
        <v>8.4770257105546847</v>
      </c>
      <c r="BB328" s="93">
        <f t="shared" si="218"/>
        <v>8.5515371669404328</v>
      </c>
      <c r="BC328" s="93">
        <f t="shared" si="218"/>
        <v>8.6262977339102314</v>
      </c>
      <c r="BD328" s="93">
        <f t="shared" si="218"/>
        <v>8.7005701167386658</v>
      </c>
      <c r="BE328" s="93">
        <f t="shared" si="218"/>
        <v>8.7747742768073511</v>
      </c>
      <c r="BF328" s="93">
        <f t="shared" si="218"/>
        <v>8.8491282682572621</v>
      </c>
      <c r="BY328" s="112"/>
      <c r="BZ328" s="112"/>
      <c r="CA328" s="112"/>
      <c r="CB328" s="112"/>
      <c r="CC328" s="112"/>
      <c r="CD328" s="112"/>
      <c r="CE328" s="112"/>
    </row>
    <row r="329" spans="1:83">
      <c r="A329" s="69" t="s">
        <v>33</v>
      </c>
      <c r="X329" s="92">
        <f>'NASS Data'!$I20*1000*4.3/1000000</f>
        <v>32.245699999999999</v>
      </c>
      <c r="Y329" s="92">
        <f>'NASS Data'!$I32*1000*4.3/1000000</f>
        <v>23.6371</v>
      </c>
      <c r="Z329" s="92">
        <f>'NASS Data'!$I44*1000*4.3/1000000</f>
        <v>11.3649</v>
      </c>
      <c r="AA329" s="92">
        <f>'NASS Data'!$I56*1000*4.3/1000000</f>
        <v>18.997399999999999</v>
      </c>
      <c r="AB329" s="92">
        <f>'NASS Data'!$I68*1000*4.3/1000000</f>
        <v>11.678800000000001</v>
      </c>
      <c r="AC329" s="92">
        <f>'NASS Data'!$I80*1000*4.3/1000000</f>
        <v>1.29</v>
      </c>
      <c r="AD329" s="92">
        <f>'NASS Data'!$I92*1000*4.3/1000000</f>
        <v>7.0370790000000003</v>
      </c>
      <c r="AE329" s="92">
        <f>'NASS Data'!$I104*1000*4.3/1000000</f>
        <v>9.5417860000000001</v>
      </c>
      <c r="AF329" s="92">
        <f>'NASS Data'!$I116*1000*4.3/1000000</f>
        <v>4.3510840000000002</v>
      </c>
      <c r="AG329" s="93">
        <f t="shared" si="219"/>
        <v>9.7404202479408148</v>
      </c>
      <c r="AH329" s="93">
        <f t="shared" si="215"/>
        <v>10.004285700960574</v>
      </c>
      <c r="AI329" s="93">
        <f t="shared" si="216"/>
        <v>7.2494754608273784</v>
      </c>
      <c r="AJ329" s="93">
        <f t="shared" si="217"/>
        <v>7.1244386657840817</v>
      </c>
      <c r="AK329" s="93">
        <f t="shared" si="217"/>
        <v>7.1939835879405098</v>
      </c>
      <c r="AL329" s="93">
        <f t="shared" si="217"/>
        <v>7.122862700595407</v>
      </c>
      <c r="AM329" s="93">
        <f t="shared" si="217"/>
        <v>7.1657492807607301</v>
      </c>
      <c r="AN329" s="93">
        <f t="shared" si="217"/>
        <v>7.2430149585734371</v>
      </c>
      <c r="AO329" s="93">
        <f t="shared" si="217"/>
        <v>7.2988124106840813</v>
      </c>
      <c r="AP329" s="93">
        <f t="shared" si="217"/>
        <v>7.3767705023281893</v>
      </c>
      <c r="AQ329" s="93">
        <f t="shared" si="217"/>
        <v>7.4417980725414061</v>
      </c>
      <c r="AR329" s="93">
        <f t="shared" si="217"/>
        <v>7.5200887227710265</v>
      </c>
      <c r="AS329" s="93">
        <f t="shared" si="217"/>
        <v>7.590934708138259</v>
      </c>
      <c r="AT329" s="93">
        <f t="shared" si="217"/>
        <v>7.6604601395414162</v>
      </c>
      <c r="AU329" s="93">
        <f t="shared" si="217"/>
        <v>7.732810727037319</v>
      </c>
      <c r="AV329" s="93">
        <f t="shared" si="217"/>
        <v>7.8040076761003903</v>
      </c>
      <c r="AW329" s="93">
        <f t="shared" si="217"/>
        <v>7.876473302980795</v>
      </c>
      <c r="AX329" s="93">
        <f t="shared" si="217"/>
        <v>7.9477411249474033</v>
      </c>
      <c r="AY329" s="93">
        <f t="shared" si="217"/>
        <v>8.0190958031339825</v>
      </c>
      <c r="AZ329" s="93">
        <f t="shared" si="218"/>
        <v>8.0908264284810674</v>
      </c>
      <c r="BA329" s="93">
        <f t="shared" si="218"/>
        <v>8.162429647321396</v>
      </c>
      <c r="BB329" s="93">
        <f t="shared" si="218"/>
        <v>8.2341162951597031</v>
      </c>
      <c r="BC329" s="93">
        <f t="shared" si="218"/>
        <v>8.3056429711310642</v>
      </c>
      <c r="BD329" s="93">
        <f t="shared" si="218"/>
        <v>8.3772228140203229</v>
      </c>
      <c r="BE329" s="93">
        <f t="shared" si="218"/>
        <v>8.4488488737763454</v>
      </c>
      <c r="BF329" s="93">
        <f t="shared" si="218"/>
        <v>8.5204534682200883</v>
      </c>
      <c r="BY329" s="112"/>
      <c r="BZ329" s="112"/>
      <c r="CA329" s="112"/>
      <c r="CB329" s="112"/>
      <c r="CC329" s="112"/>
      <c r="CD329" s="112"/>
      <c r="CE329" s="112"/>
    </row>
    <row r="330" spans="1:83">
      <c r="A330" s="69" t="s">
        <v>14</v>
      </c>
      <c r="X330" s="92">
        <f>'NASS Data'!$I21*1000*4.3/1000000</f>
        <v>27.0943</v>
      </c>
      <c r="Y330" s="92">
        <f>'NASS Data'!$I33*1000*4.3/1000000</f>
        <v>29.7087</v>
      </c>
      <c r="Z330" s="92">
        <f>'NASS Data'!$I45*1000*4.3/1000000</f>
        <v>15.8842</v>
      </c>
      <c r="AA330" s="92">
        <f>'NASS Data'!$I57*1000*4.3/1000000</f>
        <v>22.256799999999998</v>
      </c>
      <c r="AB330" s="92">
        <f>'NASS Data'!$I69*1000*4.3/1000000</f>
        <v>8.8020999999999994</v>
      </c>
      <c r="AC330" s="92">
        <f>'NASS Data'!$I81*1000*4.3/1000000</f>
        <v>0.49497299999999994</v>
      </c>
      <c r="AD330" s="92">
        <f>'NASS Data'!$I93*1000*4.3/1000000</f>
        <v>9.982837</v>
      </c>
      <c r="AE330" s="92">
        <f>'NASS Data'!$I105*1000*4.3/1000000</f>
        <v>11.077531</v>
      </c>
      <c r="AF330" s="92">
        <f>'NASS Data'!$I117*1000*4.3/1000000</f>
        <v>3.9158810000000002</v>
      </c>
      <c r="AG330" s="93">
        <f t="shared" si="219"/>
        <v>9.8480495422705818</v>
      </c>
      <c r="AH330" s="93">
        <f t="shared" si="215"/>
        <v>11.055694648504319</v>
      </c>
      <c r="AI330" s="93">
        <f t="shared" si="216"/>
        <v>8.1772269536716369</v>
      </c>
      <c r="AJ330" s="93">
        <f t="shared" si="217"/>
        <v>7.6798210831647786</v>
      </c>
      <c r="AK330" s="93">
        <f t="shared" si="217"/>
        <v>7.6066953631109744</v>
      </c>
      <c r="AL330" s="93">
        <f t="shared" si="217"/>
        <v>7.6495668259866019</v>
      </c>
      <c r="AM330" s="93">
        <f t="shared" si="217"/>
        <v>7.8090749767478362</v>
      </c>
      <c r="AN330" s="93">
        <f t="shared" si="217"/>
        <v>7.8623218109417303</v>
      </c>
      <c r="AO330" s="93">
        <f t="shared" si="217"/>
        <v>7.860205521187817</v>
      </c>
      <c r="AP330" s="93">
        <f t="shared" si="217"/>
        <v>7.9426442212553097</v>
      </c>
      <c r="AQ330" s="93">
        <f t="shared" si="217"/>
        <v>8.0412580810996168</v>
      </c>
      <c r="AR330" s="93">
        <f t="shared" si="217"/>
        <v>8.1355450670184162</v>
      </c>
      <c r="AS330" s="93">
        <f t="shared" si="217"/>
        <v>8.2004841133190407</v>
      </c>
      <c r="AT330" s="93">
        <f t="shared" si="217"/>
        <v>8.2678358834907328</v>
      </c>
      <c r="AU330" s="93">
        <f t="shared" si="217"/>
        <v>8.3494835724719554</v>
      </c>
      <c r="AV330" s="93">
        <f t="shared" si="217"/>
        <v>8.4309662871633471</v>
      </c>
      <c r="AW330" s="93">
        <f t="shared" si="217"/>
        <v>8.5089245637027737</v>
      </c>
      <c r="AX330" s="93">
        <f t="shared" si="217"/>
        <v>8.5835260752526139</v>
      </c>
      <c r="AY330" s="93">
        <f t="shared" si="217"/>
        <v>8.6601146326479252</v>
      </c>
      <c r="AZ330" s="93">
        <f t="shared" si="218"/>
        <v>8.7386012905999344</v>
      </c>
      <c r="BA330" s="93">
        <f t="shared" si="218"/>
        <v>8.8164380987888133</v>
      </c>
      <c r="BB330" s="93">
        <f t="shared" si="218"/>
        <v>8.8935259571680128</v>
      </c>
      <c r="BC330" s="93">
        <f t="shared" si="218"/>
        <v>8.9704352253399069</v>
      </c>
      <c r="BD330" s="93">
        <f t="shared" si="218"/>
        <v>9.0478183840907302</v>
      </c>
      <c r="BE330" s="93">
        <f t="shared" si="218"/>
        <v>9.1253645857504573</v>
      </c>
      <c r="BF330" s="93">
        <f t="shared" si="218"/>
        <v>9.2027177377334706</v>
      </c>
      <c r="BY330" s="112"/>
      <c r="BZ330" s="112"/>
      <c r="CA330" s="112"/>
      <c r="CB330" s="112"/>
      <c r="CC330" s="112"/>
      <c r="CD330" s="112"/>
      <c r="CE330" s="112"/>
    </row>
    <row r="331" spans="1:83">
      <c r="A331" s="69" t="s">
        <v>34</v>
      </c>
      <c r="X331" s="92">
        <f>'NASS Data'!$I22*1000*4.3/1000000</f>
        <v>25.705400000000001</v>
      </c>
      <c r="Y331" s="92">
        <f>'NASS Data'!$I34*1000*4.3/1000000</f>
        <v>20.9023</v>
      </c>
      <c r="Z331" s="92">
        <f>'NASS Data'!$I46*1000*4.3/1000000</f>
        <v>18.352399999999999</v>
      </c>
      <c r="AA331" s="92">
        <f>'NASS Data'!$I58*1000*4.3/1000000</f>
        <v>21.147400000000001</v>
      </c>
      <c r="AB331" s="92">
        <f>'NASS Data'!$I70*1000*4.3/1000000</f>
        <v>5.5297999999999998</v>
      </c>
      <c r="AC331" s="92">
        <f>'NASS Data'!I82*1000*4.3/1000000</f>
        <v>1.5306280000000001</v>
      </c>
      <c r="AD331" s="92">
        <f>'NASS Data'!$I94*1000*4.3/1000000</f>
        <v>17.536518000000001</v>
      </c>
      <c r="AE331" s="92">
        <f>'NASS Data'!$I106*1000*4.3/1000000</f>
        <v>10.603757</v>
      </c>
      <c r="AF331" s="92">
        <f>'NASS Data'!$I118*1000*4.3/1000000</f>
        <v>5.5615769999999989</v>
      </c>
      <c r="AG331" s="93">
        <f t="shared" si="219"/>
        <v>11.712577873131332</v>
      </c>
      <c r="AH331" s="93">
        <f t="shared" si="215"/>
        <v>14.694816807887594</v>
      </c>
      <c r="AI331" s="93">
        <f t="shared" si="216"/>
        <v>10.713317896127256</v>
      </c>
      <c r="AJ331" s="93">
        <f t="shared" si="217"/>
        <v>9.2849241383706378</v>
      </c>
      <c r="AK331" s="93">
        <f t="shared" si="217"/>
        <v>9.7180701428476226</v>
      </c>
      <c r="AL331" s="93">
        <f t="shared" si="217"/>
        <v>9.6765011824766276</v>
      </c>
      <c r="AM331" s="93">
        <f t="shared" si="217"/>
        <v>10.016227808835136</v>
      </c>
      <c r="AN331" s="93">
        <f t="shared" si="217"/>
        <v>9.980626316068772</v>
      </c>
      <c r="AO331" s="93">
        <f t="shared" si="217"/>
        <v>9.9101550060620305</v>
      </c>
      <c r="AP331" s="93">
        <f t="shared" si="217"/>
        <v>10.095552260433179</v>
      </c>
      <c r="AQ331" s="93">
        <f t="shared" si="217"/>
        <v>10.210716418346003</v>
      </c>
      <c r="AR331" s="93">
        <f t="shared" si="217"/>
        <v>10.338027784359291</v>
      </c>
      <c r="AS331" s="93">
        <f t="shared" si="217"/>
        <v>10.401394650948626</v>
      </c>
      <c r="AT331" s="93">
        <f t="shared" si="217"/>
        <v>10.485145259338378</v>
      </c>
      <c r="AU331" s="93">
        <f t="shared" si="217"/>
        <v>10.600629196818955</v>
      </c>
      <c r="AV331" s="93">
        <f t="shared" si="217"/>
        <v>10.701725567489483</v>
      </c>
      <c r="AW331" s="93">
        <f t="shared" si="217"/>
        <v>10.799927982214992</v>
      </c>
      <c r="AX331" s="93">
        <f t="shared" si="217"/>
        <v>10.892146879455479</v>
      </c>
      <c r="AY331" s="93">
        <f t="shared" si="217"/>
        <v>10.990297958083554</v>
      </c>
      <c r="AZ331" s="93">
        <f t="shared" si="218"/>
        <v>11.091407667271016</v>
      </c>
      <c r="BA331" s="93">
        <f t="shared" si="218"/>
        <v>11.189563405792171</v>
      </c>
      <c r="BB331" s="93">
        <f t="shared" si="218"/>
        <v>11.287115263703534</v>
      </c>
      <c r="BC331" s="93">
        <f t="shared" si="218"/>
        <v>11.384533834016755</v>
      </c>
      <c r="BD331" s="93">
        <f t="shared" si="218"/>
        <v>11.483020036977971</v>
      </c>
      <c r="BE331" s="93">
        <f t="shared" si="218"/>
        <v>11.581574860027567</v>
      </c>
      <c r="BF331" s="93">
        <f t="shared" si="218"/>
        <v>11.67960531148559</v>
      </c>
      <c r="BY331" s="112"/>
      <c r="BZ331" s="112"/>
      <c r="CA331" s="112"/>
      <c r="CB331" s="112"/>
      <c r="CC331" s="112"/>
      <c r="CD331" s="112"/>
      <c r="CE331" s="112"/>
    </row>
    <row r="332" spans="1:83">
      <c r="A332" s="69" t="s">
        <v>35</v>
      </c>
      <c r="X332" s="92">
        <f>'NASS Data'!$I23*1000*4.3/1000000</f>
        <v>25.713999999999999</v>
      </c>
      <c r="Y332" s="92">
        <f>'NASS Data'!$I35*1000*4.3/1000000</f>
        <v>22.927600000000002</v>
      </c>
      <c r="Z332" s="92">
        <f>'NASS Data'!$I47*1000*4.3/1000000</f>
        <v>15.0328</v>
      </c>
      <c r="AA332" s="92">
        <f>'NASS Data'!$I59*1000*4.3/1000000</f>
        <v>23.383400000000002</v>
      </c>
      <c r="AB332" s="92">
        <f>'NASS Data'!$I71*1000*4.3/1000000</f>
        <v>3.9817999999999998</v>
      </c>
      <c r="AC332" s="92">
        <f>'NASS Data'!I83*1000*4.3/1000000</f>
        <v>1.3882549999999998</v>
      </c>
      <c r="AD332" s="92">
        <f>'NASS Data'!$I95*1000*4.3/1000000</f>
        <v>17.990597999999999</v>
      </c>
      <c r="AE332" s="92">
        <f>'NASS Data'!$I107*1000*4.3/1000000</f>
        <v>10.964699</v>
      </c>
      <c r="AF332" s="92">
        <f>'NASS Data'!$I119*1000*4.3/1000000</f>
        <v>5.8765949999999991</v>
      </c>
      <c r="AG332" s="93">
        <f t="shared" si="219"/>
        <v>11.551572554062199</v>
      </c>
      <c r="AH332" s="93">
        <f t="shared" si="215"/>
        <v>14.953579764282457</v>
      </c>
      <c r="AI332" s="93">
        <f t="shared" si="216"/>
        <v>10.932149226198442</v>
      </c>
      <c r="AJ332" s="93">
        <f t="shared" si="217"/>
        <v>9.4578726391109988</v>
      </c>
      <c r="AK332" s="93">
        <f t="shared" si="217"/>
        <v>9.8685251300241852</v>
      </c>
      <c r="AL332" s="93">
        <f t="shared" si="217"/>
        <v>9.7868447092548738</v>
      </c>
      <c r="AM332" s="93">
        <f t="shared" si="217"/>
        <v>10.184994716457584</v>
      </c>
      <c r="AN332" s="93">
        <f t="shared" si="217"/>
        <v>10.146538057051309</v>
      </c>
      <c r="AO332" s="93">
        <f t="shared" si="217"/>
        <v>10.066600949488411</v>
      </c>
      <c r="AP332" s="93">
        <f t="shared" si="217"/>
        <v>10.249524586311066</v>
      </c>
      <c r="AQ332" s="93">
        <f t="shared" si="217"/>
        <v>10.365984810139482</v>
      </c>
      <c r="AR332" s="93">
        <f t="shared" si="217"/>
        <v>10.502808877533381</v>
      </c>
      <c r="AS332" s="93">
        <f t="shared" si="217"/>
        <v>10.565309653855355</v>
      </c>
      <c r="AT332" s="93">
        <f t="shared" si="217"/>
        <v>10.648604788219354</v>
      </c>
      <c r="AU332" s="93">
        <f t="shared" si="217"/>
        <v>10.765487873017776</v>
      </c>
      <c r="AV332" s="93">
        <f t="shared" si="217"/>
        <v>10.868779932644193</v>
      </c>
      <c r="AW332" s="93">
        <f t="shared" si="217"/>
        <v>10.969362661270479</v>
      </c>
      <c r="AX332" s="93">
        <f t="shared" si="217"/>
        <v>11.062495342407027</v>
      </c>
      <c r="AY332" s="93">
        <f t="shared" si="217"/>
        <v>11.161926287938694</v>
      </c>
      <c r="AZ332" s="93">
        <f t="shared" si="218"/>
        <v>11.264672521804425</v>
      </c>
      <c r="BA332" s="93">
        <f t="shared" si="218"/>
        <v>11.364513493786289</v>
      </c>
      <c r="BB332" s="93">
        <f t="shared" si="218"/>
        <v>11.463645688087135</v>
      </c>
      <c r="BC332" s="93">
        <f t="shared" si="218"/>
        <v>11.562480330525194</v>
      </c>
      <c r="BD332" s="93">
        <f t="shared" si="218"/>
        <v>11.662485760860671</v>
      </c>
      <c r="BE332" s="93">
        <f t="shared" si="218"/>
        <v>11.762608938813074</v>
      </c>
      <c r="BF332" s="93">
        <f t="shared" si="218"/>
        <v>11.862193743511398</v>
      </c>
      <c r="BY332" s="112"/>
      <c r="BZ332" s="112"/>
      <c r="CA332" s="112"/>
      <c r="CB332" s="112"/>
      <c r="CC332" s="112"/>
      <c r="CD332" s="112"/>
      <c r="CE332" s="112"/>
    </row>
    <row r="333" spans="1:83">
      <c r="A333" s="69" t="s">
        <v>36</v>
      </c>
      <c r="X333" s="92">
        <f>'NASS Data'!$I24*1000*4.3/1000000</f>
        <v>18.773800000000001</v>
      </c>
      <c r="Y333" s="92">
        <f>'NASS Data'!$I36*1000*4.3/1000000</f>
        <v>16.0519</v>
      </c>
      <c r="Z333" s="92">
        <f>'NASS Data'!$I48*1000*4.3/1000000</f>
        <v>14.8565</v>
      </c>
      <c r="AA333" s="92">
        <f>'NASS Data'!$I60*1000*4.3/1000000</f>
        <v>26.294499999999999</v>
      </c>
      <c r="AB333" s="92">
        <f>'NASS Data'!$I72*1000*4.3/1000000</f>
        <v>3.6549999999999998</v>
      </c>
      <c r="AC333" s="92">
        <f>'NASS Data'!$I84*1000*4.3/1000000</f>
        <v>1.269317</v>
      </c>
      <c r="AD333" s="92">
        <f>'NASS Data'!$I84*1000*4.3/1000000</f>
        <v>1.269317</v>
      </c>
      <c r="AE333" s="92">
        <f>'NASS Data'!$I108*1000*4.3/1000000</f>
        <v>11.846113000000001</v>
      </c>
      <c r="AF333" s="92">
        <f>'NASS Data'!$I120*1000*4.3/1000000</f>
        <v>6.5380209999999996</v>
      </c>
      <c r="AG333" s="93">
        <f t="shared" ref="AG333:AL333" si="220">AG334-SUM(AG322:AG332)</f>
        <v>20.794760533777279</v>
      </c>
      <c r="AH333" s="93">
        <f t="shared" si="220"/>
        <v>13.058487245630744</v>
      </c>
      <c r="AI333" s="93">
        <f t="shared" si="220"/>
        <v>9.5365406363865901</v>
      </c>
      <c r="AJ333" s="93">
        <f t="shared" si="220"/>
        <v>10.76390950733888</v>
      </c>
      <c r="AK333" s="93">
        <f t="shared" si="220"/>
        <v>11.349586391407669</v>
      </c>
      <c r="AL333" s="93">
        <f t="shared" si="220"/>
        <v>11.293669709403659</v>
      </c>
      <c r="AM333" s="93">
        <f t="shared" ref="AM333:AY333" si="221">AM334-SUM(AM322:AM332)</f>
        <v>10.370776572253249</v>
      </c>
      <c r="AN333" s="93">
        <f t="shared" si="221"/>
        <v>10.769525528991579</v>
      </c>
      <c r="AO333" s="93">
        <f t="shared" si="221"/>
        <v>11.105472467781027</v>
      </c>
      <c r="AP333" s="93">
        <f t="shared" si="221"/>
        <v>11.239702105354326</v>
      </c>
      <c r="AQ333" s="93">
        <f t="shared" si="221"/>
        <v>11.258954987971379</v>
      </c>
      <c r="AR333" s="93">
        <f t="shared" si="221"/>
        <v>11.27091240107238</v>
      </c>
      <c r="AS333" s="93">
        <f t="shared" si="221"/>
        <v>11.453056609833197</v>
      </c>
      <c r="AT333" s="93">
        <f t="shared" si="221"/>
        <v>11.590589513856372</v>
      </c>
      <c r="AU333" s="93">
        <f t="shared" si="221"/>
        <v>11.687290070006597</v>
      </c>
      <c r="AV333" s="93">
        <f t="shared" si="221"/>
        <v>11.776278472676736</v>
      </c>
      <c r="AW333" s="93">
        <f t="shared" si="221"/>
        <v>11.879614911063499</v>
      </c>
      <c r="AX333" s="93">
        <f t="shared" si="221"/>
        <v>12.001737190917453</v>
      </c>
      <c r="AY333" s="93">
        <f t="shared" si="221"/>
        <v>12.111517683952854</v>
      </c>
      <c r="AZ333" s="93">
        <f t="shared" ref="AZ333:BF333" si="222">AZ334-SUM(AZ322:AZ332)</f>
        <v>12.215595511152259</v>
      </c>
      <c r="BA333" s="93">
        <f t="shared" si="222"/>
        <v>12.321190612167499</v>
      </c>
      <c r="BB333" s="93">
        <f t="shared" si="222"/>
        <v>12.430197195650308</v>
      </c>
      <c r="BC333" s="93">
        <f t="shared" si="222"/>
        <v>12.54036748758493</v>
      </c>
      <c r="BD333" s="93">
        <f t="shared" si="222"/>
        <v>12.64808353226212</v>
      </c>
      <c r="BE333" s="93">
        <f t="shared" si="222"/>
        <v>12.755376090400731</v>
      </c>
      <c r="BF333" s="93">
        <f t="shared" si="222"/>
        <v>12.863328578016919</v>
      </c>
      <c r="BY333" s="112"/>
      <c r="BZ333" s="112"/>
      <c r="CA333" s="112"/>
      <c r="CB333" s="112"/>
      <c r="CC333" s="112"/>
      <c r="CD333" s="112"/>
      <c r="CE333" s="112"/>
    </row>
    <row r="334" spans="1:83" ht="12" thickBot="1">
      <c r="A334" s="69" t="s">
        <v>138</v>
      </c>
      <c r="X334" s="92">
        <f t="shared" ref="X334:AB334" si="223">SUM(X322:X333)</f>
        <v>317.58080000000001</v>
      </c>
      <c r="Y334" s="92">
        <f t="shared" si="223"/>
        <v>274.24539999999996</v>
      </c>
      <c r="Z334" s="92">
        <f t="shared" si="223"/>
        <v>147.65916517696769</v>
      </c>
      <c r="AA334" s="92">
        <f t="shared" si="223"/>
        <v>251.14579999999998</v>
      </c>
      <c r="AB334" s="92">
        <f t="shared" si="223"/>
        <v>179.97649999999999</v>
      </c>
      <c r="AC334" s="92">
        <f t="shared" ref="AC334:AF334" si="224">SUM(AC322:AC333)</f>
        <v>26.183173000000004</v>
      </c>
      <c r="AD334" s="92">
        <f t="shared" si="224"/>
        <v>87.171750000000003</v>
      </c>
      <c r="AE334" s="92">
        <f t="shared" si="224"/>
        <v>139.15027900000001</v>
      </c>
      <c r="AF334" s="92">
        <f t="shared" si="224"/>
        <v>54.748288000000002</v>
      </c>
      <c r="AG334" s="93">
        <v>140</v>
      </c>
      <c r="AH334" s="93">
        <v>140</v>
      </c>
      <c r="AI334" s="93">
        <v>100</v>
      </c>
      <c r="AJ334" s="93">
        <v>100</v>
      </c>
      <c r="AK334" s="93">
        <v>100</v>
      </c>
      <c r="AL334" s="93">
        <v>100</v>
      </c>
      <c r="AM334" s="93">
        <v>100</v>
      </c>
      <c r="AN334" s="93">
        <v>101</v>
      </c>
      <c r="AO334" s="93">
        <v>102</v>
      </c>
      <c r="AP334" s="93">
        <v>103</v>
      </c>
      <c r="AQ334" s="93">
        <v>104</v>
      </c>
      <c r="AR334" s="93">
        <v>105</v>
      </c>
      <c r="AS334" s="93">
        <v>106</v>
      </c>
      <c r="AT334" s="93">
        <v>107</v>
      </c>
      <c r="AU334" s="93">
        <v>108</v>
      </c>
      <c r="AV334" s="93">
        <v>109</v>
      </c>
      <c r="AW334" s="93">
        <v>110</v>
      </c>
      <c r="AX334" s="93">
        <v>111</v>
      </c>
      <c r="AY334" s="93">
        <v>112</v>
      </c>
      <c r="AZ334" s="93">
        <v>113</v>
      </c>
      <c r="BA334" s="93">
        <v>114</v>
      </c>
      <c r="BB334" s="93">
        <v>115</v>
      </c>
      <c r="BC334" s="93">
        <v>116</v>
      </c>
      <c r="BD334" s="93">
        <v>117</v>
      </c>
      <c r="BE334" s="93">
        <v>118</v>
      </c>
      <c r="BF334" s="93">
        <v>119</v>
      </c>
      <c r="BY334" s="112"/>
      <c r="BZ334" s="112"/>
      <c r="CA334" s="112"/>
      <c r="CB334" s="112"/>
      <c r="CC334" s="112"/>
      <c r="CD334" s="112"/>
      <c r="CE334" s="112"/>
    </row>
    <row r="335" spans="1:83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Y335" s="112"/>
      <c r="BZ335" s="112"/>
      <c r="CA335" s="112"/>
      <c r="CB335" s="112"/>
      <c r="CC335" s="112"/>
      <c r="CD335" s="112"/>
      <c r="CE335" s="112"/>
    </row>
    <row r="336" spans="1:83" ht="12" thickBot="1">
      <c r="A336" s="105" t="s">
        <v>182</v>
      </c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</row>
    <row r="337" spans="1:58" ht="12" thickBot="1">
      <c r="A337" s="84"/>
      <c r="B337" s="85" t="s">
        <v>66</v>
      </c>
      <c r="C337" s="86" t="s">
        <v>67</v>
      </c>
      <c r="D337" s="86" t="s">
        <v>68</v>
      </c>
      <c r="E337" s="86" t="s">
        <v>69</v>
      </c>
      <c r="F337" s="86" t="s">
        <v>70</v>
      </c>
      <c r="G337" s="86" t="s">
        <v>71</v>
      </c>
      <c r="H337" s="86" t="s">
        <v>72</v>
      </c>
      <c r="I337" s="86" t="s">
        <v>73</v>
      </c>
      <c r="J337" s="86" t="s">
        <v>74</v>
      </c>
      <c r="K337" s="86" t="s">
        <v>75</v>
      </c>
      <c r="L337" s="86" t="s">
        <v>76</v>
      </c>
      <c r="M337" s="86" t="s">
        <v>77</v>
      </c>
      <c r="N337" s="86" t="s">
        <v>78</v>
      </c>
      <c r="O337" s="86" t="s">
        <v>79</v>
      </c>
      <c r="P337" s="86" t="s">
        <v>80</v>
      </c>
      <c r="Q337" s="86" t="s">
        <v>81</v>
      </c>
      <c r="R337" s="86" t="s">
        <v>82</v>
      </c>
      <c r="S337" s="86" t="s">
        <v>83</v>
      </c>
      <c r="T337" s="86" t="s">
        <v>84</v>
      </c>
      <c r="U337" s="86" t="s">
        <v>85</v>
      </c>
      <c r="V337" s="86" t="s">
        <v>86</v>
      </c>
      <c r="W337" s="86" t="s">
        <v>87</v>
      </c>
      <c r="X337" s="86" t="s">
        <v>88</v>
      </c>
      <c r="Y337" s="86" t="s">
        <v>89</v>
      </c>
      <c r="Z337" s="86" t="s">
        <v>90</v>
      </c>
      <c r="AA337" s="86" t="s">
        <v>91</v>
      </c>
      <c r="AB337" s="86" t="s">
        <v>92</v>
      </c>
      <c r="AC337" s="86" t="s">
        <v>93</v>
      </c>
      <c r="AD337" s="86" t="str">
        <f>AD2</f>
        <v>21/22</v>
      </c>
      <c r="AE337" s="86" t="str">
        <f t="shared" ref="AE337:BF337" si="225">AE2</f>
        <v>22/23</v>
      </c>
      <c r="AF337" s="86" t="str">
        <f t="shared" si="225"/>
        <v>23/24</v>
      </c>
      <c r="AG337" s="86" t="str">
        <f t="shared" si="225"/>
        <v>24/25</v>
      </c>
      <c r="AH337" s="86" t="str">
        <f t="shared" si="225"/>
        <v>25/26</v>
      </c>
      <c r="AI337" s="86" t="str">
        <f t="shared" si="225"/>
        <v>26/27</v>
      </c>
      <c r="AJ337" s="86" t="str">
        <f t="shared" si="225"/>
        <v>27/28</v>
      </c>
      <c r="AK337" s="86" t="str">
        <f t="shared" si="225"/>
        <v>28/29</v>
      </c>
      <c r="AL337" s="86" t="str">
        <f t="shared" si="225"/>
        <v>29/30</v>
      </c>
      <c r="AM337" s="86" t="str">
        <f t="shared" si="225"/>
        <v>30/31</v>
      </c>
      <c r="AN337" s="86" t="str">
        <f t="shared" si="225"/>
        <v>31/32</v>
      </c>
      <c r="AO337" s="86" t="str">
        <f t="shared" si="225"/>
        <v>32/33</v>
      </c>
      <c r="AP337" s="86" t="str">
        <f t="shared" si="225"/>
        <v>33/34</v>
      </c>
      <c r="AQ337" s="86" t="str">
        <f t="shared" si="225"/>
        <v>34/35</v>
      </c>
      <c r="AR337" s="86" t="str">
        <f t="shared" si="225"/>
        <v>35/36</v>
      </c>
      <c r="AS337" s="86" t="str">
        <f t="shared" si="225"/>
        <v>36/37</v>
      </c>
      <c r="AT337" s="86" t="str">
        <f t="shared" si="225"/>
        <v>37/38</v>
      </c>
      <c r="AU337" s="86" t="str">
        <f t="shared" si="225"/>
        <v>38/39</v>
      </c>
      <c r="AV337" s="86" t="str">
        <f t="shared" si="225"/>
        <v>39/40</v>
      </c>
      <c r="AW337" s="86" t="str">
        <f t="shared" si="225"/>
        <v>40/41</v>
      </c>
      <c r="AX337" s="86" t="str">
        <f t="shared" si="225"/>
        <v>41/42</v>
      </c>
      <c r="AY337" s="86" t="str">
        <f t="shared" si="225"/>
        <v>42/43</v>
      </c>
      <c r="AZ337" s="86" t="str">
        <f t="shared" si="225"/>
        <v>43/44</v>
      </c>
      <c r="BA337" s="86" t="str">
        <f t="shared" si="225"/>
        <v>44/45</v>
      </c>
      <c r="BB337" s="86" t="str">
        <f t="shared" si="225"/>
        <v>45/46</v>
      </c>
      <c r="BC337" s="86" t="str">
        <f t="shared" si="225"/>
        <v>42/47</v>
      </c>
      <c r="BD337" s="86" t="str">
        <f t="shared" si="225"/>
        <v>42/48</v>
      </c>
      <c r="BE337" s="86" t="str">
        <f t="shared" si="225"/>
        <v>42/49</v>
      </c>
      <c r="BF337" s="86" t="str">
        <f t="shared" si="225"/>
        <v>42/50</v>
      </c>
    </row>
    <row r="338" spans="1:58">
      <c r="A338" s="69" t="s">
        <v>37</v>
      </c>
      <c r="Y338" s="76">
        <f t="shared" ref="Y338:AL349" si="226">Y32-Y290-Y306-Y322</f>
        <v>9.628689207487346</v>
      </c>
      <c r="Z338" s="76">
        <f t="shared" si="226"/>
        <v>9.3574694582919609</v>
      </c>
      <c r="AA338" s="76">
        <f t="shared" si="226"/>
        <v>10.45613768897697</v>
      </c>
      <c r="AB338" s="76">
        <f t="shared" si="226"/>
        <v>12.40012430819834</v>
      </c>
      <c r="AC338" s="76">
        <f t="shared" si="226"/>
        <v>8.2876148653923263</v>
      </c>
      <c r="AD338" s="76">
        <f t="shared" si="226"/>
        <v>7.8739748638707301</v>
      </c>
      <c r="AE338" s="76">
        <f t="shared" si="226"/>
        <v>10.66537603917995</v>
      </c>
      <c r="AF338" s="76">
        <f t="shared" si="226"/>
        <v>9.108173535553151</v>
      </c>
      <c r="AG338" s="76">
        <f>AG32-AG290-AG306-AG322</f>
        <v>8.6560252989727537</v>
      </c>
      <c r="AH338" s="79">
        <f t="shared" ref="AH338:BF349" si="227">AH32-AH290-AH306-AH322</f>
        <v>12.999768558148851</v>
      </c>
      <c r="AI338" s="79">
        <f t="shared" si="227"/>
        <v>15.447024497967515</v>
      </c>
      <c r="AJ338" s="79">
        <f t="shared" si="227"/>
        <v>17.195011535919697</v>
      </c>
      <c r="AK338" s="79">
        <f t="shared" si="227"/>
        <v>18.241488630988403</v>
      </c>
      <c r="AL338" s="79">
        <f t="shared" si="227"/>
        <v>20.06428737019457</v>
      </c>
      <c r="AM338" s="79">
        <f t="shared" si="227"/>
        <v>22.340668221959945</v>
      </c>
      <c r="AN338" s="79">
        <f t="shared" si="227"/>
        <v>24.265562191884197</v>
      </c>
      <c r="AO338" s="79">
        <f t="shared" si="227"/>
        <v>26.006433661388961</v>
      </c>
      <c r="AP338" s="79">
        <f t="shared" si="227"/>
        <v>27.746467014782642</v>
      </c>
      <c r="AQ338" s="79">
        <f t="shared" si="227"/>
        <v>29.630031722977293</v>
      </c>
      <c r="AR338" s="79">
        <f t="shared" si="227"/>
        <v>31.515102752719734</v>
      </c>
      <c r="AS338" s="79">
        <f t="shared" si="227"/>
        <v>33.32644359523298</v>
      </c>
      <c r="AT338" s="79">
        <f t="shared" si="227"/>
        <v>35.107920593915992</v>
      </c>
      <c r="AU338" s="79">
        <f t="shared" si="227"/>
        <v>36.900906220027949</v>
      </c>
      <c r="AV338" s="79">
        <f t="shared" si="227"/>
        <v>38.703856046826303</v>
      </c>
      <c r="AW338" s="79">
        <f t="shared" si="227"/>
        <v>40.489473305868536</v>
      </c>
      <c r="AX338" s="79">
        <f t="shared" si="227"/>
        <v>42.256167717030749</v>
      </c>
      <c r="AY338" s="79">
        <f t="shared" si="227"/>
        <v>44.012698640961901</v>
      </c>
      <c r="AZ338" s="79">
        <f t="shared" si="227"/>
        <v>45.764977984344924</v>
      </c>
      <c r="BA338" s="79">
        <f t="shared" si="227"/>
        <v>47.508616654028145</v>
      </c>
      <c r="BB338" s="79">
        <f t="shared" si="227"/>
        <v>49.240133797284273</v>
      </c>
      <c r="BC338" s="79">
        <f t="shared" si="227"/>
        <v>50.960805995000207</v>
      </c>
      <c r="BD338" s="79">
        <f t="shared" si="227"/>
        <v>52.671997077619487</v>
      </c>
      <c r="BE338" s="79">
        <f t="shared" si="227"/>
        <v>54.374126686599965</v>
      </c>
      <c r="BF338" s="79">
        <f t="shared" si="227"/>
        <v>56.065953670403317</v>
      </c>
    </row>
    <row r="339" spans="1:58">
      <c r="A339" s="69" t="s">
        <v>38</v>
      </c>
      <c r="X339" s="76">
        <f t="shared" ref="X339:X349" si="228">X33-X291-X307-X323</f>
        <v>10.72656829902148</v>
      </c>
      <c r="Y339" s="76">
        <f t="shared" si="226"/>
        <v>10.958256923222301</v>
      </c>
      <c r="Z339" s="76">
        <f t="shared" si="226"/>
        <v>9.5795742674891979</v>
      </c>
      <c r="AA339" s="76">
        <f t="shared" si="226"/>
        <v>11.602564605797077</v>
      </c>
      <c r="AB339" s="76">
        <f t="shared" si="226"/>
        <v>11.437737011094917</v>
      </c>
      <c r="AC339" s="76">
        <f t="shared" si="226"/>
        <v>8.3009844303920328</v>
      </c>
      <c r="AD339" s="76">
        <f t="shared" si="226"/>
        <v>8.2666632868879439</v>
      </c>
      <c r="AE339" s="76">
        <f t="shared" si="226"/>
        <v>10.460703517006078</v>
      </c>
      <c r="AF339" s="76">
        <f t="shared" si="226"/>
        <v>8.6451154258492622</v>
      </c>
      <c r="AG339" s="76">
        <f>AG33-AG291-AG307-AG323</f>
        <v>9.3482468901088058</v>
      </c>
      <c r="AH339" s="79">
        <f t="shared" si="227"/>
        <v>13.320929224597069</v>
      </c>
      <c r="AI339" s="79">
        <f t="shared" si="227"/>
        <v>15.855848943547421</v>
      </c>
      <c r="AJ339" s="79">
        <f t="shared" si="227"/>
        <v>17.368235418439244</v>
      </c>
      <c r="AK339" s="79">
        <f t="shared" si="227"/>
        <v>18.59156353816034</v>
      </c>
      <c r="AL339" s="79">
        <f t="shared" si="227"/>
        <v>20.704591475067069</v>
      </c>
      <c r="AM339" s="79">
        <f t="shared" si="227"/>
        <v>22.751795227070748</v>
      </c>
      <c r="AN339" s="79">
        <f t="shared" si="227"/>
        <v>24.644730176641843</v>
      </c>
      <c r="AO339" s="79">
        <f t="shared" si="227"/>
        <v>26.375512456496708</v>
      </c>
      <c r="AP339" s="79">
        <f t="shared" si="227"/>
        <v>28.157514046687083</v>
      </c>
      <c r="AQ339" s="79">
        <f t="shared" si="227"/>
        <v>30.049751610987322</v>
      </c>
      <c r="AR339" s="79">
        <f t="shared" si="227"/>
        <v>31.890558120909361</v>
      </c>
      <c r="AS339" s="79">
        <f t="shared" si="227"/>
        <v>33.69051579132104</v>
      </c>
      <c r="AT339" s="79">
        <f t="shared" si="227"/>
        <v>35.471340869069579</v>
      </c>
      <c r="AU339" s="79">
        <f t="shared" si="227"/>
        <v>37.263837568429658</v>
      </c>
      <c r="AV339" s="79">
        <f t="shared" si="227"/>
        <v>39.056719827481174</v>
      </c>
      <c r="AW339" s="79">
        <f t="shared" si="227"/>
        <v>40.829133851540767</v>
      </c>
      <c r="AX339" s="79">
        <f t="shared" si="227"/>
        <v>42.58838354416509</v>
      </c>
      <c r="AY339" s="79">
        <f t="shared" si="227"/>
        <v>44.33931411538736</v>
      </c>
      <c r="AZ339" s="79">
        <f t="shared" si="227"/>
        <v>46.084202045503865</v>
      </c>
      <c r="BA339" s="79">
        <f t="shared" si="227"/>
        <v>47.819100218037057</v>
      </c>
      <c r="BB339" s="79">
        <f t="shared" si="227"/>
        <v>49.54230282059634</v>
      </c>
      <c r="BC339" s="79">
        <f t="shared" si="227"/>
        <v>51.255614185397569</v>
      </c>
      <c r="BD339" s="79">
        <f t="shared" si="227"/>
        <v>52.959551312937826</v>
      </c>
      <c r="BE339" s="79">
        <f t="shared" si="227"/>
        <v>54.653918291129223</v>
      </c>
      <c r="BF339" s="79">
        <f t="shared" si="227"/>
        <v>56.337985688312124</v>
      </c>
    </row>
    <row r="340" spans="1:58">
      <c r="A340" s="69" t="s">
        <v>39</v>
      </c>
      <c r="X340" s="76">
        <f t="shared" si="228"/>
        <v>11.253595911689153</v>
      </c>
      <c r="Y340" s="76">
        <f t="shared" si="226"/>
        <v>10.690490983409038</v>
      </c>
      <c r="Z340" s="76">
        <f t="shared" si="226"/>
        <v>9.7410853289171726</v>
      </c>
      <c r="AA340" s="76">
        <f t="shared" si="226"/>
        <v>11.595967585450893</v>
      </c>
      <c r="AB340" s="76">
        <f t="shared" si="226"/>
        <v>10.46438035973971</v>
      </c>
      <c r="AC340" s="76">
        <f t="shared" si="226"/>
        <v>8.2965021962767853</v>
      </c>
      <c r="AD340" s="76">
        <f t="shared" si="226"/>
        <v>8.9551371134781519</v>
      </c>
      <c r="AE340" s="76">
        <f t="shared" si="226"/>
        <v>10.190243974026236</v>
      </c>
      <c r="AF340" s="76">
        <f t="shared" si="226"/>
        <v>8.3229444140821265</v>
      </c>
      <c r="AG340" s="79">
        <f>AG34-AG292-AG308-AG324</f>
        <v>10.199863142802252</v>
      </c>
      <c r="AH340" s="79">
        <f t="shared" si="227"/>
        <v>13.695022394981779</v>
      </c>
      <c r="AI340" s="79">
        <f t="shared" si="227"/>
        <v>16.474548563484088</v>
      </c>
      <c r="AJ340" s="79">
        <f t="shared" si="227"/>
        <v>17.71916989306979</v>
      </c>
      <c r="AK340" s="79">
        <f t="shared" si="227"/>
        <v>19.193258082261718</v>
      </c>
      <c r="AL340" s="79">
        <f t="shared" si="227"/>
        <v>21.580580408445741</v>
      </c>
      <c r="AM340" s="79">
        <f t="shared" si="227"/>
        <v>23.359823100998103</v>
      </c>
      <c r="AN340" s="79">
        <f t="shared" si="227"/>
        <v>25.281108334422655</v>
      </c>
      <c r="AO340" s="79">
        <f t="shared" si="227"/>
        <v>27.006913389624223</v>
      </c>
      <c r="AP340" s="79">
        <f t="shared" si="227"/>
        <v>28.838156379918559</v>
      </c>
      <c r="AQ340" s="79">
        <f t="shared" si="227"/>
        <v>30.742463334190901</v>
      </c>
      <c r="AR340" s="79">
        <f t="shared" si="227"/>
        <v>32.54176809053974</v>
      </c>
      <c r="AS340" s="79">
        <f t="shared" si="227"/>
        <v>34.356256212913607</v>
      </c>
      <c r="AT340" s="79">
        <f t="shared" si="227"/>
        <v>36.140050301128632</v>
      </c>
      <c r="AU340" s="79">
        <f t="shared" si="227"/>
        <v>37.939276098603465</v>
      </c>
      <c r="AV340" s="79">
        <f t="shared" si="227"/>
        <v>39.730922683632635</v>
      </c>
      <c r="AW340" s="79">
        <f t="shared" si="227"/>
        <v>41.499565266106558</v>
      </c>
      <c r="AX340" s="79">
        <f t="shared" si="227"/>
        <v>43.263405460045909</v>
      </c>
      <c r="AY340" s="79">
        <f t="shared" si="227"/>
        <v>45.015105319705867</v>
      </c>
      <c r="AZ340" s="79">
        <f t="shared" si="227"/>
        <v>46.76136881270449</v>
      </c>
      <c r="BA340" s="79">
        <f t="shared" si="227"/>
        <v>48.496445894514515</v>
      </c>
      <c r="BB340" s="79">
        <f t="shared" si="227"/>
        <v>50.220175646006929</v>
      </c>
      <c r="BC340" s="79">
        <f t="shared" si="227"/>
        <v>51.934863166402977</v>
      </c>
      <c r="BD340" s="79">
        <f t="shared" si="227"/>
        <v>53.639279043618458</v>
      </c>
      <c r="BE340" s="79">
        <f t="shared" si="227"/>
        <v>55.334338676319184</v>
      </c>
      <c r="BF340" s="79">
        <f t="shared" si="227"/>
        <v>57.018870772612452</v>
      </c>
    </row>
    <row r="341" spans="1:58">
      <c r="A341" s="69" t="s">
        <v>40</v>
      </c>
      <c r="X341" s="76">
        <f t="shared" si="228"/>
        <v>13.132009846270435</v>
      </c>
      <c r="Y341" s="76">
        <f t="shared" si="226"/>
        <v>11.658961673751506</v>
      </c>
      <c r="Z341" s="76">
        <f t="shared" si="226"/>
        <v>9.2899519890182614</v>
      </c>
      <c r="AA341" s="76">
        <f t="shared" si="226"/>
        <v>10.16965697401803</v>
      </c>
      <c r="AB341" s="76">
        <f t="shared" si="226"/>
        <v>11.867085189092155</v>
      </c>
      <c r="AC341" s="76">
        <f t="shared" si="226"/>
        <v>8.3040152285327107</v>
      </c>
      <c r="AD341" s="76">
        <f t="shared" si="226"/>
        <v>9.0005437911081962</v>
      </c>
      <c r="AE341" s="76">
        <f t="shared" si="226"/>
        <v>10.419391431701273</v>
      </c>
      <c r="AF341" s="76">
        <f t="shared" si="226"/>
        <v>8.078017400389589</v>
      </c>
      <c r="AG341" s="79">
        <f t="shared" si="226"/>
        <v>13.430140945011814</v>
      </c>
      <c r="AH341" s="79">
        <f t="shared" si="226"/>
        <v>13.999710782747357</v>
      </c>
      <c r="AI341" s="79">
        <f t="shared" si="226"/>
        <v>16.792256447082952</v>
      </c>
      <c r="AJ341" s="79">
        <f t="shared" si="226"/>
        <v>18.082204064371421</v>
      </c>
      <c r="AK341" s="79">
        <f t="shared" si="226"/>
        <v>19.53574191737135</v>
      </c>
      <c r="AL341" s="79">
        <f t="shared" si="226"/>
        <v>22.114492936282495</v>
      </c>
      <c r="AM341" s="79">
        <f t="shared" si="227"/>
        <v>23.77049785948039</v>
      </c>
      <c r="AN341" s="79">
        <f t="shared" si="227"/>
        <v>25.699679517597041</v>
      </c>
      <c r="AO341" s="79">
        <f t="shared" si="227"/>
        <v>27.44791285303414</v>
      </c>
      <c r="AP341" s="79">
        <f t="shared" si="227"/>
        <v>29.292045767345108</v>
      </c>
      <c r="AQ341" s="79">
        <f t="shared" si="227"/>
        <v>31.217385052004971</v>
      </c>
      <c r="AR341" s="79">
        <f t="shared" si="227"/>
        <v>33.004515301305091</v>
      </c>
      <c r="AS341" s="79">
        <f t="shared" si="227"/>
        <v>34.827230835465883</v>
      </c>
      <c r="AT341" s="79">
        <f t="shared" si="227"/>
        <v>36.62259614863401</v>
      </c>
      <c r="AU341" s="79">
        <f t="shared" si="227"/>
        <v>38.429349912057802</v>
      </c>
      <c r="AV341" s="79">
        <f t="shared" si="227"/>
        <v>40.228036038812434</v>
      </c>
      <c r="AW341" s="79">
        <f t="shared" si="227"/>
        <v>42.000778554713449</v>
      </c>
      <c r="AX341" s="79">
        <f t="shared" si="227"/>
        <v>43.771873599959257</v>
      </c>
      <c r="AY341" s="79">
        <f t="shared" si="227"/>
        <v>45.531045909143899</v>
      </c>
      <c r="AZ341" s="79">
        <f t="shared" si="227"/>
        <v>47.283521427321055</v>
      </c>
      <c r="BA341" s="79">
        <f t="shared" si="227"/>
        <v>49.024767994277113</v>
      </c>
      <c r="BB341" s="79">
        <f t="shared" si="227"/>
        <v>50.754423924890837</v>
      </c>
      <c r="BC341" s="79">
        <f t="shared" si="227"/>
        <v>52.475442296938724</v>
      </c>
      <c r="BD341" s="79">
        <f t="shared" si="227"/>
        <v>54.186021783077301</v>
      </c>
      <c r="BE341" s="79">
        <f t="shared" si="227"/>
        <v>55.886914872569804</v>
      </c>
      <c r="BF341" s="79">
        <f t="shared" si="227"/>
        <v>57.57726460813096</v>
      </c>
    </row>
    <row r="342" spans="1:58">
      <c r="A342" s="69" t="s">
        <v>30</v>
      </c>
      <c r="X342" s="76">
        <f t="shared" si="228"/>
        <v>12.617125626095682</v>
      </c>
      <c r="Y342" s="76">
        <f t="shared" si="226"/>
        <v>12.862340748864195</v>
      </c>
      <c r="Z342" s="76">
        <f t="shared" si="226"/>
        <v>9.8037243430376737</v>
      </c>
      <c r="AA342" s="76">
        <f t="shared" si="226"/>
        <v>12.250834122079478</v>
      </c>
      <c r="AB342" s="76">
        <f t="shared" si="226"/>
        <v>12.326343045245572</v>
      </c>
      <c r="AC342" s="76">
        <f t="shared" si="226"/>
        <v>8.3175606610516173</v>
      </c>
      <c r="AD342" s="76">
        <f t="shared" si="226"/>
        <v>8.9758188915825201</v>
      </c>
      <c r="AE342" s="76">
        <f t="shared" si="226"/>
        <v>10.03784193421386</v>
      </c>
      <c r="AF342" s="76">
        <f t="shared" si="226"/>
        <v>8.3479211725498192</v>
      </c>
      <c r="AG342" s="79">
        <f t="shared" si="226"/>
        <v>14.865987415321046</v>
      </c>
      <c r="AH342" s="79">
        <f t="shared" si="226"/>
        <v>14.008781835500251</v>
      </c>
      <c r="AI342" s="79">
        <f t="shared" si="226"/>
        <v>16.629325022427899</v>
      </c>
      <c r="AJ342" s="79">
        <f t="shared" si="226"/>
        <v>17.920065096358456</v>
      </c>
      <c r="AK342" s="79">
        <f t="shared" si="226"/>
        <v>19.570384387859558</v>
      </c>
      <c r="AL342" s="79">
        <f t="shared" si="226"/>
        <v>22.001757168651437</v>
      </c>
      <c r="AM342" s="79">
        <f t="shared" si="227"/>
        <v>23.697488821540155</v>
      </c>
      <c r="AN342" s="79">
        <f t="shared" si="227"/>
        <v>25.636449548431472</v>
      </c>
      <c r="AO342" s="79">
        <f t="shared" si="227"/>
        <v>27.413559262925851</v>
      </c>
      <c r="AP342" s="79">
        <f t="shared" si="227"/>
        <v>29.288607121350701</v>
      </c>
      <c r="AQ342" s="79">
        <f t="shared" si="227"/>
        <v>31.205032483520377</v>
      </c>
      <c r="AR342" s="79">
        <f t="shared" si="227"/>
        <v>33.013604432791936</v>
      </c>
      <c r="AS342" s="79">
        <f t="shared" si="227"/>
        <v>34.85065159351511</v>
      </c>
      <c r="AT342" s="79">
        <f t="shared" si="227"/>
        <v>36.664570177750875</v>
      </c>
      <c r="AU342" s="79">
        <f t="shared" si="227"/>
        <v>38.485928455328569</v>
      </c>
      <c r="AV342" s="79">
        <f t="shared" si="227"/>
        <v>40.295781250928627</v>
      </c>
      <c r="AW342" s="79">
        <f t="shared" si="227"/>
        <v>42.08435308008621</v>
      </c>
      <c r="AX342" s="79">
        <f t="shared" si="227"/>
        <v>43.869741222683849</v>
      </c>
      <c r="AY342" s="79">
        <f t="shared" si="227"/>
        <v>45.643717125844255</v>
      </c>
      <c r="AZ342" s="79">
        <f t="shared" si="227"/>
        <v>47.409731219478914</v>
      </c>
      <c r="BA342" s="79">
        <f t="shared" si="227"/>
        <v>49.164481861943706</v>
      </c>
      <c r="BB342" s="79">
        <f t="shared" si="227"/>
        <v>50.90818995824273</v>
      </c>
      <c r="BC342" s="79">
        <f t="shared" si="227"/>
        <v>52.64282018023092</v>
      </c>
      <c r="BD342" s="79">
        <f t="shared" si="227"/>
        <v>54.366947675844408</v>
      </c>
      <c r="BE342" s="79">
        <f t="shared" si="227"/>
        <v>56.081046023330231</v>
      </c>
      <c r="BF342" s="79">
        <f t="shared" si="227"/>
        <v>57.784604749238369</v>
      </c>
    </row>
    <row r="343" spans="1:58">
      <c r="A343" s="69" t="s">
        <v>31</v>
      </c>
      <c r="X343" s="76">
        <f t="shared" si="228"/>
        <v>12.666570773937543</v>
      </c>
      <c r="Y343" s="76">
        <f t="shared" si="226"/>
        <v>11.631986010621105</v>
      </c>
      <c r="Z343" s="76">
        <f t="shared" si="226"/>
        <v>8.926702243293466</v>
      </c>
      <c r="AA343" s="76">
        <f t="shared" si="226"/>
        <v>11.842396057677455</v>
      </c>
      <c r="AB343" s="76">
        <f t="shared" si="226"/>
        <v>12.757447387070961</v>
      </c>
      <c r="AC343" s="76">
        <f t="shared" si="226"/>
        <v>8.1186505255345036</v>
      </c>
      <c r="AD343" s="76">
        <f t="shared" si="226"/>
        <v>8.7186530820541996</v>
      </c>
      <c r="AE343" s="76">
        <f t="shared" si="226"/>
        <v>9.4958631066769978</v>
      </c>
      <c r="AF343" s="76">
        <f t="shared" si="226"/>
        <v>8.4697663414842346</v>
      </c>
      <c r="AG343" s="79">
        <f t="shared" si="226"/>
        <v>13.860155440890845</v>
      </c>
      <c r="AH343" s="79">
        <f t="shared" si="226"/>
        <v>13.330063172383339</v>
      </c>
      <c r="AI343" s="79">
        <f t="shared" si="226"/>
        <v>16.094296887330941</v>
      </c>
      <c r="AJ343" s="79">
        <f t="shared" si="226"/>
        <v>17.413647178084318</v>
      </c>
      <c r="AK343" s="79">
        <f t="shared" si="226"/>
        <v>19.216098121897073</v>
      </c>
      <c r="AL343" s="79">
        <f t="shared" si="226"/>
        <v>21.482704220754968</v>
      </c>
      <c r="AM343" s="79">
        <f t="shared" si="227"/>
        <v>23.091143070055473</v>
      </c>
      <c r="AN343" s="79">
        <f t="shared" si="227"/>
        <v>25.080279125404111</v>
      </c>
      <c r="AO343" s="79">
        <f t="shared" si="227"/>
        <v>26.841933035162789</v>
      </c>
      <c r="AP343" s="79">
        <f t="shared" si="227"/>
        <v>28.698489684334536</v>
      </c>
      <c r="AQ343" s="79">
        <f t="shared" si="227"/>
        <v>30.57059511652465</v>
      </c>
      <c r="AR343" s="79">
        <f t="shared" si="227"/>
        <v>32.36310052915168</v>
      </c>
      <c r="AS343" s="79">
        <f t="shared" si="227"/>
        <v>34.19217841623184</v>
      </c>
      <c r="AT343" s="79">
        <f t="shared" si="227"/>
        <v>35.982001934440312</v>
      </c>
      <c r="AU343" s="79">
        <f t="shared" si="227"/>
        <v>37.782171648771893</v>
      </c>
      <c r="AV343" s="79">
        <f t="shared" si="227"/>
        <v>39.571313704464259</v>
      </c>
      <c r="AW343" s="79">
        <f t="shared" si="227"/>
        <v>41.343254851535391</v>
      </c>
      <c r="AX343" s="79">
        <f t="shared" si="227"/>
        <v>43.110470043933319</v>
      </c>
      <c r="AY343" s="79">
        <f t="shared" si="227"/>
        <v>44.864399186659014</v>
      </c>
      <c r="AZ343" s="79">
        <f t="shared" si="227"/>
        <v>46.612203558013491</v>
      </c>
      <c r="BA343" s="79">
        <f t="shared" si="227"/>
        <v>48.349058239716449</v>
      </c>
      <c r="BB343" s="79">
        <f t="shared" si="227"/>
        <v>50.075198427186521</v>
      </c>
      <c r="BC343" s="79">
        <f t="shared" si="227"/>
        <v>51.791933597408487</v>
      </c>
      <c r="BD343" s="79">
        <f t="shared" si="227"/>
        <v>53.498411694004126</v>
      </c>
      <c r="BE343" s="79">
        <f t="shared" si="227"/>
        <v>55.195441278399144</v>
      </c>
      <c r="BF343" s="79">
        <f t="shared" si="227"/>
        <v>56.882027673741582</v>
      </c>
    </row>
    <row r="344" spans="1:58">
      <c r="A344" s="69" t="s">
        <v>32</v>
      </c>
      <c r="X344" s="76">
        <f t="shared" si="228"/>
        <v>15.925938189917417</v>
      </c>
      <c r="Y344" s="76">
        <f t="shared" si="226"/>
        <v>13.067210214467309</v>
      </c>
      <c r="Z344" s="76">
        <f t="shared" si="226"/>
        <v>9.4182423400724531</v>
      </c>
      <c r="AA344" s="76">
        <f t="shared" si="226"/>
        <v>11.843635577880782</v>
      </c>
      <c r="AB344" s="76">
        <f t="shared" si="226"/>
        <v>12.555222701121348</v>
      </c>
      <c r="AC344" s="76">
        <f t="shared" si="226"/>
        <v>8.020697404121405</v>
      </c>
      <c r="AD344" s="76">
        <f t="shared" si="226"/>
        <v>8.5917758861306801</v>
      </c>
      <c r="AE344" s="76">
        <f t="shared" si="226"/>
        <v>9.7930793703245769</v>
      </c>
      <c r="AF344" s="76">
        <f t="shared" si="226"/>
        <v>8.5019211193439794</v>
      </c>
      <c r="AG344" s="79">
        <f t="shared" si="226"/>
        <v>13.784663907009978</v>
      </c>
      <c r="AH344" s="79">
        <f t="shared" si="226"/>
        <v>13.418050199522256</v>
      </c>
      <c r="AI344" s="79">
        <f t="shared" si="226"/>
        <v>16.09681733935945</v>
      </c>
      <c r="AJ344" s="79">
        <f t="shared" si="226"/>
        <v>17.475296802091968</v>
      </c>
      <c r="AK344" s="79">
        <f t="shared" si="226"/>
        <v>19.1524266929571</v>
      </c>
      <c r="AL344" s="79">
        <f t="shared" si="226"/>
        <v>21.435101977179389</v>
      </c>
      <c r="AM344" s="79">
        <f t="shared" si="227"/>
        <v>23.113867606330089</v>
      </c>
      <c r="AN344" s="79">
        <f t="shared" si="227"/>
        <v>25.134430257308924</v>
      </c>
      <c r="AO344" s="79">
        <f t="shared" si="227"/>
        <v>26.909764314048399</v>
      </c>
      <c r="AP344" s="79">
        <f t="shared" si="227"/>
        <v>28.78152614408857</v>
      </c>
      <c r="AQ344" s="79">
        <f t="shared" si="227"/>
        <v>30.679055405447787</v>
      </c>
      <c r="AR344" s="79">
        <f t="shared" si="227"/>
        <v>32.498841825771834</v>
      </c>
      <c r="AS344" s="79">
        <f t="shared" si="227"/>
        <v>34.352748404781657</v>
      </c>
      <c r="AT344" s="79">
        <f t="shared" si="227"/>
        <v>36.163706821271532</v>
      </c>
      <c r="AU344" s="79">
        <f t="shared" si="227"/>
        <v>37.98731320707931</v>
      </c>
      <c r="AV344" s="79">
        <f t="shared" si="227"/>
        <v>39.798140754136448</v>
      </c>
      <c r="AW344" s="79">
        <f t="shared" si="227"/>
        <v>41.593119551959916</v>
      </c>
      <c r="AX344" s="79">
        <f t="shared" si="227"/>
        <v>43.383230641602125</v>
      </c>
      <c r="AY344" s="79">
        <f t="shared" si="227"/>
        <v>45.15885515809299</v>
      </c>
      <c r="AZ344" s="79">
        <f t="shared" si="227"/>
        <v>46.928557077472348</v>
      </c>
      <c r="BA344" s="79">
        <f t="shared" si="227"/>
        <v>48.686641458947484</v>
      </c>
      <c r="BB344" s="79">
        <f t="shared" si="227"/>
        <v>50.434482442902343</v>
      </c>
      <c r="BC344" s="79">
        <f t="shared" si="227"/>
        <v>52.172528980780967</v>
      </c>
      <c r="BD344" s="79">
        <f t="shared" si="227"/>
        <v>53.899861939154697</v>
      </c>
      <c r="BE344" s="79">
        <f t="shared" si="227"/>
        <v>55.617632066495503</v>
      </c>
      <c r="BF344" s="79">
        <f t="shared" si="227"/>
        <v>57.324712051321455</v>
      </c>
    </row>
    <row r="345" spans="1:58">
      <c r="A345" s="69" t="s">
        <v>33</v>
      </c>
      <c r="X345" s="76">
        <f t="shared" si="228"/>
        <v>13.130344296359681</v>
      </c>
      <c r="Y345" s="76">
        <f t="shared" si="226"/>
        <v>10.864736110204124</v>
      </c>
      <c r="Z345" s="76">
        <f t="shared" si="226"/>
        <v>9.6549314284505012</v>
      </c>
      <c r="AA345" s="76">
        <f t="shared" si="226"/>
        <v>11.384511442225445</v>
      </c>
      <c r="AB345" s="76">
        <f t="shared" si="226"/>
        <v>9.0121665823044825</v>
      </c>
      <c r="AC345" s="76">
        <f t="shared" si="226"/>
        <v>7.7820728159961794</v>
      </c>
      <c r="AD345" s="76">
        <f t="shared" si="226"/>
        <v>8.9636382365106808</v>
      </c>
      <c r="AE345" s="76">
        <f t="shared" si="226"/>
        <v>9.6624478029613687</v>
      </c>
      <c r="AF345" s="76">
        <f t="shared" si="226"/>
        <v>8.5523617095974203</v>
      </c>
      <c r="AG345" s="79">
        <f t="shared" si="226"/>
        <v>12.128801364703794</v>
      </c>
      <c r="AH345" s="79">
        <f t="shared" si="226"/>
        <v>12.692552907297786</v>
      </c>
      <c r="AI345" s="79">
        <f t="shared" si="226"/>
        <v>15.71517000645982</v>
      </c>
      <c r="AJ345" s="79">
        <f t="shared" si="226"/>
        <v>16.736472993300694</v>
      </c>
      <c r="AK345" s="79">
        <f t="shared" si="226"/>
        <v>18.271694579716879</v>
      </c>
      <c r="AL345" s="79">
        <f t="shared" si="226"/>
        <v>20.342446373526542</v>
      </c>
      <c r="AM345" s="79">
        <f t="shared" si="227"/>
        <v>22.273437140664058</v>
      </c>
      <c r="AN345" s="79">
        <f t="shared" si="227"/>
        <v>24.227452075776956</v>
      </c>
      <c r="AO345" s="79">
        <f t="shared" si="227"/>
        <v>25.877852562072359</v>
      </c>
      <c r="AP345" s="79">
        <f t="shared" si="227"/>
        <v>27.686300211610241</v>
      </c>
      <c r="AQ345" s="79">
        <f t="shared" si="227"/>
        <v>29.55143991271834</v>
      </c>
      <c r="AR345" s="79">
        <f t="shared" si="227"/>
        <v>31.377441036685873</v>
      </c>
      <c r="AS345" s="79">
        <f t="shared" si="227"/>
        <v>33.166656097185019</v>
      </c>
      <c r="AT345" s="79">
        <f t="shared" si="227"/>
        <v>34.921641117667001</v>
      </c>
      <c r="AU345" s="79">
        <f t="shared" si="227"/>
        <v>36.705992908127108</v>
      </c>
      <c r="AV345" s="79">
        <f t="shared" si="227"/>
        <v>38.483405275905412</v>
      </c>
      <c r="AW345" s="79">
        <f t="shared" si="227"/>
        <v>40.24247997193396</v>
      </c>
      <c r="AX345" s="79">
        <f t="shared" si="227"/>
        <v>41.985780296477841</v>
      </c>
      <c r="AY345" s="79">
        <f t="shared" si="227"/>
        <v>43.721281522632623</v>
      </c>
      <c r="AZ345" s="79">
        <f t="shared" si="227"/>
        <v>45.453749568462911</v>
      </c>
      <c r="BA345" s="79">
        <f t="shared" si="227"/>
        <v>47.174720506151147</v>
      </c>
      <c r="BB345" s="79">
        <f t="shared" si="227"/>
        <v>48.88417727312774</v>
      </c>
      <c r="BC345" s="79">
        <f t="shared" si="227"/>
        <v>50.583395843297147</v>
      </c>
      <c r="BD345" s="79">
        <f t="shared" si="227"/>
        <v>52.274079710203388</v>
      </c>
      <c r="BE345" s="79">
        <f t="shared" si="227"/>
        <v>53.95558567396192</v>
      </c>
      <c r="BF345" s="79">
        <f t="shared" si="227"/>
        <v>55.626537018516295</v>
      </c>
    </row>
    <row r="346" spans="1:58">
      <c r="A346" s="69" t="s">
        <v>14</v>
      </c>
      <c r="X346" s="76">
        <f t="shared" si="228"/>
        <v>13.304700095016873</v>
      </c>
      <c r="Y346" s="76">
        <f t="shared" si="226"/>
        <v>13.164061082747956</v>
      </c>
      <c r="Z346" s="76">
        <f t="shared" si="226"/>
        <v>10.340899173231726</v>
      </c>
      <c r="AA346" s="76">
        <f t="shared" si="226"/>
        <v>12.158599654512059</v>
      </c>
      <c r="AB346" s="76">
        <f t="shared" si="226"/>
        <v>9.5688718156479204</v>
      </c>
      <c r="AC346" s="76">
        <f>AC40-AC298-AC314-AC330</f>
        <v>7.7776723374275196</v>
      </c>
      <c r="AD346" s="76">
        <f>AD40-AD298-AD314-AD330</f>
        <v>9.6217772466557285</v>
      </c>
      <c r="AE346" s="76">
        <f t="shared" si="226"/>
        <v>9.9331360937643112</v>
      </c>
      <c r="AF346" s="76">
        <f t="shared" si="226"/>
        <v>8.4733280443309535</v>
      </c>
      <c r="AG346" s="79">
        <f t="shared" si="226"/>
        <v>13.074444687467595</v>
      </c>
      <c r="AH346" s="79">
        <f t="shared" si="226"/>
        <v>13.716188515598484</v>
      </c>
      <c r="AI346" s="79">
        <f t="shared" si="226"/>
        <v>16.592643828519442</v>
      </c>
      <c r="AJ346" s="79">
        <f t="shared" si="226"/>
        <v>17.510111320615412</v>
      </c>
      <c r="AK346" s="79">
        <f t="shared" si="226"/>
        <v>19.08341268601292</v>
      </c>
      <c r="AL346" s="79">
        <f t="shared" si="226"/>
        <v>21.379302938796336</v>
      </c>
      <c r="AM346" s="79">
        <f t="shared" si="227"/>
        <v>23.291481918100565</v>
      </c>
      <c r="AN346" s="79">
        <f t="shared" si="227"/>
        <v>25.221849043150762</v>
      </c>
      <c r="AO346" s="79">
        <f t="shared" si="227"/>
        <v>26.924578066775595</v>
      </c>
      <c r="AP346" s="79">
        <f t="shared" si="227"/>
        <v>28.781000942489296</v>
      </c>
      <c r="AQ346" s="79">
        <f t="shared" si="227"/>
        <v>30.696125598637611</v>
      </c>
      <c r="AR346" s="79">
        <f t="shared" si="227"/>
        <v>32.526782915532849</v>
      </c>
      <c r="AS346" s="79">
        <f t="shared" si="227"/>
        <v>34.351676365865508</v>
      </c>
      <c r="AT346" s="79">
        <f t="shared" si="227"/>
        <v>36.14807864913098</v>
      </c>
      <c r="AU346" s="79">
        <f t="shared" si="227"/>
        <v>37.963384567913678</v>
      </c>
      <c r="AV346" s="79">
        <f t="shared" si="227"/>
        <v>39.770885123396909</v>
      </c>
      <c r="AW346" s="79">
        <f t="shared" si="227"/>
        <v>41.556428176016496</v>
      </c>
      <c r="AX346" s="79">
        <f t="shared" si="227"/>
        <v>43.334344623300979</v>
      </c>
      <c r="AY346" s="79">
        <f t="shared" si="227"/>
        <v>45.100901583342655</v>
      </c>
      <c r="AZ346" s="79">
        <f t="shared" si="227"/>
        <v>46.861958437256874</v>
      </c>
      <c r="BA346" s="79">
        <f t="shared" si="227"/>
        <v>48.612031287025516</v>
      </c>
      <c r="BB346" s="79">
        <f t="shared" si="227"/>
        <v>50.350480499140033</v>
      </c>
      <c r="BC346" s="79">
        <f t="shared" si="227"/>
        <v>52.079455760612397</v>
      </c>
      <c r="BD346" s="79">
        <f t="shared" si="227"/>
        <v>53.798184280143147</v>
      </c>
      <c r="BE346" s="79">
        <f t="shared" si="227"/>
        <v>55.507407172254133</v>
      </c>
      <c r="BF346" s="79">
        <f t="shared" si="227"/>
        <v>57.206065219962106</v>
      </c>
    </row>
    <row r="347" spans="1:58">
      <c r="A347" s="69" t="s">
        <v>34</v>
      </c>
      <c r="X347" s="76">
        <f t="shared" si="228"/>
        <v>12.698888314302675</v>
      </c>
      <c r="Y347" s="76">
        <f t="shared" si="226"/>
        <v>12.054244730533423</v>
      </c>
      <c r="Z347" s="76">
        <f t="shared" si="226"/>
        <v>10.825888538477233</v>
      </c>
      <c r="AA347" s="76">
        <f t="shared" si="226"/>
        <v>11.513206714093602</v>
      </c>
      <c r="AB347" s="76">
        <f t="shared" si="226"/>
        <v>8.5951734303496554</v>
      </c>
      <c r="AC347" s="76">
        <f t="shared" si="226"/>
        <v>7.9457045686778329</v>
      </c>
      <c r="AD347" s="76">
        <f>AD41-AD299-AD315-AD331</f>
        <v>11.404004432284964</v>
      </c>
      <c r="AE347" s="76">
        <f t="shared" si="226"/>
        <v>9.8656893120876834</v>
      </c>
      <c r="AF347" s="76">
        <f t="shared" si="226"/>
        <v>8.8370438564750629</v>
      </c>
      <c r="AG347" s="79">
        <f t="shared" si="226"/>
        <v>13.403905586170259</v>
      </c>
      <c r="AH347" s="79">
        <f t="shared" si="226"/>
        <v>14.761316017566667</v>
      </c>
      <c r="AI347" s="79">
        <f t="shared" si="226"/>
        <v>18.298070246588189</v>
      </c>
      <c r="AJ347" s="79">
        <f t="shared" si="226"/>
        <v>18.501683260129514</v>
      </c>
      <c r="AK347" s="79">
        <f t="shared" si="226"/>
        <v>20.413145323456064</v>
      </c>
      <c r="AL347" s="79">
        <f t="shared" si="226"/>
        <v>22.617173857001681</v>
      </c>
      <c r="AM347" s="79">
        <f t="shared" si="227"/>
        <v>24.719118863770465</v>
      </c>
      <c r="AN347" s="79">
        <f t="shared" si="227"/>
        <v>26.564375892836743</v>
      </c>
      <c r="AO347" s="79">
        <f t="shared" si="227"/>
        <v>28.163608847173943</v>
      </c>
      <c r="AP347" s="79">
        <f t="shared" si="227"/>
        <v>30.065191800866181</v>
      </c>
      <c r="AQ347" s="79">
        <f t="shared" si="227"/>
        <v>31.961091129228883</v>
      </c>
      <c r="AR347" s="79">
        <f t="shared" si="227"/>
        <v>33.799000328100909</v>
      </c>
      <c r="AS347" s="79">
        <f t="shared" si="227"/>
        <v>35.5885414611515</v>
      </c>
      <c r="AT347" s="79">
        <f t="shared" si="227"/>
        <v>37.363576479440908</v>
      </c>
      <c r="AU347" s="79">
        <f t="shared" si="227"/>
        <v>39.175839071234805</v>
      </c>
      <c r="AV347" s="79">
        <f t="shared" si="227"/>
        <v>40.968646767019777</v>
      </c>
      <c r="AW347" s="79">
        <f t="shared" si="227"/>
        <v>42.741502042764111</v>
      </c>
      <c r="AX347" s="79">
        <f t="shared" si="227"/>
        <v>44.500991789089937</v>
      </c>
      <c r="AY347" s="79">
        <f t="shared" si="227"/>
        <v>46.254093385303634</v>
      </c>
      <c r="AZ347" s="79">
        <f t="shared" si="227"/>
        <v>48.003006556046465</v>
      </c>
      <c r="BA347" s="79">
        <f t="shared" si="227"/>
        <v>49.738733016262834</v>
      </c>
      <c r="BB347" s="79">
        <f t="shared" si="227"/>
        <v>51.463132384820767</v>
      </c>
      <c r="BC347" s="79">
        <f t="shared" si="227"/>
        <v>53.177568072996358</v>
      </c>
      <c r="BD347" s="79">
        <f t="shared" si="227"/>
        <v>54.88286686485224</v>
      </c>
      <c r="BE347" s="79">
        <f t="shared" si="227"/>
        <v>56.578471800930664</v>
      </c>
      <c r="BF347" s="79">
        <f t="shared" si="227"/>
        <v>58.263200829629639</v>
      </c>
    </row>
    <row r="348" spans="1:58">
      <c r="A348" s="69" t="s">
        <v>35</v>
      </c>
      <c r="X348" s="76">
        <f t="shared" si="228"/>
        <v>12.05558100420356</v>
      </c>
      <c r="Y348" s="76">
        <f t="shared" si="226"/>
        <v>11.030735479820191</v>
      </c>
      <c r="Z348" s="76">
        <f t="shared" si="226"/>
        <v>10.582502683356831</v>
      </c>
      <c r="AA348" s="76">
        <f t="shared" si="226"/>
        <v>12.915831596707044</v>
      </c>
      <c r="AB348" s="76">
        <f t="shared" si="226"/>
        <v>8.3958634523262319</v>
      </c>
      <c r="AC348" s="76">
        <f t="shared" si="226"/>
        <v>7.8937788358993268</v>
      </c>
      <c r="AD348" s="76">
        <f>AD42-AD300-AD316-AD332</f>
        <v>11.542774357945383</v>
      </c>
      <c r="AE348" s="76">
        <f t="shared" si="226"/>
        <v>9.9417995856964829</v>
      </c>
      <c r="AF348" s="76">
        <f t="shared" si="226"/>
        <v>8.8776723678795655</v>
      </c>
      <c r="AG348" s="79">
        <f t="shared" si="226"/>
        <v>13.332062068828881</v>
      </c>
      <c r="AH348" s="79">
        <f t="shared" si="226"/>
        <v>14.715562814002761</v>
      </c>
      <c r="AI348" s="79">
        <f t="shared" si="226"/>
        <v>18.422254471418263</v>
      </c>
      <c r="AJ348" s="79">
        <f t="shared" si="226"/>
        <v>18.554068756782787</v>
      </c>
      <c r="AK348" s="79">
        <f t="shared" si="226"/>
        <v>20.441630080917161</v>
      </c>
      <c r="AL348" s="79">
        <f t="shared" si="226"/>
        <v>22.626716313314162</v>
      </c>
      <c r="AM348" s="79">
        <f t="shared" si="227"/>
        <v>24.750923099115493</v>
      </c>
      <c r="AN348" s="79">
        <f t="shared" si="227"/>
        <v>26.608991467341262</v>
      </c>
      <c r="AO348" s="79">
        <f t="shared" si="227"/>
        <v>28.181500274274889</v>
      </c>
      <c r="AP348" s="79">
        <f t="shared" si="227"/>
        <v>30.079388185465987</v>
      </c>
      <c r="AQ348" s="79">
        <f t="shared" si="227"/>
        <v>31.971872750720131</v>
      </c>
      <c r="AR348" s="79">
        <f t="shared" si="227"/>
        <v>33.808788012007938</v>
      </c>
      <c r="AS348" s="79">
        <f t="shared" si="227"/>
        <v>35.595520917254277</v>
      </c>
      <c r="AT348" s="79">
        <f t="shared" si="227"/>
        <v>37.361301594183004</v>
      </c>
      <c r="AU348" s="79">
        <f t="shared" si="227"/>
        <v>39.17103263900821</v>
      </c>
      <c r="AV348" s="79">
        <f t="shared" si="227"/>
        <v>40.959729536472459</v>
      </c>
      <c r="AW348" s="79">
        <f t="shared" si="227"/>
        <v>42.728720982607939</v>
      </c>
      <c r="AX348" s="79">
        <f t="shared" si="227"/>
        <v>44.483952760842293</v>
      </c>
      <c r="AY348" s="79">
        <f t="shared" si="227"/>
        <v>46.232105618929396</v>
      </c>
      <c r="AZ348" s="79">
        <f t="shared" si="227"/>
        <v>47.977493196798349</v>
      </c>
      <c r="BA348" s="79">
        <f t="shared" si="227"/>
        <v>49.709027287871955</v>
      </c>
      <c r="BB348" s="79">
        <f t="shared" si="227"/>
        <v>51.429419347222385</v>
      </c>
      <c r="BC348" s="79">
        <f t="shared" si="227"/>
        <v>53.139783965914361</v>
      </c>
      <c r="BD348" s="79">
        <f t="shared" si="227"/>
        <v>54.841023518447948</v>
      </c>
      <c r="BE348" s="79">
        <f t="shared" si="227"/>
        <v>56.532818109247359</v>
      </c>
      <c r="BF348" s="79">
        <f t="shared" si="227"/>
        <v>58.213588844300361</v>
      </c>
    </row>
    <row r="349" spans="1:58">
      <c r="A349" s="69" t="s">
        <v>36</v>
      </c>
      <c r="X349" s="76">
        <f t="shared" si="228"/>
        <v>11.151620972206437</v>
      </c>
      <c r="Y349" s="76">
        <f t="shared" si="226"/>
        <v>10.298023402612248</v>
      </c>
      <c r="Z349" s="76">
        <f t="shared" si="226"/>
        <v>10.737063862766842</v>
      </c>
      <c r="AA349" s="76">
        <f t="shared" si="226"/>
        <v>12.889645890918842</v>
      </c>
      <c r="AB349" s="76">
        <f t="shared" si="226"/>
        <v>8.3717845969072631</v>
      </c>
      <c r="AC349" s="76">
        <f t="shared" si="226"/>
        <v>7.7423985440957646</v>
      </c>
      <c r="AD349" s="76">
        <f t="shared" si="226"/>
        <v>29.324217582203346</v>
      </c>
      <c r="AE349" s="76">
        <f t="shared" si="226"/>
        <v>10.138742482863409</v>
      </c>
      <c r="AF349" s="76">
        <f>AF43-AF301-AF317-AF333</f>
        <v>9.1218172834473847</v>
      </c>
      <c r="AG349" s="79">
        <f t="shared" si="226"/>
        <v>15.657228600810058</v>
      </c>
      <c r="AH349" s="79">
        <f t="shared" si="226"/>
        <v>13.607083342254498</v>
      </c>
      <c r="AI349" s="79">
        <f t="shared" si="226"/>
        <v>17.477813404684895</v>
      </c>
      <c r="AJ349" s="79">
        <f t="shared" si="226"/>
        <v>19.258934088637716</v>
      </c>
      <c r="AK349" s="79">
        <f t="shared" si="226"/>
        <v>21.235995852763708</v>
      </c>
      <c r="AL349" s="79">
        <f t="shared" si="226"/>
        <v>23.27752034323624</v>
      </c>
      <c r="AM349" s="79">
        <f t="shared" si="227"/>
        <v>24.60654196014076</v>
      </c>
      <c r="AN349" s="79">
        <f t="shared" si="227"/>
        <v>26.817750990522391</v>
      </c>
      <c r="AO349" s="79">
        <f t="shared" si="227"/>
        <v>28.575809933098256</v>
      </c>
      <c r="AP349" s="79">
        <f t="shared" si="227"/>
        <v>30.412834010045081</v>
      </c>
      <c r="AQ349" s="79">
        <f t="shared" si="227"/>
        <v>32.205670218667663</v>
      </c>
      <c r="AR349" s="79">
        <f t="shared" si="227"/>
        <v>33.976540278920524</v>
      </c>
      <c r="AS349" s="79">
        <f t="shared" si="227"/>
        <v>35.817081143619724</v>
      </c>
      <c r="AT349" s="79">
        <f t="shared" si="227"/>
        <v>37.576629504359161</v>
      </c>
      <c r="AU349" s="79">
        <f t="shared" si="227"/>
        <v>39.35609626779403</v>
      </c>
      <c r="AV349" s="79">
        <f t="shared" si="227"/>
        <v>41.116167329141575</v>
      </c>
      <c r="AW349" s="79">
        <f t="shared" si="227"/>
        <v>42.87248009078175</v>
      </c>
      <c r="AX349" s="79">
        <f t="shared" si="227"/>
        <v>44.620240887670846</v>
      </c>
      <c r="AY349" s="79">
        <f t="shared" si="227"/>
        <v>46.351306856185474</v>
      </c>
      <c r="AZ349" s="79">
        <f t="shared" si="227"/>
        <v>48.079162420903621</v>
      </c>
      <c r="BA349" s="79">
        <f t="shared" si="227"/>
        <v>49.794305667649418</v>
      </c>
      <c r="BB349" s="79">
        <f t="shared" si="227"/>
        <v>51.500951886677463</v>
      </c>
      <c r="BC349" s="79">
        <f t="shared" si="227"/>
        <v>53.196663957699826</v>
      </c>
      <c r="BD349" s="79">
        <f t="shared" si="227"/>
        <v>54.882610877390945</v>
      </c>
      <c r="BE349" s="79">
        <f t="shared" si="227"/>
        <v>56.559446467739306</v>
      </c>
      <c r="BF349" s="79">
        <f t="shared" si="227"/>
        <v>58.225490311399227</v>
      </c>
    </row>
    <row r="350" spans="1:58" ht="12" thickBot="1">
      <c r="A350" s="69" t="s">
        <v>138</v>
      </c>
      <c r="X350" s="76">
        <f t="shared" ref="X350:AA350" si="229">SUM(X338:X349)</f>
        <v>138.66294332902095</v>
      </c>
      <c r="Y350" s="76">
        <f t="shared" si="229"/>
        <v>137.90973656774074</v>
      </c>
      <c r="Z350" s="76">
        <f t="shared" si="229"/>
        <v>118.25803565640331</v>
      </c>
      <c r="AA350" s="76">
        <f t="shared" si="229"/>
        <v>140.62298791033768</v>
      </c>
      <c r="AB350" s="76">
        <f t="shared" ref="AB350:BF350" si="230">SUM(AB338:AB349)</f>
        <v>127.75219987909857</v>
      </c>
      <c r="AC350" s="76">
        <f t="shared" si="230"/>
        <v>96.787652413397993</v>
      </c>
      <c r="AD350" s="76">
        <f t="shared" si="230"/>
        <v>131.23897877071252</v>
      </c>
      <c r="AE350" s="76">
        <f t="shared" si="230"/>
        <v>120.60431465050222</v>
      </c>
      <c r="AF350" s="76">
        <f t="shared" si="230"/>
        <v>103.33608267098255</v>
      </c>
      <c r="AG350" s="79">
        <f t="shared" si="230"/>
        <v>151.74152534809809</v>
      </c>
      <c r="AH350" s="79">
        <f t="shared" si="230"/>
        <v>164.26502976460108</v>
      </c>
      <c r="AI350" s="79">
        <f t="shared" si="230"/>
        <v>199.89606965887089</v>
      </c>
      <c r="AJ350" s="79">
        <f t="shared" si="230"/>
        <v>213.73490040780101</v>
      </c>
      <c r="AK350" s="79">
        <f t="shared" si="230"/>
        <v>232.94683989436226</v>
      </c>
      <c r="AL350" s="79">
        <f t="shared" si="230"/>
        <v>259.62667538245063</v>
      </c>
      <c r="AM350" s="79">
        <f t="shared" si="230"/>
        <v>281.76678688922624</v>
      </c>
      <c r="AN350" s="79">
        <f t="shared" si="230"/>
        <v>305.18265862131835</v>
      </c>
      <c r="AO350" s="79">
        <f t="shared" si="230"/>
        <v>325.72537865607603</v>
      </c>
      <c r="AP350" s="79">
        <f t="shared" si="230"/>
        <v>347.82752130898393</v>
      </c>
      <c r="AQ350" s="79">
        <f t="shared" si="230"/>
        <v>370.48051433562591</v>
      </c>
      <c r="AR350" s="79">
        <f t="shared" si="230"/>
        <v>392.3160436244375</v>
      </c>
      <c r="AS350" s="79">
        <f t="shared" si="230"/>
        <v>414.11550083453812</v>
      </c>
      <c r="AT350" s="79">
        <f t="shared" si="230"/>
        <v>435.52341419099196</v>
      </c>
      <c r="AU350" s="79">
        <f t="shared" si="230"/>
        <v>457.1611285643765</v>
      </c>
      <c r="AV350" s="79">
        <f t="shared" si="230"/>
        <v>478.68360433821806</v>
      </c>
      <c r="AW350" s="79">
        <f t="shared" si="230"/>
        <v>499.98128972591508</v>
      </c>
      <c r="AX350" s="79">
        <f t="shared" si="230"/>
        <v>521.16858258680224</v>
      </c>
      <c r="AY350" s="79">
        <f t="shared" si="230"/>
        <v>542.22482442218904</v>
      </c>
      <c r="AZ350" s="79">
        <f t="shared" si="230"/>
        <v>563.21993230430724</v>
      </c>
      <c r="BA350" s="79">
        <f t="shared" si="230"/>
        <v>584.07793008642534</v>
      </c>
      <c r="BB350" s="79">
        <f t="shared" si="230"/>
        <v>604.8030684080984</v>
      </c>
      <c r="BC350" s="79">
        <f t="shared" si="230"/>
        <v>625.41087600267997</v>
      </c>
      <c r="BD350" s="79">
        <f t="shared" si="230"/>
        <v>645.90083577729388</v>
      </c>
      <c r="BE350" s="79">
        <f t="shared" si="230"/>
        <v>666.27714711897659</v>
      </c>
      <c r="BF350" s="79">
        <f t="shared" si="230"/>
        <v>686.52630143756789</v>
      </c>
    </row>
    <row r="351" spans="1:58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>
        <v>12</v>
      </c>
      <c r="S351" s="72">
        <v>12</v>
      </c>
      <c r="T351" s="72">
        <v>12</v>
      </c>
      <c r="U351" s="72">
        <v>12</v>
      </c>
      <c r="V351" s="72">
        <v>23</v>
      </c>
      <c r="W351" s="72">
        <v>23</v>
      </c>
      <c r="X351" s="72">
        <v>23</v>
      </c>
      <c r="Y351" s="72">
        <v>23</v>
      </c>
      <c r="Z351" s="72">
        <v>23</v>
      </c>
      <c r="AA351" s="72">
        <v>23</v>
      </c>
      <c r="AB351" s="72">
        <v>23</v>
      </c>
      <c r="AC351" s="72">
        <v>10</v>
      </c>
      <c r="AD351" s="72">
        <v>3</v>
      </c>
      <c r="AE351" s="72">
        <v>5</v>
      </c>
      <c r="AF351" s="72">
        <v>5</v>
      </c>
      <c r="AG351" s="72">
        <v>6</v>
      </c>
      <c r="AH351" s="72">
        <v>7</v>
      </c>
      <c r="AI351" s="72">
        <v>8</v>
      </c>
      <c r="AJ351" s="72">
        <v>9</v>
      </c>
      <c r="AK351" s="72">
        <v>10</v>
      </c>
      <c r="AL351" s="72">
        <v>11</v>
      </c>
      <c r="AM351" s="72">
        <v>12</v>
      </c>
      <c r="AN351" s="72">
        <v>13</v>
      </c>
      <c r="AO351" s="72">
        <v>14</v>
      </c>
      <c r="AP351" s="72">
        <v>15</v>
      </c>
      <c r="AQ351" s="72">
        <v>16</v>
      </c>
      <c r="AR351" s="72">
        <v>17</v>
      </c>
      <c r="AS351" s="72">
        <v>18</v>
      </c>
      <c r="AT351" s="72">
        <v>19</v>
      </c>
      <c r="AU351" s="72">
        <v>20</v>
      </c>
      <c r="AV351" s="72">
        <v>21</v>
      </c>
      <c r="AW351" s="72">
        <v>22</v>
      </c>
      <c r="AX351" s="72">
        <v>23</v>
      </c>
      <c r="AY351" s="72">
        <v>24</v>
      </c>
      <c r="AZ351" s="72">
        <v>25</v>
      </c>
      <c r="BA351" s="72">
        <v>26</v>
      </c>
      <c r="BB351" s="72">
        <v>27</v>
      </c>
      <c r="BC351" s="72">
        <v>28</v>
      </c>
      <c r="BD351" s="72">
        <v>29</v>
      </c>
      <c r="BE351" s="72">
        <v>30</v>
      </c>
      <c r="BF351" s="72">
        <v>31</v>
      </c>
    </row>
    <row r="352" spans="1:58">
      <c r="R352" s="69">
        <f t="shared" ref="R352:AC352" si="231">R351*4</f>
        <v>48</v>
      </c>
      <c r="S352" s="69">
        <f t="shared" si="231"/>
        <v>48</v>
      </c>
      <c r="T352" s="69">
        <f t="shared" si="231"/>
        <v>48</v>
      </c>
      <c r="U352" s="69">
        <f t="shared" si="231"/>
        <v>48</v>
      </c>
      <c r="V352" s="69">
        <f t="shared" si="231"/>
        <v>92</v>
      </c>
      <c r="W352" s="69">
        <f t="shared" si="231"/>
        <v>92</v>
      </c>
      <c r="X352" s="69">
        <f t="shared" si="231"/>
        <v>92</v>
      </c>
      <c r="Y352" s="69">
        <f t="shared" si="231"/>
        <v>92</v>
      </c>
      <c r="Z352" s="69">
        <f t="shared" si="231"/>
        <v>92</v>
      </c>
      <c r="AA352" s="69">
        <f t="shared" si="231"/>
        <v>92</v>
      </c>
      <c r="AB352" s="69">
        <f t="shared" si="231"/>
        <v>92</v>
      </c>
      <c r="AC352" s="69">
        <f t="shared" si="231"/>
        <v>40</v>
      </c>
      <c r="AD352" s="69">
        <f>AD351*4</f>
        <v>12</v>
      </c>
      <c r="AE352" s="69">
        <f t="shared" ref="AE352:BF352" si="232">AE351*4</f>
        <v>20</v>
      </c>
      <c r="AF352" s="69">
        <f t="shared" si="232"/>
        <v>20</v>
      </c>
      <c r="AG352" s="69">
        <f t="shared" si="232"/>
        <v>24</v>
      </c>
      <c r="AH352" s="69">
        <f t="shared" si="232"/>
        <v>28</v>
      </c>
      <c r="AI352" s="69">
        <f t="shared" si="232"/>
        <v>32</v>
      </c>
      <c r="AJ352" s="69">
        <f t="shared" si="232"/>
        <v>36</v>
      </c>
      <c r="AK352" s="69">
        <f t="shared" si="232"/>
        <v>40</v>
      </c>
      <c r="AL352" s="69">
        <f t="shared" si="232"/>
        <v>44</v>
      </c>
      <c r="AM352" s="69">
        <f t="shared" si="232"/>
        <v>48</v>
      </c>
      <c r="AN352" s="69">
        <f t="shared" si="232"/>
        <v>52</v>
      </c>
      <c r="AO352" s="69">
        <f t="shared" si="232"/>
        <v>56</v>
      </c>
      <c r="AP352" s="69">
        <f t="shared" si="232"/>
        <v>60</v>
      </c>
      <c r="AQ352" s="69">
        <f t="shared" si="232"/>
        <v>64</v>
      </c>
      <c r="AR352" s="69">
        <f t="shared" si="232"/>
        <v>68</v>
      </c>
      <c r="AS352" s="69">
        <f t="shared" si="232"/>
        <v>72</v>
      </c>
      <c r="AT352" s="69">
        <f t="shared" si="232"/>
        <v>76</v>
      </c>
      <c r="AU352" s="69">
        <f t="shared" si="232"/>
        <v>80</v>
      </c>
      <c r="AV352" s="69">
        <f t="shared" si="232"/>
        <v>84</v>
      </c>
      <c r="AW352" s="69">
        <f t="shared" si="232"/>
        <v>88</v>
      </c>
      <c r="AX352" s="69">
        <f t="shared" si="232"/>
        <v>92</v>
      </c>
      <c r="AY352" s="69">
        <f t="shared" si="232"/>
        <v>96</v>
      </c>
      <c r="AZ352" s="69">
        <f t="shared" si="232"/>
        <v>100</v>
      </c>
      <c r="BA352" s="69">
        <f t="shared" si="232"/>
        <v>104</v>
      </c>
      <c r="BB352" s="69">
        <f t="shared" si="232"/>
        <v>108</v>
      </c>
      <c r="BC352" s="69">
        <f t="shared" si="232"/>
        <v>112</v>
      </c>
      <c r="BD352" s="69">
        <f t="shared" si="232"/>
        <v>116</v>
      </c>
      <c r="BE352" s="69">
        <f t="shared" si="232"/>
        <v>120</v>
      </c>
      <c r="BF352" s="69">
        <f t="shared" si="232"/>
        <v>124</v>
      </c>
    </row>
    <row r="353" spans="1:58">
      <c r="V353" s="69">
        <v>2013</v>
      </c>
      <c r="W353" s="69">
        <v>2014</v>
      </c>
      <c r="X353" s="69">
        <v>2015</v>
      </c>
      <c r="Y353" s="69">
        <v>2016</v>
      </c>
      <c r="Z353" s="69">
        <v>2017</v>
      </c>
      <c r="AA353" s="69">
        <v>2018</v>
      </c>
      <c r="AB353" s="69">
        <v>2019</v>
      </c>
      <c r="AC353" s="69">
        <v>2020</v>
      </c>
      <c r="AD353" s="69">
        <v>2021</v>
      </c>
      <c r="AE353" s="69">
        <v>2022</v>
      </c>
      <c r="AF353" s="69">
        <v>2023</v>
      </c>
      <c r="AG353" s="69">
        <v>2024</v>
      </c>
      <c r="AH353" s="69">
        <v>2025</v>
      </c>
      <c r="AI353" s="69">
        <v>2026</v>
      </c>
      <c r="AJ353" s="69">
        <v>2027</v>
      </c>
      <c r="AK353" s="69">
        <v>2028</v>
      </c>
      <c r="AL353" s="69">
        <v>2029</v>
      </c>
      <c r="AM353" s="69">
        <v>2030</v>
      </c>
      <c r="AN353" s="69">
        <v>2031</v>
      </c>
      <c r="AO353" s="69">
        <v>2032</v>
      </c>
      <c r="AP353" s="69">
        <v>2033</v>
      </c>
      <c r="AQ353" s="69">
        <v>2034</v>
      </c>
      <c r="AR353" s="69">
        <v>2035</v>
      </c>
      <c r="AS353" s="69">
        <v>2036</v>
      </c>
      <c r="AT353" s="69">
        <v>2037</v>
      </c>
      <c r="AU353" s="69">
        <v>2038</v>
      </c>
      <c r="AV353" s="69">
        <v>2039</v>
      </c>
      <c r="AW353" s="69">
        <v>2040</v>
      </c>
      <c r="AX353" s="69">
        <v>2041</v>
      </c>
      <c r="AY353" s="69">
        <v>2042</v>
      </c>
      <c r="AZ353" s="69">
        <v>2043</v>
      </c>
      <c r="BA353" s="69">
        <v>2044</v>
      </c>
      <c r="BB353" s="69">
        <v>2045</v>
      </c>
      <c r="BC353" s="69">
        <v>2046</v>
      </c>
      <c r="BD353" s="69">
        <v>2047</v>
      </c>
      <c r="BE353" s="69">
        <v>2048</v>
      </c>
      <c r="BF353" s="69">
        <v>2049</v>
      </c>
    </row>
    <row r="356" spans="1:58" ht="12" thickBot="1">
      <c r="A356" s="69" t="s">
        <v>183</v>
      </c>
    </row>
    <row r="357" spans="1:58" ht="12" thickBot="1">
      <c r="Q357" s="121">
        <v>2009</v>
      </c>
      <c r="R357" s="121">
        <v>2010</v>
      </c>
      <c r="S357" s="121">
        <v>2011</v>
      </c>
      <c r="T357" s="121">
        <v>2012</v>
      </c>
      <c r="U357" s="121">
        <v>2013</v>
      </c>
      <c r="V357" s="121">
        <v>2014</v>
      </c>
      <c r="W357" s="121">
        <v>2015</v>
      </c>
      <c r="X357" s="121">
        <v>2016</v>
      </c>
      <c r="Y357" s="121">
        <v>2017</v>
      </c>
      <c r="Z357" s="121">
        <v>2018</v>
      </c>
      <c r="AA357" s="121">
        <v>2019</v>
      </c>
      <c r="AB357" s="121">
        <v>2020</v>
      </c>
      <c r="AC357" s="121">
        <v>2021</v>
      </c>
      <c r="AD357" s="121">
        <v>2022</v>
      </c>
      <c r="AE357" s="121">
        <v>2023</v>
      </c>
      <c r="AF357" s="121">
        <v>2024</v>
      </c>
      <c r="AG357" s="121">
        <v>2025</v>
      </c>
      <c r="AH357" s="121">
        <v>2026</v>
      </c>
      <c r="AI357" s="121">
        <v>2027</v>
      </c>
      <c r="AJ357" s="121">
        <v>2028</v>
      </c>
      <c r="AK357" s="121">
        <v>2029</v>
      </c>
      <c r="AL357" s="121">
        <v>2030</v>
      </c>
      <c r="AM357" s="121">
        <v>2031</v>
      </c>
      <c r="AN357" s="121">
        <v>2032</v>
      </c>
      <c r="AO357" s="121">
        <v>2033</v>
      </c>
      <c r="AP357" s="121">
        <v>2034</v>
      </c>
      <c r="AQ357" s="121">
        <v>2035</v>
      </c>
      <c r="AR357" s="121">
        <v>2036</v>
      </c>
      <c r="AS357" s="121">
        <v>2037</v>
      </c>
      <c r="AT357" s="121">
        <v>2038</v>
      </c>
      <c r="AU357" s="121">
        <v>2039</v>
      </c>
      <c r="AV357" s="121">
        <v>2040</v>
      </c>
      <c r="AW357" s="121">
        <v>2041</v>
      </c>
      <c r="AX357" s="121">
        <v>2042</v>
      </c>
      <c r="AY357" s="121">
        <v>2043</v>
      </c>
      <c r="AZ357" s="121">
        <v>2044</v>
      </c>
      <c r="BA357" s="121">
        <v>2045</v>
      </c>
      <c r="BB357" s="121">
        <v>2046</v>
      </c>
      <c r="BC357" s="121">
        <v>2047</v>
      </c>
      <c r="BD357" s="121">
        <v>2048</v>
      </c>
      <c r="BE357" s="121">
        <v>2049</v>
      </c>
      <c r="BF357" s="121">
        <v>2050</v>
      </c>
    </row>
    <row r="358" spans="1:58">
      <c r="A358" s="69" t="s">
        <v>30</v>
      </c>
      <c r="AF358" s="114">
        <f>[3]Forecasts!$S50</f>
        <v>0</v>
      </c>
      <c r="AG358" s="114">
        <f>[3]Forecasts!$S62</f>
        <v>0</v>
      </c>
      <c r="AH358" s="114">
        <f>[3]Forecasts!$S74</f>
        <v>0</v>
      </c>
      <c r="AI358" s="114">
        <f>[3]Forecasts!$S86</f>
        <v>0</v>
      </c>
      <c r="AJ358" s="114">
        <f>[3]Forecasts!$S98</f>
        <v>0</v>
      </c>
      <c r="AK358" s="114">
        <f>[3]Forecasts!$S110</f>
        <v>0</v>
      </c>
      <c r="AL358" s="114">
        <f>[3]Forecasts!$S122</f>
        <v>0</v>
      </c>
      <c r="AM358" s="114">
        <f>[3]Forecasts!$S134</f>
        <v>0</v>
      </c>
      <c r="AN358" s="114">
        <f>[3]Forecasts!$S146</f>
        <v>0</v>
      </c>
      <c r="AO358" s="114">
        <f>[3]Forecasts!$S158</f>
        <v>0</v>
      </c>
      <c r="AP358" s="114">
        <f>[3]Forecasts!$S170</f>
        <v>0</v>
      </c>
      <c r="AQ358" s="114">
        <f>[3]Forecasts!$S182</f>
        <v>0</v>
      </c>
      <c r="AR358" s="114">
        <f>[3]Forecasts!$S194</f>
        <v>0</v>
      </c>
      <c r="AS358" s="114">
        <f>[3]Forecasts!$S206</f>
        <v>0</v>
      </c>
      <c r="AT358" s="114">
        <f>[3]Forecasts!$S218</f>
        <v>0</v>
      </c>
      <c r="AU358" s="114">
        <f>[3]Forecasts!$S230</f>
        <v>0</v>
      </c>
      <c r="AV358" s="114">
        <f>[3]Forecasts!$S242</f>
        <v>0</v>
      </c>
      <c r="AW358" s="114">
        <f>[3]Forecasts!$S254</f>
        <v>0</v>
      </c>
      <c r="AX358" s="114">
        <f>[3]Forecasts!$S266</f>
        <v>0</v>
      </c>
      <c r="AY358" s="114">
        <f>[3]Forecasts!$S278</f>
        <v>0</v>
      </c>
      <c r="AZ358" s="114">
        <f>[3]Forecasts!$S278</f>
        <v>0</v>
      </c>
      <c r="BA358" s="114">
        <f>[3]Forecasts!$S278</f>
        <v>0</v>
      </c>
      <c r="BB358" s="114">
        <f>[3]Forecasts!$S278</f>
        <v>0</v>
      </c>
      <c r="BC358" s="114">
        <f>[3]Forecasts!$S278</f>
        <v>0</v>
      </c>
      <c r="BD358" s="114">
        <f>[3]Forecasts!$S278</f>
        <v>0</v>
      </c>
      <c r="BE358" s="114">
        <f>[3]Forecasts!$S278</f>
        <v>0</v>
      </c>
      <c r="BF358" s="114">
        <f>[3]Forecasts!$S278</f>
        <v>0</v>
      </c>
    </row>
    <row r="359" spans="1:58">
      <c r="A359" s="69" t="s">
        <v>31</v>
      </c>
      <c r="AF359" s="114">
        <f>[3]Forecasts!$S51</f>
        <v>0</v>
      </c>
      <c r="AG359" s="114">
        <f>[3]Forecasts!$S63</f>
        <v>0</v>
      </c>
      <c r="AH359" s="114">
        <f>[3]Forecasts!$S75</f>
        <v>0</v>
      </c>
      <c r="AI359" s="114">
        <f>[3]Forecasts!$S87</f>
        <v>0</v>
      </c>
      <c r="AJ359" s="114">
        <f>[3]Forecasts!$S99</f>
        <v>0</v>
      </c>
      <c r="AK359" s="114">
        <f>[3]Forecasts!$S111</f>
        <v>0</v>
      </c>
      <c r="AL359" s="114">
        <f>[3]Forecasts!$S123</f>
        <v>0</v>
      </c>
      <c r="AM359" s="114">
        <f>[3]Forecasts!$S135</f>
        <v>0</v>
      </c>
      <c r="AN359" s="114">
        <f>[3]Forecasts!$S147</f>
        <v>0</v>
      </c>
      <c r="AO359" s="114">
        <f>[3]Forecasts!$S159</f>
        <v>0</v>
      </c>
      <c r="AP359" s="114">
        <f>[3]Forecasts!$S171</f>
        <v>0</v>
      </c>
      <c r="AQ359" s="114">
        <f>[3]Forecasts!$S183</f>
        <v>0</v>
      </c>
      <c r="AR359" s="114">
        <f>[3]Forecasts!$S195</f>
        <v>0</v>
      </c>
      <c r="AS359" s="114">
        <f>[3]Forecasts!$S207</f>
        <v>0</v>
      </c>
      <c r="AT359" s="114">
        <f>[3]Forecasts!$S219</f>
        <v>0</v>
      </c>
      <c r="AU359" s="114">
        <f>[3]Forecasts!$S231</f>
        <v>0</v>
      </c>
      <c r="AV359" s="114">
        <f>[3]Forecasts!$S243</f>
        <v>0</v>
      </c>
      <c r="AW359" s="114">
        <f>[3]Forecasts!$S255</f>
        <v>0</v>
      </c>
      <c r="AX359" s="114">
        <f>[3]Forecasts!$S267</f>
        <v>0</v>
      </c>
      <c r="AY359" s="114">
        <f>[3]Forecasts!$S279</f>
        <v>0</v>
      </c>
      <c r="AZ359" s="114">
        <f>[3]Forecasts!$S279</f>
        <v>0</v>
      </c>
      <c r="BA359" s="114">
        <f>[3]Forecasts!$S279</f>
        <v>0</v>
      </c>
      <c r="BB359" s="114">
        <f>[3]Forecasts!$S279</f>
        <v>0</v>
      </c>
      <c r="BC359" s="114">
        <f>[3]Forecasts!$S279</f>
        <v>0</v>
      </c>
      <c r="BD359" s="114">
        <f>[3]Forecasts!$S279</f>
        <v>0</v>
      </c>
      <c r="BE359" s="114">
        <f>[3]Forecasts!$S279</f>
        <v>0</v>
      </c>
      <c r="BF359" s="114">
        <f>[3]Forecasts!$S279</f>
        <v>0</v>
      </c>
    </row>
    <row r="360" spans="1:58">
      <c r="A360" s="69" t="s">
        <v>32</v>
      </c>
      <c r="AF360" s="114">
        <f>[3]Forecasts!$S52</f>
        <v>0</v>
      </c>
      <c r="AG360" s="114">
        <f>[3]Forecasts!$S64</f>
        <v>0</v>
      </c>
      <c r="AH360" s="114">
        <f>[3]Forecasts!$S76</f>
        <v>0</v>
      </c>
      <c r="AI360" s="114">
        <f>[3]Forecasts!$S88</f>
        <v>0</v>
      </c>
      <c r="AJ360" s="114">
        <f>[3]Forecasts!$S100</f>
        <v>0</v>
      </c>
      <c r="AK360" s="114">
        <f>[3]Forecasts!$S112</f>
        <v>0</v>
      </c>
      <c r="AL360" s="114">
        <f>[3]Forecasts!$S124</f>
        <v>0</v>
      </c>
      <c r="AM360" s="114">
        <f>[3]Forecasts!$S136</f>
        <v>0</v>
      </c>
      <c r="AN360" s="114">
        <f>[3]Forecasts!$S148</f>
        <v>0</v>
      </c>
      <c r="AO360" s="114">
        <f>[3]Forecasts!$S160</f>
        <v>0</v>
      </c>
      <c r="AP360" s="114">
        <f>[3]Forecasts!$S172</f>
        <v>0</v>
      </c>
      <c r="AQ360" s="114">
        <f>[3]Forecasts!$S184</f>
        <v>0</v>
      </c>
      <c r="AR360" s="114">
        <f>[3]Forecasts!$S196</f>
        <v>0</v>
      </c>
      <c r="AS360" s="114">
        <f>[3]Forecasts!$S208</f>
        <v>0</v>
      </c>
      <c r="AT360" s="114">
        <f>[3]Forecasts!$S220</f>
        <v>0</v>
      </c>
      <c r="AU360" s="114">
        <f>[3]Forecasts!$S232</f>
        <v>0</v>
      </c>
      <c r="AV360" s="114">
        <f>[3]Forecasts!$S244</f>
        <v>0</v>
      </c>
      <c r="AW360" s="114">
        <f>[3]Forecasts!$S256</f>
        <v>0</v>
      </c>
      <c r="AX360" s="114">
        <f>[3]Forecasts!$S268</f>
        <v>0</v>
      </c>
      <c r="AY360" s="114">
        <f>[3]Forecasts!$S280</f>
        <v>0</v>
      </c>
      <c r="AZ360" s="114">
        <f>[3]Forecasts!$S280</f>
        <v>0</v>
      </c>
      <c r="BA360" s="114">
        <f>[3]Forecasts!$S280</f>
        <v>0</v>
      </c>
      <c r="BB360" s="114">
        <f>[3]Forecasts!$S280</f>
        <v>0</v>
      </c>
      <c r="BC360" s="114">
        <f>[3]Forecasts!$S280</f>
        <v>0</v>
      </c>
      <c r="BD360" s="114">
        <f>[3]Forecasts!$S280</f>
        <v>0</v>
      </c>
      <c r="BE360" s="114">
        <f>[3]Forecasts!$S280</f>
        <v>0</v>
      </c>
      <c r="BF360" s="114">
        <f>[3]Forecasts!$S280</f>
        <v>0</v>
      </c>
    </row>
    <row r="361" spans="1:58">
      <c r="A361" s="69" t="s">
        <v>33</v>
      </c>
      <c r="AF361" s="114">
        <f>[3]Forecasts!$S53</f>
        <v>0</v>
      </c>
      <c r="AG361" s="114">
        <f>[3]Forecasts!$S65</f>
        <v>0</v>
      </c>
      <c r="AH361" s="114">
        <f>[3]Forecasts!$S77</f>
        <v>0</v>
      </c>
      <c r="AI361" s="114">
        <f>[3]Forecasts!$S89</f>
        <v>0</v>
      </c>
      <c r="AJ361" s="114">
        <f>[3]Forecasts!$S101</f>
        <v>0</v>
      </c>
      <c r="AK361" s="114">
        <f>[3]Forecasts!$S113</f>
        <v>0</v>
      </c>
      <c r="AL361" s="114">
        <f>[3]Forecasts!$S125</f>
        <v>0</v>
      </c>
      <c r="AM361" s="114">
        <f>[3]Forecasts!$S137</f>
        <v>0</v>
      </c>
      <c r="AN361" s="114">
        <f>[3]Forecasts!$S149</f>
        <v>0</v>
      </c>
      <c r="AO361" s="114">
        <f>[3]Forecasts!$S161</f>
        <v>0</v>
      </c>
      <c r="AP361" s="114">
        <f>[3]Forecasts!$S173</f>
        <v>0</v>
      </c>
      <c r="AQ361" s="114">
        <f>[3]Forecasts!$S185</f>
        <v>0</v>
      </c>
      <c r="AR361" s="114">
        <f>[3]Forecasts!$S197</f>
        <v>0</v>
      </c>
      <c r="AS361" s="114">
        <f>[3]Forecasts!$S209</f>
        <v>0</v>
      </c>
      <c r="AT361" s="114">
        <f>[3]Forecasts!$S221</f>
        <v>0</v>
      </c>
      <c r="AU361" s="114">
        <f>[3]Forecasts!$S233</f>
        <v>0</v>
      </c>
      <c r="AV361" s="114">
        <f>[3]Forecasts!$S245</f>
        <v>0</v>
      </c>
      <c r="AW361" s="114">
        <f>[3]Forecasts!$S257</f>
        <v>0</v>
      </c>
      <c r="AX361" s="114">
        <f>[3]Forecasts!$S269</f>
        <v>0</v>
      </c>
      <c r="AY361" s="114">
        <f>[3]Forecasts!$S281</f>
        <v>0</v>
      </c>
      <c r="AZ361" s="114">
        <f>[3]Forecasts!$S281</f>
        <v>0</v>
      </c>
      <c r="BA361" s="114">
        <f>[3]Forecasts!$S281</f>
        <v>0</v>
      </c>
      <c r="BB361" s="114">
        <f>[3]Forecasts!$S281</f>
        <v>0</v>
      </c>
      <c r="BC361" s="114">
        <f>[3]Forecasts!$S281</f>
        <v>0</v>
      </c>
      <c r="BD361" s="114">
        <f>[3]Forecasts!$S281</f>
        <v>0</v>
      </c>
      <c r="BE361" s="114">
        <f>[3]Forecasts!$S281</f>
        <v>0</v>
      </c>
      <c r="BF361" s="114">
        <f>[3]Forecasts!$S281</f>
        <v>0</v>
      </c>
    </row>
    <row r="362" spans="1:58">
      <c r="A362" s="69" t="s">
        <v>14</v>
      </c>
      <c r="AF362" s="114">
        <f>[3]Forecasts!$S54</f>
        <v>0</v>
      </c>
      <c r="AG362" s="114">
        <f>[3]Forecasts!$S66</f>
        <v>0</v>
      </c>
      <c r="AH362" s="114">
        <f>[3]Forecasts!$S78</f>
        <v>0</v>
      </c>
      <c r="AI362" s="114">
        <f>[3]Forecasts!$S90</f>
        <v>0</v>
      </c>
      <c r="AJ362" s="114">
        <f>[3]Forecasts!$S102</f>
        <v>0</v>
      </c>
      <c r="AK362" s="114">
        <f>[3]Forecasts!$S114</f>
        <v>0</v>
      </c>
      <c r="AL362" s="114">
        <f>[3]Forecasts!$S126</f>
        <v>0</v>
      </c>
      <c r="AM362" s="114">
        <f>[3]Forecasts!$S138</f>
        <v>0</v>
      </c>
      <c r="AN362" s="114">
        <f>[3]Forecasts!$S150</f>
        <v>0</v>
      </c>
      <c r="AO362" s="114">
        <f>[3]Forecasts!$S162</f>
        <v>0</v>
      </c>
      <c r="AP362" s="114">
        <f>[3]Forecasts!$S174</f>
        <v>0</v>
      </c>
      <c r="AQ362" s="114">
        <f>[3]Forecasts!$S186</f>
        <v>0</v>
      </c>
      <c r="AR362" s="114">
        <f>[3]Forecasts!$S198</f>
        <v>0</v>
      </c>
      <c r="AS362" s="114">
        <f>[3]Forecasts!$S210</f>
        <v>0</v>
      </c>
      <c r="AT362" s="114">
        <f>[3]Forecasts!$S222</f>
        <v>0</v>
      </c>
      <c r="AU362" s="114">
        <f>[3]Forecasts!$S234</f>
        <v>0</v>
      </c>
      <c r="AV362" s="114">
        <f>[3]Forecasts!$S246</f>
        <v>0</v>
      </c>
      <c r="AW362" s="114">
        <f>[3]Forecasts!$S258</f>
        <v>0</v>
      </c>
      <c r="AX362" s="114">
        <f>[3]Forecasts!$S270</f>
        <v>0</v>
      </c>
      <c r="AY362" s="114">
        <f>[3]Forecasts!$S282</f>
        <v>0</v>
      </c>
      <c r="AZ362" s="114">
        <f>[3]Forecasts!$S282</f>
        <v>0</v>
      </c>
      <c r="BA362" s="114">
        <f>[3]Forecasts!$S282</f>
        <v>0</v>
      </c>
      <c r="BB362" s="114">
        <f>[3]Forecasts!$S282</f>
        <v>0</v>
      </c>
      <c r="BC362" s="114">
        <f>[3]Forecasts!$S282</f>
        <v>0</v>
      </c>
      <c r="BD362" s="114">
        <f>[3]Forecasts!$S282</f>
        <v>0</v>
      </c>
      <c r="BE362" s="114">
        <f>[3]Forecasts!$S282</f>
        <v>0</v>
      </c>
      <c r="BF362" s="114">
        <f>[3]Forecasts!$S282</f>
        <v>0</v>
      </c>
    </row>
    <row r="363" spans="1:58">
      <c r="A363" s="69" t="s">
        <v>34</v>
      </c>
      <c r="AF363" s="114">
        <f>[3]Forecasts!$S55</f>
        <v>0</v>
      </c>
      <c r="AG363" s="114">
        <f>[3]Forecasts!$S67</f>
        <v>0</v>
      </c>
      <c r="AH363" s="114">
        <f>[3]Forecasts!$S79</f>
        <v>0</v>
      </c>
      <c r="AI363" s="114">
        <f>[3]Forecasts!$S91</f>
        <v>0</v>
      </c>
      <c r="AJ363" s="114">
        <f>[3]Forecasts!$S103</f>
        <v>0</v>
      </c>
      <c r="AK363" s="114">
        <f>[3]Forecasts!$S115</f>
        <v>0</v>
      </c>
      <c r="AL363" s="114">
        <f>[3]Forecasts!$S127</f>
        <v>0</v>
      </c>
      <c r="AM363" s="114">
        <f>[3]Forecasts!$S139</f>
        <v>0</v>
      </c>
      <c r="AN363" s="114">
        <f>[3]Forecasts!$S151</f>
        <v>0</v>
      </c>
      <c r="AO363" s="114">
        <f>[3]Forecasts!$S163</f>
        <v>0</v>
      </c>
      <c r="AP363" s="114">
        <f>[3]Forecasts!$S175</f>
        <v>0</v>
      </c>
      <c r="AQ363" s="114">
        <f>[3]Forecasts!$S187</f>
        <v>0</v>
      </c>
      <c r="AR363" s="114">
        <f>[3]Forecasts!$S199</f>
        <v>0</v>
      </c>
      <c r="AS363" s="114">
        <f>[3]Forecasts!$S211</f>
        <v>0</v>
      </c>
      <c r="AT363" s="114">
        <f>[3]Forecasts!$S223</f>
        <v>0</v>
      </c>
      <c r="AU363" s="114">
        <f>[3]Forecasts!$S235</f>
        <v>0</v>
      </c>
      <c r="AV363" s="114">
        <f>[3]Forecasts!$S247</f>
        <v>0</v>
      </c>
      <c r="AW363" s="114">
        <f>[3]Forecasts!$S259</f>
        <v>0</v>
      </c>
      <c r="AX363" s="114">
        <f>[3]Forecasts!$S271</f>
        <v>0</v>
      </c>
      <c r="AY363" s="114">
        <f>[3]Forecasts!$S283</f>
        <v>0</v>
      </c>
      <c r="AZ363" s="114">
        <f>[3]Forecasts!$S283</f>
        <v>0</v>
      </c>
      <c r="BA363" s="114">
        <f>[3]Forecasts!$S283</f>
        <v>0</v>
      </c>
      <c r="BB363" s="114">
        <f>[3]Forecasts!$S283</f>
        <v>0</v>
      </c>
      <c r="BC363" s="114">
        <f>[3]Forecasts!$S283</f>
        <v>0</v>
      </c>
      <c r="BD363" s="114">
        <f>[3]Forecasts!$S283</f>
        <v>0</v>
      </c>
      <c r="BE363" s="114">
        <f>[3]Forecasts!$S283</f>
        <v>0</v>
      </c>
      <c r="BF363" s="114">
        <f>[3]Forecasts!$S283</f>
        <v>0</v>
      </c>
    </row>
    <row r="364" spans="1:58">
      <c r="A364" s="69" t="s">
        <v>35</v>
      </c>
      <c r="AF364" s="114">
        <f>[3]Forecasts!$S56</f>
        <v>0</v>
      </c>
      <c r="AG364" s="114">
        <f>[3]Forecasts!$S68</f>
        <v>0</v>
      </c>
      <c r="AH364" s="114">
        <f>[3]Forecasts!$S80</f>
        <v>0</v>
      </c>
      <c r="AI364" s="114">
        <f>[3]Forecasts!$S92</f>
        <v>0</v>
      </c>
      <c r="AJ364" s="114">
        <f>[3]Forecasts!$S104</f>
        <v>0</v>
      </c>
      <c r="AK364" s="114">
        <f>[3]Forecasts!$S116</f>
        <v>0</v>
      </c>
      <c r="AL364" s="114">
        <f>[3]Forecasts!$S128</f>
        <v>0</v>
      </c>
      <c r="AM364" s="114">
        <f>[3]Forecasts!$S140</f>
        <v>0</v>
      </c>
      <c r="AN364" s="114">
        <f>[3]Forecasts!$S152</f>
        <v>0</v>
      </c>
      <c r="AO364" s="114">
        <f>[3]Forecasts!$S164</f>
        <v>0</v>
      </c>
      <c r="AP364" s="114">
        <f>[3]Forecasts!$S176</f>
        <v>0</v>
      </c>
      <c r="AQ364" s="114">
        <f>[3]Forecasts!$S188</f>
        <v>0</v>
      </c>
      <c r="AR364" s="114">
        <f>[3]Forecasts!$S200</f>
        <v>0</v>
      </c>
      <c r="AS364" s="114">
        <f>[3]Forecasts!$S212</f>
        <v>0</v>
      </c>
      <c r="AT364" s="114">
        <f>[3]Forecasts!$S224</f>
        <v>0</v>
      </c>
      <c r="AU364" s="114">
        <f>[3]Forecasts!$S236</f>
        <v>0</v>
      </c>
      <c r="AV364" s="114">
        <f>[3]Forecasts!$S248</f>
        <v>0</v>
      </c>
      <c r="AW364" s="114">
        <f>[3]Forecasts!$S260</f>
        <v>0</v>
      </c>
      <c r="AX364" s="114">
        <f>[3]Forecasts!$S272</f>
        <v>0</v>
      </c>
      <c r="AY364" s="114">
        <f>[3]Forecasts!$S284</f>
        <v>0</v>
      </c>
      <c r="AZ364" s="114">
        <f>[3]Forecasts!$S284</f>
        <v>0</v>
      </c>
      <c r="BA364" s="114">
        <f>[3]Forecasts!$S284</f>
        <v>0</v>
      </c>
      <c r="BB364" s="114">
        <f>[3]Forecasts!$S284</f>
        <v>0</v>
      </c>
      <c r="BC364" s="114">
        <f>[3]Forecasts!$S284</f>
        <v>0</v>
      </c>
      <c r="BD364" s="114">
        <f>[3]Forecasts!$S284</f>
        <v>0</v>
      </c>
      <c r="BE364" s="114">
        <f>[3]Forecasts!$S284</f>
        <v>0</v>
      </c>
      <c r="BF364" s="114">
        <f>[3]Forecasts!$S284</f>
        <v>0</v>
      </c>
    </row>
    <row r="365" spans="1:58">
      <c r="A365" s="69" t="s">
        <v>36</v>
      </c>
      <c r="AF365" s="114">
        <f>[3]Forecasts!$S57</f>
        <v>0</v>
      </c>
      <c r="AG365" s="114">
        <f>[3]Forecasts!$S69</f>
        <v>0</v>
      </c>
      <c r="AH365" s="114">
        <f>[3]Forecasts!$S81</f>
        <v>0</v>
      </c>
      <c r="AI365" s="114">
        <f>[3]Forecasts!$S93</f>
        <v>0</v>
      </c>
      <c r="AJ365" s="114">
        <f>[3]Forecasts!$S105</f>
        <v>0</v>
      </c>
      <c r="AK365" s="114">
        <f>[3]Forecasts!$S117</f>
        <v>0</v>
      </c>
      <c r="AL365" s="114">
        <f>[3]Forecasts!$S129</f>
        <v>0</v>
      </c>
      <c r="AM365" s="114">
        <f>[3]Forecasts!$S141</f>
        <v>0</v>
      </c>
      <c r="AN365" s="114">
        <f>[3]Forecasts!$S153</f>
        <v>0</v>
      </c>
      <c r="AO365" s="114">
        <f>[3]Forecasts!$S165</f>
        <v>0</v>
      </c>
      <c r="AP365" s="114">
        <f>[3]Forecasts!$S177</f>
        <v>0</v>
      </c>
      <c r="AQ365" s="114">
        <f>[3]Forecasts!$S189</f>
        <v>0</v>
      </c>
      <c r="AR365" s="114">
        <f>[3]Forecasts!$S201</f>
        <v>0</v>
      </c>
      <c r="AS365" s="114">
        <f>[3]Forecasts!$S213</f>
        <v>0</v>
      </c>
      <c r="AT365" s="114">
        <f>[3]Forecasts!$S225</f>
        <v>0</v>
      </c>
      <c r="AU365" s="114">
        <f>[3]Forecasts!$S237</f>
        <v>0</v>
      </c>
      <c r="AV365" s="114">
        <f>[3]Forecasts!$S249</f>
        <v>0</v>
      </c>
      <c r="AW365" s="114">
        <f>[3]Forecasts!$S261</f>
        <v>0</v>
      </c>
      <c r="AX365" s="114">
        <f>[3]Forecasts!$S273</f>
        <v>0</v>
      </c>
      <c r="AY365" s="114">
        <f>[3]Forecasts!$S285</f>
        <v>0</v>
      </c>
      <c r="AZ365" s="114">
        <f>[3]Forecasts!$S285</f>
        <v>0</v>
      </c>
      <c r="BA365" s="114">
        <f>[3]Forecasts!$S285</f>
        <v>0</v>
      </c>
      <c r="BB365" s="114">
        <f>[3]Forecasts!$S285</f>
        <v>0</v>
      </c>
      <c r="BC365" s="114">
        <f>[3]Forecasts!$S285</f>
        <v>0</v>
      </c>
      <c r="BD365" s="114">
        <f>[3]Forecasts!$S285</f>
        <v>0</v>
      </c>
      <c r="BE365" s="114">
        <f>[3]Forecasts!$S285</f>
        <v>0</v>
      </c>
      <c r="BF365" s="114">
        <f>[3]Forecasts!$S285</f>
        <v>0</v>
      </c>
    </row>
    <row r="366" spans="1:58">
      <c r="A366" s="69" t="s">
        <v>37</v>
      </c>
      <c r="AF366" s="114">
        <f>[3]Forecasts!$S58</f>
        <v>0</v>
      </c>
      <c r="AG366" s="114">
        <f>[3]Forecasts!$S70</f>
        <v>0</v>
      </c>
      <c r="AH366" s="114">
        <f>[3]Forecasts!$S82</f>
        <v>0</v>
      </c>
      <c r="AI366" s="114">
        <f>[3]Forecasts!$S94</f>
        <v>0</v>
      </c>
      <c r="AJ366" s="114">
        <f>[3]Forecasts!$S106</f>
        <v>0</v>
      </c>
      <c r="AK366" s="114">
        <f>[3]Forecasts!$S118</f>
        <v>0</v>
      </c>
      <c r="AL366" s="114">
        <f>[3]Forecasts!$S130</f>
        <v>0</v>
      </c>
      <c r="AM366" s="114">
        <f>[3]Forecasts!$S142</f>
        <v>0</v>
      </c>
      <c r="AN366" s="114">
        <f>[3]Forecasts!$S154</f>
        <v>0</v>
      </c>
      <c r="AO366" s="114">
        <f>[3]Forecasts!$S166</f>
        <v>0</v>
      </c>
      <c r="AP366" s="114">
        <f>[3]Forecasts!$S178</f>
        <v>0</v>
      </c>
      <c r="AQ366" s="114">
        <f>[3]Forecasts!$S190</f>
        <v>0</v>
      </c>
      <c r="AR366" s="114">
        <f>[3]Forecasts!$S202</f>
        <v>0</v>
      </c>
      <c r="AS366" s="114">
        <f>[3]Forecasts!$S214</f>
        <v>0</v>
      </c>
      <c r="AT366" s="114">
        <f>[3]Forecasts!$S226</f>
        <v>0</v>
      </c>
      <c r="AU366" s="114">
        <f>[3]Forecasts!$S238</f>
        <v>0</v>
      </c>
      <c r="AV366" s="114">
        <f>[3]Forecasts!$S250</f>
        <v>0</v>
      </c>
      <c r="AW366" s="114">
        <f>[3]Forecasts!$S262</f>
        <v>0</v>
      </c>
      <c r="AX366" s="114">
        <f>[3]Forecasts!$S274</f>
        <v>0</v>
      </c>
      <c r="AY366" s="114">
        <f>[3]Forecasts!$S286</f>
        <v>0</v>
      </c>
      <c r="AZ366" s="114">
        <f>[3]Forecasts!$S286</f>
        <v>0</v>
      </c>
      <c r="BA366" s="114">
        <f>[3]Forecasts!$S286</f>
        <v>0</v>
      </c>
      <c r="BB366" s="114">
        <f>[3]Forecasts!$S286</f>
        <v>0</v>
      </c>
      <c r="BC366" s="114">
        <f>[3]Forecasts!$S286</f>
        <v>0</v>
      </c>
      <c r="BD366" s="114">
        <f>[3]Forecasts!$S286</f>
        <v>0</v>
      </c>
      <c r="BE366" s="114">
        <f>[3]Forecasts!$S286</f>
        <v>0</v>
      </c>
      <c r="BF366" s="114">
        <f>[3]Forecasts!$S286</f>
        <v>0</v>
      </c>
    </row>
    <row r="367" spans="1:58">
      <c r="A367" s="69" t="s">
        <v>38</v>
      </c>
      <c r="AF367" s="114">
        <f>[3]Forecasts!$S59</f>
        <v>0</v>
      </c>
      <c r="AG367" s="114">
        <f>[3]Forecasts!$S71</f>
        <v>0</v>
      </c>
      <c r="AH367" s="114">
        <f>[3]Forecasts!$S83</f>
        <v>0</v>
      </c>
      <c r="AI367" s="114">
        <f>[3]Forecasts!$S95</f>
        <v>0</v>
      </c>
      <c r="AJ367" s="114">
        <f>[3]Forecasts!$S107</f>
        <v>0</v>
      </c>
      <c r="AK367" s="114">
        <f>[3]Forecasts!$S119</f>
        <v>0</v>
      </c>
      <c r="AL367" s="114">
        <f>[3]Forecasts!$S131</f>
        <v>0</v>
      </c>
      <c r="AM367" s="114">
        <f>[3]Forecasts!$S143</f>
        <v>0</v>
      </c>
      <c r="AN367" s="114">
        <f>[3]Forecasts!$S155</f>
        <v>0</v>
      </c>
      <c r="AO367" s="114">
        <f>[3]Forecasts!$S167</f>
        <v>0</v>
      </c>
      <c r="AP367" s="114">
        <f>[3]Forecasts!$S179</f>
        <v>0</v>
      </c>
      <c r="AQ367" s="114">
        <f>[3]Forecasts!$S191</f>
        <v>0</v>
      </c>
      <c r="AR367" s="114">
        <f>[3]Forecasts!$S203</f>
        <v>0</v>
      </c>
      <c r="AS367" s="114">
        <f>[3]Forecasts!$S215</f>
        <v>0</v>
      </c>
      <c r="AT367" s="114">
        <f>[3]Forecasts!$S227</f>
        <v>0</v>
      </c>
      <c r="AU367" s="114">
        <f>[3]Forecasts!$S239</f>
        <v>0</v>
      </c>
      <c r="AV367" s="114">
        <f>[3]Forecasts!$S251</f>
        <v>0</v>
      </c>
      <c r="AW367" s="114">
        <f>[3]Forecasts!$S263</f>
        <v>0</v>
      </c>
      <c r="AX367" s="114">
        <f>[3]Forecasts!$S275</f>
        <v>0</v>
      </c>
      <c r="AY367" s="114">
        <f>[3]Forecasts!$S287</f>
        <v>0</v>
      </c>
      <c r="AZ367" s="114">
        <f>[3]Forecasts!$S287</f>
        <v>0</v>
      </c>
      <c r="BA367" s="114">
        <f>[3]Forecasts!$S287</f>
        <v>0</v>
      </c>
      <c r="BB367" s="114">
        <f>[3]Forecasts!$S287</f>
        <v>0</v>
      </c>
      <c r="BC367" s="114">
        <f>[3]Forecasts!$S287</f>
        <v>0</v>
      </c>
      <c r="BD367" s="114">
        <f>[3]Forecasts!$S287</f>
        <v>0</v>
      </c>
      <c r="BE367" s="114">
        <f>[3]Forecasts!$S287</f>
        <v>0</v>
      </c>
      <c r="BF367" s="114">
        <f>[3]Forecasts!$S287</f>
        <v>0</v>
      </c>
    </row>
    <row r="368" spans="1:58">
      <c r="A368" s="69" t="s">
        <v>39</v>
      </c>
      <c r="AF368" s="114">
        <f>[3]Forecasts!$S60</f>
        <v>0</v>
      </c>
      <c r="AG368" s="114">
        <f>[3]Forecasts!$S72</f>
        <v>0</v>
      </c>
      <c r="AH368" s="114">
        <f>[3]Forecasts!$S84</f>
        <v>0</v>
      </c>
      <c r="AI368" s="114">
        <f>[3]Forecasts!$S96</f>
        <v>0</v>
      </c>
      <c r="AJ368" s="114">
        <f>[3]Forecasts!$S108</f>
        <v>0</v>
      </c>
      <c r="AK368" s="114">
        <f>[3]Forecasts!$S120</f>
        <v>0</v>
      </c>
      <c r="AL368" s="114">
        <f>[3]Forecasts!$S132</f>
        <v>0</v>
      </c>
      <c r="AM368" s="114">
        <f>[3]Forecasts!$S144</f>
        <v>0</v>
      </c>
      <c r="AN368" s="114">
        <f>[3]Forecasts!$S156</f>
        <v>0</v>
      </c>
      <c r="AO368" s="114">
        <f>[3]Forecasts!$S168</f>
        <v>0</v>
      </c>
      <c r="AP368" s="114">
        <f>[3]Forecasts!$S180</f>
        <v>0</v>
      </c>
      <c r="AQ368" s="114">
        <f>[3]Forecasts!$S192</f>
        <v>0</v>
      </c>
      <c r="AR368" s="114">
        <f>[3]Forecasts!$S204</f>
        <v>0</v>
      </c>
      <c r="AS368" s="114">
        <f>[3]Forecasts!$S216</f>
        <v>0</v>
      </c>
      <c r="AT368" s="114">
        <f>[3]Forecasts!$S228</f>
        <v>0</v>
      </c>
      <c r="AU368" s="114">
        <f>[3]Forecasts!$S240</f>
        <v>0</v>
      </c>
      <c r="AV368" s="114">
        <f>[3]Forecasts!$S252</f>
        <v>0</v>
      </c>
      <c r="AW368" s="114">
        <f>[3]Forecasts!$S264</f>
        <v>0</v>
      </c>
      <c r="AX368" s="114">
        <f>[3]Forecasts!$S276</f>
        <v>0</v>
      </c>
      <c r="AY368" s="114">
        <f>[3]Forecasts!$S288</f>
        <v>0</v>
      </c>
      <c r="AZ368" s="114">
        <f>[3]Forecasts!$S288</f>
        <v>0</v>
      </c>
      <c r="BA368" s="114">
        <f>[3]Forecasts!$S288</f>
        <v>0</v>
      </c>
      <c r="BB368" s="114">
        <f>[3]Forecasts!$S288</f>
        <v>0</v>
      </c>
      <c r="BC368" s="114">
        <f>[3]Forecasts!$S288</f>
        <v>0</v>
      </c>
      <c r="BD368" s="114">
        <f>[3]Forecasts!$S288</f>
        <v>0</v>
      </c>
      <c r="BE368" s="114">
        <f>[3]Forecasts!$S288</f>
        <v>0</v>
      </c>
      <c r="BF368" s="114">
        <f>[3]Forecasts!$S288</f>
        <v>0</v>
      </c>
    </row>
    <row r="369" spans="1:58">
      <c r="A369" s="69" t="s">
        <v>40</v>
      </c>
      <c r="AF369" s="114">
        <f>[3]Forecasts!$S61</f>
        <v>0</v>
      </c>
      <c r="AG369" s="114">
        <f>[3]Forecasts!$S73</f>
        <v>0</v>
      </c>
      <c r="AH369" s="114">
        <f>[3]Forecasts!$S85</f>
        <v>0</v>
      </c>
      <c r="AI369" s="114">
        <f>[3]Forecasts!$S97</f>
        <v>0</v>
      </c>
      <c r="AJ369" s="114">
        <f>[3]Forecasts!$S109</f>
        <v>0</v>
      </c>
      <c r="AK369" s="114">
        <f>[3]Forecasts!$S121</f>
        <v>0</v>
      </c>
      <c r="AL369" s="114">
        <f>[3]Forecasts!$S133</f>
        <v>0</v>
      </c>
      <c r="AM369" s="114">
        <f>[3]Forecasts!$S145</f>
        <v>0</v>
      </c>
      <c r="AN369" s="114">
        <f>[3]Forecasts!$S157</f>
        <v>0</v>
      </c>
      <c r="AO369" s="114">
        <f>[3]Forecasts!$S169</f>
        <v>0</v>
      </c>
      <c r="AP369" s="114">
        <f>[3]Forecasts!$S181</f>
        <v>0</v>
      </c>
      <c r="AQ369" s="114">
        <f>[3]Forecasts!$S193</f>
        <v>0</v>
      </c>
      <c r="AR369" s="114">
        <f>[3]Forecasts!$S205</f>
        <v>0</v>
      </c>
      <c r="AS369" s="114">
        <f>[3]Forecasts!$S217</f>
        <v>0</v>
      </c>
      <c r="AT369" s="114">
        <f>[3]Forecasts!$S229</f>
        <v>0</v>
      </c>
      <c r="AU369" s="114">
        <f>[3]Forecasts!$S241</f>
        <v>0</v>
      </c>
      <c r="AV369" s="114">
        <f>[3]Forecasts!$S253</f>
        <v>0</v>
      </c>
      <c r="AW369" s="114">
        <f>[3]Forecasts!$S265</f>
        <v>0</v>
      </c>
      <c r="AX369" s="114">
        <f>[3]Forecasts!$S277</f>
        <v>0</v>
      </c>
      <c r="AY369" s="114">
        <f>[3]Forecasts!$S289</f>
        <v>0</v>
      </c>
      <c r="AZ369" s="114">
        <f>[3]Forecasts!$S289</f>
        <v>0</v>
      </c>
      <c r="BA369" s="114">
        <f>[3]Forecasts!$S289</f>
        <v>0</v>
      </c>
      <c r="BB369" s="114">
        <f>[3]Forecasts!$S289</f>
        <v>0</v>
      </c>
      <c r="BC369" s="114">
        <f>[3]Forecasts!$S289</f>
        <v>0</v>
      </c>
      <c r="BD369" s="114">
        <f>[3]Forecasts!$S289</f>
        <v>0</v>
      </c>
      <c r="BE369" s="114">
        <f>[3]Forecasts!$S289</f>
        <v>0</v>
      </c>
      <c r="BF369" s="114">
        <f>[3]Forecasts!$S289</f>
        <v>0</v>
      </c>
    </row>
    <row r="370" spans="1:58" ht="12" thickBot="1">
      <c r="A370" s="69" t="s">
        <v>143</v>
      </c>
      <c r="AC370" s="112">
        <v>2.4437639999999998</v>
      </c>
      <c r="AD370" s="112">
        <v>2.4431340000000001</v>
      </c>
      <c r="AE370" s="114">
        <v>2.4571740000000002</v>
      </c>
      <c r="AF370" s="114">
        <f>AVERAGE(AF358:AF369)</f>
        <v>0</v>
      </c>
      <c r="AG370" s="114">
        <f t="shared" ref="AG370:BF370" si="233">AVERAGE(AG358:AG369)</f>
        <v>0</v>
      </c>
      <c r="AH370" s="114">
        <f t="shared" si="233"/>
        <v>0</v>
      </c>
      <c r="AI370" s="114">
        <f t="shared" si="233"/>
        <v>0</v>
      </c>
      <c r="AJ370" s="114">
        <f t="shared" si="233"/>
        <v>0</v>
      </c>
      <c r="AK370" s="114">
        <f t="shared" si="233"/>
        <v>0</v>
      </c>
      <c r="AL370" s="114">
        <f t="shared" si="233"/>
        <v>0</v>
      </c>
      <c r="AM370" s="114">
        <f t="shared" si="233"/>
        <v>0</v>
      </c>
      <c r="AN370" s="114">
        <f t="shared" si="233"/>
        <v>0</v>
      </c>
      <c r="AO370" s="114">
        <f t="shared" si="233"/>
        <v>0</v>
      </c>
      <c r="AP370" s="114">
        <f t="shared" si="233"/>
        <v>0</v>
      </c>
      <c r="AQ370" s="114">
        <f t="shared" si="233"/>
        <v>0</v>
      </c>
      <c r="AR370" s="114">
        <f t="shared" si="233"/>
        <v>0</v>
      </c>
      <c r="AS370" s="114">
        <f t="shared" si="233"/>
        <v>0</v>
      </c>
      <c r="AT370" s="114">
        <f t="shared" si="233"/>
        <v>0</v>
      </c>
      <c r="AU370" s="114">
        <f t="shared" si="233"/>
        <v>0</v>
      </c>
      <c r="AV370" s="114">
        <f t="shared" si="233"/>
        <v>0</v>
      </c>
      <c r="AW370" s="114">
        <f t="shared" si="233"/>
        <v>0</v>
      </c>
      <c r="AX370" s="114">
        <f t="shared" si="233"/>
        <v>0</v>
      </c>
      <c r="AY370" s="114">
        <f t="shared" si="233"/>
        <v>0</v>
      </c>
      <c r="AZ370" s="114">
        <f t="shared" si="233"/>
        <v>0</v>
      </c>
      <c r="BA370" s="114">
        <f t="shared" si="233"/>
        <v>0</v>
      </c>
      <c r="BB370" s="114">
        <f t="shared" si="233"/>
        <v>0</v>
      </c>
      <c r="BC370" s="114">
        <f t="shared" si="233"/>
        <v>0</v>
      </c>
      <c r="BD370" s="114">
        <f t="shared" si="233"/>
        <v>0</v>
      </c>
      <c r="BE370" s="114">
        <f t="shared" si="233"/>
        <v>0</v>
      </c>
      <c r="BF370" s="114">
        <f t="shared" si="233"/>
        <v>0</v>
      </c>
    </row>
    <row r="371" spans="1:58"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</row>
    <row r="374" spans="1:58">
      <c r="A374" s="69" t="s">
        <v>184</v>
      </c>
      <c r="AF374" s="112">
        <f>AVERAGE(AF358:AF360)</f>
        <v>0</v>
      </c>
      <c r="AG374" s="112">
        <f t="shared" ref="AG374:BF374" si="234">AVERAGE(AG358:AG360)</f>
        <v>0</v>
      </c>
      <c r="AH374" s="112">
        <f t="shared" si="234"/>
        <v>0</v>
      </c>
      <c r="AI374" s="112">
        <f t="shared" si="234"/>
        <v>0</v>
      </c>
      <c r="AJ374" s="112">
        <f t="shared" si="234"/>
        <v>0</v>
      </c>
      <c r="AK374" s="112">
        <f t="shared" si="234"/>
        <v>0</v>
      </c>
      <c r="AL374" s="112">
        <f t="shared" si="234"/>
        <v>0</v>
      </c>
      <c r="AM374" s="112">
        <f t="shared" si="234"/>
        <v>0</v>
      </c>
      <c r="AN374" s="112">
        <f t="shared" si="234"/>
        <v>0</v>
      </c>
      <c r="AO374" s="112">
        <f t="shared" si="234"/>
        <v>0</v>
      </c>
      <c r="AP374" s="112">
        <f t="shared" si="234"/>
        <v>0</v>
      </c>
      <c r="AQ374" s="112">
        <f t="shared" si="234"/>
        <v>0</v>
      </c>
      <c r="AR374" s="112">
        <f t="shared" si="234"/>
        <v>0</v>
      </c>
      <c r="AS374" s="112">
        <f t="shared" si="234"/>
        <v>0</v>
      </c>
      <c r="AT374" s="112">
        <f t="shared" si="234"/>
        <v>0</v>
      </c>
      <c r="AU374" s="112">
        <f t="shared" si="234"/>
        <v>0</v>
      </c>
      <c r="AV374" s="112">
        <f t="shared" si="234"/>
        <v>0</v>
      </c>
      <c r="AW374" s="112">
        <f t="shared" si="234"/>
        <v>0</v>
      </c>
      <c r="AX374" s="112">
        <f t="shared" si="234"/>
        <v>0</v>
      </c>
      <c r="AY374" s="112">
        <f t="shared" si="234"/>
        <v>0</v>
      </c>
      <c r="AZ374" s="112">
        <f t="shared" si="234"/>
        <v>0</v>
      </c>
      <c r="BA374" s="112">
        <f t="shared" si="234"/>
        <v>0</v>
      </c>
      <c r="BB374" s="112">
        <f t="shared" si="234"/>
        <v>0</v>
      </c>
      <c r="BC374" s="112">
        <f t="shared" si="234"/>
        <v>0</v>
      </c>
      <c r="BD374" s="112">
        <f t="shared" si="234"/>
        <v>0</v>
      </c>
      <c r="BE374" s="112">
        <f t="shared" si="234"/>
        <v>0</v>
      </c>
      <c r="BF374" s="112">
        <f t="shared" si="234"/>
        <v>0</v>
      </c>
    </row>
    <row r="375" spans="1:58">
      <c r="A375" s="69" t="s">
        <v>185</v>
      </c>
      <c r="AF375" s="112">
        <f>AVERAGE(AF361:AF363)</f>
        <v>0</v>
      </c>
      <c r="AG375" s="112">
        <f t="shared" ref="AG375:BF375" si="235">AVERAGE(AG361:AG363)</f>
        <v>0</v>
      </c>
      <c r="AH375" s="112">
        <f t="shared" si="235"/>
        <v>0</v>
      </c>
      <c r="AI375" s="112">
        <f t="shared" si="235"/>
        <v>0</v>
      </c>
      <c r="AJ375" s="112">
        <f t="shared" si="235"/>
        <v>0</v>
      </c>
      <c r="AK375" s="112">
        <f t="shared" si="235"/>
        <v>0</v>
      </c>
      <c r="AL375" s="112">
        <f t="shared" si="235"/>
        <v>0</v>
      </c>
      <c r="AM375" s="112">
        <f t="shared" si="235"/>
        <v>0</v>
      </c>
      <c r="AN375" s="112">
        <f t="shared" si="235"/>
        <v>0</v>
      </c>
      <c r="AO375" s="112">
        <f t="shared" si="235"/>
        <v>0</v>
      </c>
      <c r="AP375" s="112">
        <f t="shared" si="235"/>
        <v>0</v>
      </c>
      <c r="AQ375" s="112">
        <f t="shared" si="235"/>
        <v>0</v>
      </c>
      <c r="AR375" s="112">
        <f t="shared" si="235"/>
        <v>0</v>
      </c>
      <c r="AS375" s="112">
        <f t="shared" si="235"/>
        <v>0</v>
      </c>
      <c r="AT375" s="112">
        <f t="shared" si="235"/>
        <v>0</v>
      </c>
      <c r="AU375" s="112">
        <f t="shared" si="235"/>
        <v>0</v>
      </c>
      <c r="AV375" s="112">
        <f t="shared" si="235"/>
        <v>0</v>
      </c>
      <c r="AW375" s="112">
        <f t="shared" si="235"/>
        <v>0</v>
      </c>
      <c r="AX375" s="112">
        <f t="shared" si="235"/>
        <v>0</v>
      </c>
      <c r="AY375" s="112">
        <f t="shared" si="235"/>
        <v>0</v>
      </c>
      <c r="AZ375" s="112">
        <f t="shared" si="235"/>
        <v>0</v>
      </c>
      <c r="BA375" s="112">
        <f t="shared" si="235"/>
        <v>0</v>
      </c>
      <c r="BB375" s="112">
        <f t="shared" si="235"/>
        <v>0</v>
      </c>
      <c r="BC375" s="112">
        <f t="shared" si="235"/>
        <v>0</v>
      </c>
      <c r="BD375" s="112">
        <f t="shared" si="235"/>
        <v>0</v>
      </c>
      <c r="BE375" s="112">
        <f t="shared" si="235"/>
        <v>0</v>
      </c>
      <c r="BF375" s="112">
        <f t="shared" si="235"/>
        <v>0</v>
      </c>
    </row>
    <row r="376" spans="1:58">
      <c r="A376" s="69" t="s">
        <v>186</v>
      </c>
      <c r="AF376" s="112">
        <f>AVERAGE(AF364:AF366)</f>
        <v>0</v>
      </c>
      <c r="AG376" s="112">
        <f t="shared" ref="AG376:BF376" si="236">AVERAGE(AG364:AG366)</f>
        <v>0</v>
      </c>
      <c r="AH376" s="112">
        <f t="shared" si="236"/>
        <v>0</v>
      </c>
      <c r="AI376" s="112">
        <f t="shared" si="236"/>
        <v>0</v>
      </c>
      <c r="AJ376" s="112">
        <f t="shared" si="236"/>
        <v>0</v>
      </c>
      <c r="AK376" s="112">
        <f t="shared" si="236"/>
        <v>0</v>
      </c>
      <c r="AL376" s="112">
        <f t="shared" si="236"/>
        <v>0</v>
      </c>
      <c r="AM376" s="112">
        <f t="shared" si="236"/>
        <v>0</v>
      </c>
      <c r="AN376" s="112">
        <f t="shared" si="236"/>
        <v>0</v>
      </c>
      <c r="AO376" s="112">
        <f t="shared" si="236"/>
        <v>0</v>
      </c>
      <c r="AP376" s="112">
        <f t="shared" si="236"/>
        <v>0</v>
      </c>
      <c r="AQ376" s="112">
        <f t="shared" si="236"/>
        <v>0</v>
      </c>
      <c r="AR376" s="112">
        <f t="shared" si="236"/>
        <v>0</v>
      </c>
      <c r="AS376" s="112">
        <f t="shared" si="236"/>
        <v>0</v>
      </c>
      <c r="AT376" s="112">
        <f t="shared" si="236"/>
        <v>0</v>
      </c>
      <c r="AU376" s="112">
        <f t="shared" si="236"/>
        <v>0</v>
      </c>
      <c r="AV376" s="112">
        <f t="shared" si="236"/>
        <v>0</v>
      </c>
      <c r="AW376" s="112">
        <f t="shared" si="236"/>
        <v>0</v>
      </c>
      <c r="AX376" s="112">
        <f t="shared" si="236"/>
        <v>0</v>
      </c>
      <c r="AY376" s="112">
        <f t="shared" si="236"/>
        <v>0</v>
      </c>
      <c r="AZ376" s="112">
        <f t="shared" si="236"/>
        <v>0</v>
      </c>
      <c r="BA376" s="112">
        <f t="shared" si="236"/>
        <v>0</v>
      </c>
      <c r="BB376" s="112">
        <f t="shared" si="236"/>
        <v>0</v>
      </c>
      <c r="BC376" s="112">
        <f t="shared" si="236"/>
        <v>0</v>
      </c>
      <c r="BD376" s="112">
        <f t="shared" si="236"/>
        <v>0</v>
      </c>
      <c r="BE376" s="112">
        <f t="shared" si="236"/>
        <v>0</v>
      </c>
      <c r="BF376" s="112">
        <f t="shared" si="236"/>
        <v>0</v>
      </c>
    </row>
    <row r="377" spans="1:58">
      <c r="A377" s="69" t="s">
        <v>187</v>
      </c>
      <c r="AF377" s="112">
        <f>AVERAGE(AF367:AF369)</f>
        <v>0</v>
      </c>
      <c r="AG377" s="112">
        <f t="shared" ref="AG377:BF377" si="237">AVERAGE(AG367:AG369)</f>
        <v>0</v>
      </c>
      <c r="AH377" s="112">
        <f t="shared" si="237"/>
        <v>0</v>
      </c>
      <c r="AI377" s="112">
        <f t="shared" si="237"/>
        <v>0</v>
      </c>
      <c r="AJ377" s="112">
        <f t="shared" si="237"/>
        <v>0</v>
      </c>
      <c r="AK377" s="112">
        <f t="shared" si="237"/>
        <v>0</v>
      </c>
      <c r="AL377" s="112">
        <f t="shared" si="237"/>
        <v>0</v>
      </c>
      <c r="AM377" s="112">
        <f t="shared" si="237"/>
        <v>0</v>
      </c>
      <c r="AN377" s="112">
        <f t="shared" si="237"/>
        <v>0</v>
      </c>
      <c r="AO377" s="112">
        <f t="shared" si="237"/>
        <v>0</v>
      </c>
      <c r="AP377" s="112">
        <f t="shared" si="237"/>
        <v>0</v>
      </c>
      <c r="AQ377" s="112">
        <f t="shared" si="237"/>
        <v>0</v>
      </c>
      <c r="AR377" s="112">
        <f t="shared" si="237"/>
        <v>0</v>
      </c>
      <c r="AS377" s="112">
        <f t="shared" si="237"/>
        <v>0</v>
      </c>
      <c r="AT377" s="112">
        <f t="shared" si="237"/>
        <v>0</v>
      </c>
      <c r="AU377" s="112">
        <f t="shared" si="237"/>
        <v>0</v>
      </c>
      <c r="AV377" s="112">
        <f t="shared" si="237"/>
        <v>0</v>
      </c>
      <c r="AW377" s="112">
        <f t="shared" si="237"/>
        <v>0</v>
      </c>
      <c r="AX377" s="112">
        <f t="shared" si="237"/>
        <v>0</v>
      </c>
      <c r="AY377" s="112">
        <f t="shared" si="237"/>
        <v>0</v>
      </c>
      <c r="AZ377" s="112">
        <f t="shared" si="237"/>
        <v>0</v>
      </c>
      <c r="BA377" s="112">
        <f t="shared" si="237"/>
        <v>0</v>
      </c>
      <c r="BB377" s="112">
        <f t="shared" si="237"/>
        <v>0</v>
      </c>
      <c r="BC377" s="112">
        <f t="shared" si="237"/>
        <v>0</v>
      </c>
      <c r="BD377" s="112">
        <f t="shared" si="237"/>
        <v>0</v>
      </c>
      <c r="BE377" s="112">
        <f t="shared" si="237"/>
        <v>0</v>
      </c>
      <c r="BF377" s="112">
        <f t="shared" si="237"/>
        <v>0</v>
      </c>
    </row>
    <row r="383" spans="1:58">
      <c r="A383" s="69" t="s">
        <v>188</v>
      </c>
      <c r="X383" s="122" t="str">
        <f>X2</f>
        <v xml:space="preserve">15/16 </v>
      </c>
      <c r="Y383" s="122" t="str">
        <f t="shared" ref="Y383:BF383" si="238">Y2</f>
        <v xml:space="preserve">16/17 </v>
      </c>
      <c r="Z383" s="122" t="str">
        <f t="shared" si="238"/>
        <v xml:space="preserve">17/18 </v>
      </c>
      <c r="AA383" s="122" t="str">
        <f t="shared" si="238"/>
        <v xml:space="preserve">18/19 </v>
      </c>
      <c r="AB383" s="122" t="str">
        <f t="shared" si="238"/>
        <v>19/20</v>
      </c>
      <c r="AC383" s="122" t="str">
        <f t="shared" si="238"/>
        <v>20/21</v>
      </c>
      <c r="AD383" s="122" t="str">
        <f t="shared" si="238"/>
        <v>21/22</v>
      </c>
      <c r="AE383" s="122" t="str">
        <f t="shared" si="238"/>
        <v>22/23</v>
      </c>
      <c r="AF383" s="122" t="str">
        <f t="shared" si="238"/>
        <v>23/24</v>
      </c>
      <c r="AG383" s="122" t="str">
        <f t="shared" si="238"/>
        <v>24/25</v>
      </c>
      <c r="AH383" s="122" t="str">
        <f t="shared" si="238"/>
        <v>25/26</v>
      </c>
      <c r="AI383" s="122" t="str">
        <f t="shared" si="238"/>
        <v>26/27</v>
      </c>
      <c r="AJ383" s="122" t="str">
        <f t="shared" si="238"/>
        <v>27/28</v>
      </c>
      <c r="AK383" s="122" t="str">
        <f t="shared" si="238"/>
        <v>28/29</v>
      </c>
      <c r="AL383" s="122" t="str">
        <f t="shared" si="238"/>
        <v>29/30</v>
      </c>
      <c r="AM383" s="122" t="str">
        <f t="shared" si="238"/>
        <v>30/31</v>
      </c>
      <c r="AN383" s="122" t="str">
        <f t="shared" si="238"/>
        <v>31/32</v>
      </c>
      <c r="AO383" s="122" t="str">
        <f t="shared" si="238"/>
        <v>32/33</v>
      </c>
      <c r="AP383" s="122" t="str">
        <f t="shared" si="238"/>
        <v>33/34</v>
      </c>
      <c r="AQ383" s="122" t="str">
        <f t="shared" si="238"/>
        <v>34/35</v>
      </c>
      <c r="AR383" s="122" t="str">
        <f t="shared" si="238"/>
        <v>35/36</v>
      </c>
      <c r="AS383" s="122" t="str">
        <f t="shared" si="238"/>
        <v>36/37</v>
      </c>
      <c r="AT383" s="122" t="str">
        <f t="shared" si="238"/>
        <v>37/38</v>
      </c>
      <c r="AU383" s="122" t="str">
        <f t="shared" si="238"/>
        <v>38/39</v>
      </c>
      <c r="AV383" s="122" t="str">
        <f t="shared" si="238"/>
        <v>39/40</v>
      </c>
      <c r="AW383" s="122" t="str">
        <f t="shared" si="238"/>
        <v>40/41</v>
      </c>
      <c r="AX383" s="122" t="str">
        <f t="shared" si="238"/>
        <v>41/42</v>
      </c>
      <c r="AY383" s="122" t="str">
        <f t="shared" si="238"/>
        <v>42/43</v>
      </c>
      <c r="AZ383" s="122" t="str">
        <f t="shared" si="238"/>
        <v>43/44</v>
      </c>
      <c r="BA383" s="122" t="str">
        <f t="shared" si="238"/>
        <v>44/45</v>
      </c>
      <c r="BB383" s="122" t="str">
        <f t="shared" si="238"/>
        <v>45/46</v>
      </c>
      <c r="BC383" s="122" t="str">
        <f t="shared" si="238"/>
        <v>42/47</v>
      </c>
      <c r="BD383" s="122" t="str">
        <f t="shared" si="238"/>
        <v>42/48</v>
      </c>
      <c r="BE383" s="122" t="str">
        <f t="shared" si="238"/>
        <v>42/49</v>
      </c>
      <c r="BF383" s="122" t="str">
        <f t="shared" si="238"/>
        <v>42/50</v>
      </c>
    </row>
    <row r="384" spans="1:58">
      <c r="A384" s="69" t="s">
        <v>37</v>
      </c>
      <c r="X384" s="92">
        <f>SUM('NASS Data'!$F13:$H13)</f>
        <v>91.287000000000006</v>
      </c>
      <c r="Y384" s="92">
        <f>SUM('NASS Data'!$F25:$H25)</f>
        <v>93.917999999999992</v>
      </c>
      <c r="Z384" s="92">
        <f>SUM('NASS Data'!$F37:$H37)</f>
        <v>94.51</v>
      </c>
      <c r="AA384" s="92">
        <f>SUM('NASS Data'!$F49:$H49)</f>
        <v>86.962999999999994</v>
      </c>
      <c r="AB384" s="92">
        <f>SUM('NASS Data'!$F61:$H61)</f>
        <v>85.181999999999988</v>
      </c>
      <c r="AC384" s="92">
        <f>SUM('NASS Data'!$F73:$H73)</f>
        <v>85.204999999999998</v>
      </c>
      <c r="AD384" s="92">
        <f>SUM('NASS Data'!$F85:$H85)</f>
        <v>82.109000000000009</v>
      </c>
      <c r="AE384" s="92">
        <f>SUM('NASS Data'!$F97:$H97)</f>
        <v>75.11</v>
      </c>
      <c r="AF384" s="92">
        <f>SUM('NASS Data'!$F109:$H109)</f>
        <v>76.87700000000001</v>
      </c>
      <c r="AG384" s="92">
        <f>SUM('NASS Data'!$F121:$H121)</f>
        <v>84.064000000000007</v>
      </c>
      <c r="AH384" s="123">
        <f t="shared" ref="AH384:AH386" si="239">AH$396*(SUM(AC384:AG384)/SUM(AC$396:AG$396))</f>
        <v>80.104779200925364</v>
      </c>
      <c r="AI384" s="123">
        <f t="shared" ref="AI384:AI394" si="240">AI$396*(SUM(AD384:AH384)/SUM(AD$396:AH$396))</f>
        <v>79.567903871554378</v>
      </c>
      <c r="AJ384" s="123">
        <f t="shared" ref="AJ384:AY394" si="241">AJ$396*(SUM(AE384:AI384)/SUM(AE$396:AI$396))</f>
        <v>79.419274792712727</v>
      </c>
      <c r="AK384" s="123">
        <f t="shared" si="241"/>
        <v>79.609071471410743</v>
      </c>
      <c r="AL384" s="123">
        <f t="shared" si="241"/>
        <v>79.890699549809284</v>
      </c>
      <c r="AM384" s="123">
        <f t="shared" si="241"/>
        <v>78.653249687760734</v>
      </c>
      <c r="AN384" s="123">
        <f t="shared" si="241"/>
        <v>78.280472735077765</v>
      </c>
      <c r="AO384" s="123">
        <f t="shared" si="241"/>
        <v>77.939923279778782</v>
      </c>
      <c r="AP384" s="123">
        <f t="shared" si="241"/>
        <v>77.642266417505468</v>
      </c>
      <c r="AQ384" s="123">
        <f t="shared" si="241"/>
        <v>77.248631407274587</v>
      </c>
      <c r="AR384" s="123">
        <f t="shared" si="241"/>
        <v>76.72207330486664</v>
      </c>
      <c r="AS384" s="123">
        <f t="shared" si="241"/>
        <v>76.335456390346664</v>
      </c>
      <c r="AT384" s="123">
        <f t="shared" si="241"/>
        <v>75.946111593572184</v>
      </c>
      <c r="AU384" s="123">
        <f t="shared" si="241"/>
        <v>75.547160638391503</v>
      </c>
      <c r="AV384" s="123">
        <f t="shared" si="241"/>
        <v>75.128275591617907</v>
      </c>
      <c r="AW384" s="123">
        <f t="shared" si="241"/>
        <v>74.704423900995323</v>
      </c>
      <c r="AX384" s="123">
        <f t="shared" si="241"/>
        <v>72.65877475689291</v>
      </c>
      <c r="AY384" s="123">
        <f t="shared" si="241"/>
        <v>71.43067605683396</v>
      </c>
      <c r="AZ384" s="123">
        <f t="shared" ref="AZ384:BF394" si="242">AZ$396*(SUM(AU384:AY384)/SUM(AU$396:AY$396))</f>
        <v>70.609690536104253</v>
      </c>
      <c r="BA384" s="123">
        <f t="shared" si="242"/>
        <v>69.37599223240214</v>
      </c>
      <c r="BB384" s="123">
        <f t="shared" si="242"/>
        <v>68.143485746242504</v>
      </c>
      <c r="BC384" s="123">
        <f t="shared" si="242"/>
        <v>66.913327448183622</v>
      </c>
      <c r="BD384" s="123">
        <f t="shared" si="242"/>
        <v>65.682117918439147</v>
      </c>
      <c r="BE384" s="123">
        <f t="shared" si="242"/>
        <v>64.450318529367891</v>
      </c>
      <c r="BF384" s="123">
        <f t="shared" si="242"/>
        <v>63.218462881832934</v>
      </c>
    </row>
    <row r="385" spans="1:58">
      <c r="A385" s="69" t="s">
        <v>38</v>
      </c>
      <c r="X385" s="92">
        <f>SUM('NASS Data'!$F14:$H14)</f>
        <v>94.158000000000001</v>
      </c>
      <c r="Y385" s="92">
        <f>SUM('NASS Data'!$F26:$H26)</f>
        <v>97.143000000000001</v>
      </c>
      <c r="Z385" s="92">
        <f>SUM('NASS Data'!$F38:$H38)</f>
        <v>100.65600000000001</v>
      </c>
      <c r="AA385" s="92">
        <f>SUM('NASS Data'!$F50:$H50)</f>
        <v>90.86099999999999</v>
      </c>
      <c r="AB385" s="92">
        <f>SUM('NASS Data'!$F62:$H62)</f>
        <v>88.350999999999999</v>
      </c>
      <c r="AC385" s="92">
        <f>SUM('NASS Data'!$F74:$H74)</f>
        <v>90.16</v>
      </c>
      <c r="AD385" s="92">
        <f>SUM('NASS Data'!$F86:$H86)</f>
        <v>88.790999999999997</v>
      </c>
      <c r="AE385" s="92">
        <f>SUM('NASS Data'!$F98:$H98)</f>
        <v>85.546999999999997</v>
      </c>
      <c r="AF385" s="92">
        <f>SUM('NASS Data'!$F110:$H110)</f>
        <v>80.115000000000009</v>
      </c>
      <c r="AG385" s="92">
        <f>SUM('NASS Data'!$F122:$H122)</f>
        <v>81.13</v>
      </c>
      <c r="AH385" s="123">
        <f t="shared" si="239"/>
        <v>84.548855283278328</v>
      </c>
      <c r="AI385" s="123">
        <f t="shared" si="240"/>
        <v>83.936649235288456</v>
      </c>
      <c r="AJ385" s="123">
        <f t="shared" si="241"/>
        <v>83.343604786351207</v>
      </c>
      <c r="AK385" s="123">
        <f t="shared" si="241"/>
        <v>82.204342527513234</v>
      </c>
      <c r="AL385" s="123">
        <f t="shared" si="241"/>
        <v>82.349996098313696</v>
      </c>
      <c r="AM385" s="123">
        <f t="shared" si="241"/>
        <v>82.164051390239493</v>
      </c>
      <c r="AN385" s="123">
        <f t="shared" si="241"/>
        <v>81.603447895977155</v>
      </c>
      <c r="AO385" s="123">
        <f t="shared" si="241"/>
        <v>81.053299598647669</v>
      </c>
      <c r="AP385" s="123">
        <f t="shared" si="241"/>
        <v>80.595730197417325</v>
      </c>
      <c r="AQ385" s="123">
        <f t="shared" si="241"/>
        <v>80.27236307220096</v>
      </c>
      <c r="AR385" s="123">
        <f t="shared" si="241"/>
        <v>79.856655613566573</v>
      </c>
      <c r="AS385" s="123">
        <f t="shared" si="241"/>
        <v>79.395723096584746</v>
      </c>
      <c r="AT385" s="123">
        <f t="shared" si="241"/>
        <v>78.954412491497024</v>
      </c>
      <c r="AU385" s="123">
        <f t="shared" si="241"/>
        <v>78.534522719479199</v>
      </c>
      <c r="AV385" s="123">
        <f t="shared" si="241"/>
        <v>78.122046118042064</v>
      </c>
      <c r="AW385" s="123">
        <f t="shared" si="241"/>
        <v>77.692034083382566</v>
      </c>
      <c r="AX385" s="123">
        <f t="shared" si="241"/>
        <v>75.551822517489626</v>
      </c>
      <c r="AY385" s="123">
        <f t="shared" si="241"/>
        <v>74.270847200659645</v>
      </c>
      <c r="AZ385" s="123">
        <f t="shared" si="242"/>
        <v>73.419398771019047</v>
      </c>
      <c r="BA385" s="123">
        <f t="shared" si="242"/>
        <v>72.140190460259248</v>
      </c>
      <c r="BB385" s="123">
        <f t="shared" si="242"/>
        <v>70.858504168703064</v>
      </c>
      <c r="BC385" s="123">
        <f t="shared" si="242"/>
        <v>69.577207911719441</v>
      </c>
      <c r="BD385" s="123">
        <f t="shared" si="242"/>
        <v>68.296900191916663</v>
      </c>
      <c r="BE385" s="123">
        <f t="shared" si="242"/>
        <v>67.01671763381681</v>
      </c>
      <c r="BF385" s="123">
        <f t="shared" si="242"/>
        <v>65.736179308500553</v>
      </c>
    </row>
    <row r="386" spans="1:58">
      <c r="A386" s="69" t="s">
        <v>39</v>
      </c>
      <c r="X386" s="92">
        <f>SUM('NASS Data'!$F15:$H15)</f>
        <v>92.637</v>
      </c>
      <c r="Y386" s="92">
        <f>SUM('NASS Data'!$F27:$H27)</f>
        <v>95.669999999999987</v>
      </c>
      <c r="Z386" s="92">
        <f>SUM('NASS Data'!$F39:$H39)</f>
        <v>92.682000000000002</v>
      </c>
      <c r="AA386" s="92">
        <f>SUM('NASS Data'!$F51:$H51)</f>
        <v>87.371999999999986</v>
      </c>
      <c r="AB386" s="92">
        <f>SUM('NASS Data'!$F63:$H63)</f>
        <v>89.813999999999993</v>
      </c>
      <c r="AC386" s="92">
        <f>SUM('NASS Data'!$F75:$H75)</f>
        <v>87.677000000000007</v>
      </c>
      <c r="AD386" s="92">
        <f>SUM('NASS Data'!$F87:$H87)</f>
        <v>84.813999999999993</v>
      </c>
      <c r="AE386" s="92">
        <f>SUM('NASS Data'!$F99:$H99)</f>
        <v>80.475999999999999</v>
      </c>
      <c r="AF386" s="92">
        <f>SUM('NASS Data'!$F111:$H111)</f>
        <v>80.23</v>
      </c>
      <c r="AG386" s="92">
        <f>SUM('NASS Data'!$F123:$H123)</f>
        <v>84.128999999999991</v>
      </c>
      <c r="AH386" s="123">
        <f t="shared" si="239"/>
        <v>82.877312322103748</v>
      </c>
      <c r="AI386" s="123">
        <f t="shared" si="240"/>
        <v>82.417164854972683</v>
      </c>
      <c r="AJ386" s="123">
        <f t="shared" si="241"/>
        <v>82.3104278106903</v>
      </c>
      <c r="AK386" s="123">
        <f t="shared" si="241"/>
        <v>81.983404894515118</v>
      </c>
      <c r="AL386" s="123">
        <f t="shared" si="241"/>
        <v>82.063145742323101</v>
      </c>
      <c r="AM386" s="123">
        <f t="shared" si="241"/>
        <v>81.230297512768914</v>
      </c>
      <c r="AN386" s="123">
        <f t="shared" si="241"/>
        <v>80.816148808789052</v>
      </c>
      <c r="AO386" s="123">
        <f t="shared" si="241"/>
        <v>80.411037001167301</v>
      </c>
      <c r="AP386" s="123">
        <f t="shared" si="241"/>
        <v>80.030481685789056</v>
      </c>
      <c r="AQ386" s="123">
        <f t="shared" si="241"/>
        <v>79.639380964562761</v>
      </c>
      <c r="AR386" s="123">
        <f t="shared" si="241"/>
        <v>79.15559336522675</v>
      </c>
      <c r="AS386" s="123">
        <f t="shared" si="241"/>
        <v>78.740519978359245</v>
      </c>
      <c r="AT386" s="123">
        <f t="shared" si="241"/>
        <v>78.325263195845167</v>
      </c>
      <c r="AU386" s="123">
        <f t="shared" si="241"/>
        <v>77.908008567828972</v>
      </c>
      <c r="AV386" s="123">
        <f t="shared" si="241"/>
        <v>77.48353138832644</v>
      </c>
      <c r="AW386" s="123">
        <f t="shared" si="241"/>
        <v>77.052487353726207</v>
      </c>
      <c r="AX386" s="123">
        <f t="shared" si="241"/>
        <v>74.938300495307843</v>
      </c>
      <c r="AY386" s="123">
        <f t="shared" si="241"/>
        <v>73.669726491964894</v>
      </c>
      <c r="AZ386" s="123">
        <f t="shared" si="242"/>
        <v>72.823281487900601</v>
      </c>
      <c r="BA386" s="123">
        <f t="shared" si="242"/>
        <v>71.552340427602701</v>
      </c>
      <c r="BB386" s="123">
        <f t="shared" si="242"/>
        <v>70.281462950319664</v>
      </c>
      <c r="BC386" s="123">
        <f t="shared" si="242"/>
        <v>69.011903533863176</v>
      </c>
      <c r="BD386" s="123">
        <f t="shared" si="242"/>
        <v>67.741936472350901</v>
      </c>
      <c r="BE386" s="123">
        <f t="shared" si="242"/>
        <v>66.471705066156417</v>
      </c>
      <c r="BF386" s="123">
        <f t="shared" si="242"/>
        <v>65.201398357478652</v>
      </c>
    </row>
    <row r="387" spans="1:58">
      <c r="A387" s="69" t="s">
        <v>40</v>
      </c>
      <c r="X387" s="92">
        <f>SUM('NASS Data'!$F16:$H16)</f>
        <v>98.266999999999996</v>
      </c>
      <c r="Y387" s="92">
        <f>SUM('NASS Data'!$F28:$H28)</f>
        <v>98.483999999999995</v>
      </c>
      <c r="Z387" s="92">
        <f>SUM('NASS Data'!$F40:$H40)</f>
        <v>95.881</v>
      </c>
      <c r="AA387" s="92">
        <f>SUM('NASS Data'!$F52:$H52)</f>
        <v>91.615000000000009</v>
      </c>
      <c r="AB387" s="92">
        <f>SUM('NASS Data'!$F64:$H64)</f>
        <v>95.462000000000003</v>
      </c>
      <c r="AC387" s="92">
        <f>SUM('NASS Data'!$F76:$H76)</f>
        <v>87.782000000000011</v>
      </c>
      <c r="AD387" s="92">
        <f>SUM('NASS Data'!$F88:$H88)</f>
        <v>87.429000000000002</v>
      </c>
      <c r="AE387" s="92">
        <f>SUM('NASS Data'!$F100:$H100)</f>
        <v>78.256</v>
      </c>
      <c r="AF387" s="92">
        <f>SUM('NASS Data'!$F112:$H112)</f>
        <v>82.462999999999994</v>
      </c>
      <c r="AG387" s="92">
        <f>SUM('NASS Data'!$F124:$H124)</f>
        <v>82.519000000000005</v>
      </c>
      <c r="AH387" s="123">
        <f>AH$396*(SUM(AC387:AG387)/SUM(AC$396:AG$396))</f>
        <v>83.100330350546074</v>
      </c>
      <c r="AI387" s="123">
        <f t="shared" si="240"/>
        <v>82.665103433393028</v>
      </c>
      <c r="AJ387" s="123">
        <f t="shared" si="241"/>
        <v>82.08443792559234</v>
      </c>
      <c r="AK387" s="123">
        <f t="shared" si="241"/>
        <v>82.156135724386047</v>
      </c>
      <c r="AL387" s="123">
        <f t="shared" si="241"/>
        <v>81.826645873325873</v>
      </c>
      <c r="AM387" s="123">
        <f t="shared" si="241"/>
        <v>81.266052862272076</v>
      </c>
      <c r="AN387" s="123">
        <f t="shared" si="241"/>
        <v>80.814953334802027</v>
      </c>
      <c r="AO387" s="123">
        <f t="shared" si="241"/>
        <v>80.360790556343929</v>
      </c>
      <c r="AP387" s="123">
        <f t="shared" si="241"/>
        <v>80.014838862878705</v>
      </c>
      <c r="AQ387" s="123">
        <f t="shared" si="241"/>
        <v>79.58665646078434</v>
      </c>
      <c r="AR387" s="123">
        <f t="shared" si="241"/>
        <v>79.139048019383338</v>
      </c>
      <c r="AS387" s="123">
        <f t="shared" si="241"/>
        <v>78.713681931809276</v>
      </c>
      <c r="AT387" s="123">
        <f t="shared" si="241"/>
        <v>78.293380775289265</v>
      </c>
      <c r="AU387" s="123">
        <f t="shared" si="241"/>
        <v>77.879742794894824</v>
      </c>
      <c r="AV387" s="123">
        <f t="shared" si="241"/>
        <v>77.452784222296202</v>
      </c>
      <c r="AW387" s="123">
        <f t="shared" si="241"/>
        <v>77.02606710199835</v>
      </c>
      <c r="AX387" s="123">
        <f t="shared" si="241"/>
        <v>74.910566585057566</v>
      </c>
      <c r="AY387" s="123">
        <f t="shared" si="241"/>
        <v>73.642022192578807</v>
      </c>
      <c r="AZ387" s="123">
        <f t="shared" si="242"/>
        <v>72.796359398060019</v>
      </c>
      <c r="BA387" s="123">
        <f t="shared" si="242"/>
        <v>71.525786166101881</v>
      </c>
      <c r="BB387" s="123">
        <f t="shared" si="242"/>
        <v>70.255758626624981</v>
      </c>
      <c r="BC387" s="123">
        <f t="shared" si="242"/>
        <v>68.986329083744749</v>
      </c>
      <c r="BD387" s="123">
        <f t="shared" si="242"/>
        <v>67.716825680968796</v>
      </c>
      <c r="BE387" s="123">
        <f t="shared" si="242"/>
        <v>66.447140067486217</v>
      </c>
      <c r="BF387" s="123">
        <f t="shared" si="242"/>
        <v>65.177304665323561</v>
      </c>
    </row>
    <row r="388" spans="1:58">
      <c r="A388" s="69" t="s">
        <v>30</v>
      </c>
      <c r="W388" s="92">
        <f>SUM('NASS Data'!$F5:$H5)</f>
        <v>97.598000000000013</v>
      </c>
      <c r="X388" s="92">
        <f>SUM('NASS Data'!$F17:$H17)</f>
        <v>93.844000000000008</v>
      </c>
      <c r="Y388" s="92">
        <f>SUM('NASS Data'!$F29:$H29)</f>
        <v>100.423</v>
      </c>
      <c r="Z388" s="92">
        <f>SUM('NASS Data'!$F41:$H41)</f>
        <v>91.677999999999997</v>
      </c>
      <c r="AA388" s="92">
        <f>SUM('NASS Data'!$F53:$H53)</f>
        <v>84.296999999999997</v>
      </c>
      <c r="AB388" s="92">
        <f>SUM('NASS Data'!$F65:$H65)</f>
        <v>94.137</v>
      </c>
      <c r="AC388" s="92">
        <f>SUM('NASS Data'!$F77:$H77)</f>
        <v>87.88300000000001</v>
      </c>
      <c r="AD388" s="92">
        <f>SUM('NASS Data'!$F89:$H89)</f>
        <v>84.781999999999996</v>
      </c>
      <c r="AE388" s="92">
        <f>SUM('NASS Data'!$F101:$H101)</f>
        <v>81.491</v>
      </c>
      <c r="AF388" s="92">
        <f>SUM('NASS Data'!$F113:$H113)</f>
        <v>72.744</v>
      </c>
      <c r="AG388" s="123">
        <f t="shared" ref="AG388:AH394" si="243">AG$396*(SUM(AB388:AF388)/SUM(AB$396:AF$396))</f>
        <v>80.45611090131878</v>
      </c>
      <c r="AH388" s="123">
        <f t="shared" si="243"/>
        <v>80.897379098081885</v>
      </c>
      <c r="AI388" s="123">
        <f t="shared" si="240"/>
        <v>79.988596343358026</v>
      </c>
      <c r="AJ388" s="123">
        <f t="shared" si="241"/>
        <v>79.389853743482021</v>
      </c>
      <c r="AK388" s="123">
        <f t="shared" si="241"/>
        <v>78.304183744685517</v>
      </c>
      <c r="AL388" s="123">
        <f t="shared" si="241"/>
        <v>79.15105025628857</v>
      </c>
      <c r="AM388" s="123">
        <f t="shared" si="241"/>
        <v>78.483416373784209</v>
      </c>
      <c r="AN388" s="123">
        <f t="shared" si="241"/>
        <v>77.921120937219072</v>
      </c>
      <c r="AO388" s="123">
        <f t="shared" si="241"/>
        <v>77.427387316618962</v>
      </c>
      <c r="AP388" s="123">
        <f t="shared" si="241"/>
        <v>77.034659355004905</v>
      </c>
      <c r="AQ388" s="123">
        <f t="shared" si="241"/>
        <v>76.778340562215888</v>
      </c>
      <c r="AR388" s="123">
        <f t="shared" si="241"/>
        <v>76.304843041984896</v>
      </c>
      <c r="AS388" s="123">
        <f t="shared" si="241"/>
        <v>75.869567540345102</v>
      </c>
      <c r="AT388" s="123">
        <f t="shared" si="241"/>
        <v>75.459295314884471</v>
      </c>
      <c r="AU388" s="123">
        <f t="shared" si="241"/>
        <v>75.065447989150897</v>
      </c>
      <c r="AV388" s="123">
        <f t="shared" si="241"/>
        <v>74.671377939882106</v>
      </c>
      <c r="AW388" s="123">
        <f t="shared" si="241"/>
        <v>74.250201937704915</v>
      </c>
      <c r="AX388" s="123">
        <f t="shared" si="241"/>
        <v>72.207513758465481</v>
      </c>
      <c r="AY388" s="123">
        <f t="shared" si="241"/>
        <v>70.9854748930574</v>
      </c>
      <c r="AZ388" s="123">
        <f t="shared" si="242"/>
        <v>70.172180934600945</v>
      </c>
      <c r="BA388" s="123">
        <f t="shared" si="242"/>
        <v>68.948716958746772</v>
      </c>
      <c r="BB388" s="123">
        <f t="shared" si="242"/>
        <v>67.722698727811817</v>
      </c>
      <c r="BC388" s="123">
        <f t="shared" si="242"/>
        <v>66.498791840847602</v>
      </c>
      <c r="BD388" s="123">
        <f t="shared" si="242"/>
        <v>65.275424332713655</v>
      </c>
      <c r="BE388" s="123">
        <f t="shared" si="242"/>
        <v>64.051803143097786</v>
      </c>
      <c r="BF388" s="123">
        <f t="shared" si="242"/>
        <v>62.827736184657077</v>
      </c>
    </row>
    <row r="389" spans="1:58">
      <c r="A389" s="69" t="s">
        <v>31</v>
      </c>
      <c r="W389" s="92">
        <f>SUM('NASS Data'!$F6:$H6)</f>
        <v>84.426000000000002</v>
      </c>
      <c r="X389" s="92">
        <f>SUM('NASS Data'!$F18:$H18)</f>
        <v>90.265999999999991</v>
      </c>
      <c r="Y389" s="92">
        <f>SUM('NASS Data'!$F30:$H30)</f>
        <v>87.296999999999997</v>
      </c>
      <c r="Z389" s="92">
        <f>SUM('NASS Data'!$F42:$H42)</f>
        <v>86.099000000000004</v>
      </c>
      <c r="AA389" s="92">
        <f>SUM('NASS Data'!$F54:$H54)</f>
        <v>79.063000000000002</v>
      </c>
      <c r="AB389" s="92">
        <f>SUM('NASS Data'!$F66:$H66)</f>
        <v>88.41</v>
      </c>
      <c r="AC389" s="92">
        <f>SUM('NASS Data'!$F78:$H78)</f>
        <v>70.968999999999994</v>
      </c>
      <c r="AD389" s="92">
        <f>SUM('NASS Data'!$F90:$H90)</f>
        <v>73.203999999999994</v>
      </c>
      <c r="AE389" s="92">
        <f>SUM('NASS Data'!$F102:$H102)</f>
        <v>74.814999999999998</v>
      </c>
      <c r="AF389" s="92">
        <f>SUM('NASS Data'!$F114:$H114)</f>
        <v>79.884999999999991</v>
      </c>
      <c r="AG389" s="123">
        <f t="shared" si="243"/>
        <v>74.006046970207919</v>
      </c>
      <c r="AH389" s="123">
        <f t="shared" si="243"/>
        <v>74.050534196571292</v>
      </c>
      <c r="AI389" s="123">
        <f t="shared" si="240"/>
        <v>75.11182746762583</v>
      </c>
      <c r="AJ389" s="123">
        <f t="shared" si="241"/>
        <v>75.835832588580018</v>
      </c>
      <c r="AK389" s="123">
        <f t="shared" si="241"/>
        <v>75.401339042754259</v>
      </c>
      <c r="AL389" s="123">
        <f t="shared" si="241"/>
        <v>74.265443978712938</v>
      </c>
      <c r="AM389" s="123">
        <f t="shared" si="241"/>
        <v>73.931835186695707</v>
      </c>
      <c r="AN389" s="123">
        <f t="shared" si="241"/>
        <v>73.826975385443163</v>
      </c>
      <c r="AO389" s="123">
        <f t="shared" si="241"/>
        <v>73.4918870203268</v>
      </c>
      <c r="AP389" s="123">
        <f t="shared" si="241"/>
        <v>73.024378995868034</v>
      </c>
      <c r="AQ389" s="123">
        <f t="shared" si="241"/>
        <v>72.550385200633258</v>
      </c>
      <c r="AR389" s="123">
        <f t="shared" si="241"/>
        <v>72.206696162670355</v>
      </c>
      <c r="AS389" s="123">
        <f t="shared" si="241"/>
        <v>71.861015909290089</v>
      </c>
      <c r="AT389" s="123">
        <f t="shared" si="241"/>
        <v>71.467933200453061</v>
      </c>
      <c r="AU389" s="123">
        <f t="shared" si="241"/>
        <v>71.063438868749017</v>
      </c>
      <c r="AV389" s="123">
        <f t="shared" si="241"/>
        <v>70.671347193063028</v>
      </c>
      <c r="AW389" s="123">
        <f t="shared" si="241"/>
        <v>70.295371354409781</v>
      </c>
      <c r="AX389" s="123">
        <f t="shared" si="241"/>
        <v>68.368002016408482</v>
      </c>
      <c r="AY389" s="123">
        <f t="shared" si="241"/>
        <v>67.206037451324363</v>
      </c>
      <c r="AZ389" s="123">
        <f t="shared" si="242"/>
        <v>66.431024293378002</v>
      </c>
      <c r="BA389" s="123">
        <f t="shared" si="242"/>
        <v>65.272782894313778</v>
      </c>
      <c r="BB389" s="123">
        <f t="shared" si="242"/>
        <v>64.115737059076096</v>
      </c>
      <c r="BC389" s="123">
        <f t="shared" si="242"/>
        <v>62.957056113593957</v>
      </c>
      <c r="BD389" s="123">
        <f t="shared" si="242"/>
        <v>61.7976564571917</v>
      </c>
      <c r="BE389" s="123">
        <f t="shared" si="242"/>
        <v>60.638744964284221</v>
      </c>
      <c r="BF389" s="123">
        <f t="shared" si="242"/>
        <v>59.480275500886876</v>
      </c>
    </row>
    <row r="390" spans="1:58">
      <c r="A390" s="69" t="s">
        <v>32</v>
      </c>
      <c r="W390" s="92">
        <f>SUM('NASS Data'!$F7:$H7)</f>
        <v>97.11099999999999</v>
      </c>
      <c r="X390" s="92">
        <f>SUM('NASS Data'!$F19:$H19)</f>
        <v>97.724999999999994</v>
      </c>
      <c r="Y390" s="92">
        <f>SUM('NASS Data'!$F31:$H31)</f>
        <v>98.141999999999996</v>
      </c>
      <c r="Z390" s="92">
        <f>SUM('NASS Data'!$F43:$H43)</f>
        <v>94.484999999999999</v>
      </c>
      <c r="AA390" s="92">
        <f>SUM('NASS Data'!$F55:$H55)</f>
        <v>88.85499999999999</v>
      </c>
      <c r="AB390" s="92">
        <f>SUM('NASS Data'!$F67:$H67)</f>
        <v>90.992999999999995</v>
      </c>
      <c r="AC390" s="92">
        <f>SUM('NASS Data'!$F79:$H79)</f>
        <v>85.135999999999996</v>
      </c>
      <c r="AD390" s="92">
        <f>SUM('NASS Data'!$F91:$H91)</f>
        <v>85.521000000000001</v>
      </c>
      <c r="AE390" s="92">
        <f>SUM('NASS Data'!$F103:$H103)</f>
        <v>83.536000000000001</v>
      </c>
      <c r="AF390" s="92">
        <f>SUM('NASS Data'!$F115:$H115)</f>
        <v>84.980999999999995</v>
      </c>
      <c r="AG390" s="123">
        <f t="shared" si="243"/>
        <v>82.20076586639081</v>
      </c>
      <c r="AH390" s="123">
        <f t="shared" si="243"/>
        <v>83.681361993650555</v>
      </c>
      <c r="AI390" s="123">
        <f t="shared" si="240"/>
        <v>83.894348966374693</v>
      </c>
      <c r="AJ390" s="123">
        <f t="shared" si="241"/>
        <v>83.948891615849419</v>
      </c>
      <c r="AK390" s="123">
        <f t="shared" si="241"/>
        <v>83.325197475574029</v>
      </c>
      <c r="AL390" s="123">
        <f t="shared" si="241"/>
        <v>82.724315747320688</v>
      </c>
      <c r="AM390" s="123">
        <f t="shared" si="241"/>
        <v>82.399003323087072</v>
      </c>
      <c r="AN390" s="123">
        <f t="shared" si="241"/>
        <v>82.055444387499833</v>
      </c>
      <c r="AO390" s="123">
        <f t="shared" si="241"/>
        <v>81.602116045982285</v>
      </c>
      <c r="AP390" s="123">
        <f t="shared" si="241"/>
        <v>81.133383905331954</v>
      </c>
      <c r="AQ390" s="123">
        <f t="shared" si="241"/>
        <v>80.695163896265655</v>
      </c>
      <c r="AR390" s="123">
        <f t="shared" si="241"/>
        <v>80.288964064607583</v>
      </c>
      <c r="AS390" s="123">
        <f t="shared" si="241"/>
        <v>79.86683962724004</v>
      </c>
      <c r="AT390" s="123">
        <f t="shared" si="241"/>
        <v>79.429251590206476</v>
      </c>
      <c r="AU390" s="123">
        <f t="shared" si="241"/>
        <v>78.994762531969968</v>
      </c>
      <c r="AV390" s="123">
        <f t="shared" si="241"/>
        <v>78.567012530089272</v>
      </c>
      <c r="AW390" s="123">
        <f t="shared" si="241"/>
        <v>78.141322294733655</v>
      </c>
      <c r="AX390" s="123">
        <f t="shared" si="241"/>
        <v>75.994409106130831</v>
      </c>
      <c r="AY390" s="123">
        <f t="shared" si="241"/>
        <v>74.704781450323452</v>
      </c>
      <c r="AZ390" s="123">
        <f t="shared" si="242"/>
        <v>73.845770578976115</v>
      </c>
      <c r="BA390" s="123">
        <f t="shared" si="242"/>
        <v>72.558341235678839</v>
      </c>
      <c r="BB390" s="123">
        <f t="shared" si="242"/>
        <v>71.270718185961002</v>
      </c>
      <c r="BC390" s="123">
        <f t="shared" si="242"/>
        <v>69.982477098837364</v>
      </c>
      <c r="BD390" s="123">
        <f t="shared" si="242"/>
        <v>68.694234796166214</v>
      </c>
      <c r="BE390" s="123">
        <f t="shared" si="242"/>
        <v>67.406255515195497</v>
      </c>
      <c r="BF390" s="123">
        <f t="shared" si="242"/>
        <v>66.118346174359743</v>
      </c>
    </row>
    <row r="391" spans="1:58">
      <c r="A391" s="69" t="s">
        <v>33</v>
      </c>
      <c r="W391" s="92">
        <f>SUM('NASS Data'!$F8:$H8)</f>
        <v>94.153999999999996</v>
      </c>
      <c r="X391" s="92">
        <f>SUM('NASS Data'!$F20:$H20)</f>
        <v>92.100000000000009</v>
      </c>
      <c r="Y391" s="92">
        <f>SUM('NASS Data'!$F32:$H32)</f>
        <v>99.141999999999996</v>
      </c>
      <c r="Z391" s="92">
        <f>SUM('NASS Data'!$F44:$H44)</f>
        <v>89.480999999999995</v>
      </c>
      <c r="AA391" s="92">
        <f>SUM('NASS Data'!$F56:$H56)</f>
        <v>89.738</v>
      </c>
      <c r="AB391" s="92">
        <f>SUM('NASS Data'!$F68:$H68)</f>
        <v>80.919000000000011</v>
      </c>
      <c r="AC391" s="92">
        <f>SUM('NASS Data'!$F80:$H80)</f>
        <v>87.337999999999994</v>
      </c>
      <c r="AD391" s="92">
        <f>SUM('NASS Data'!$F92:$H92)</f>
        <v>81.658999999999992</v>
      </c>
      <c r="AE391" s="92">
        <f>SUM('NASS Data'!$F104:$H104)</f>
        <v>78.659000000000006</v>
      </c>
      <c r="AF391" s="92">
        <f>SUM('NASS Data'!$F116:$H116)</f>
        <v>77.706999999999994</v>
      </c>
      <c r="AG391" s="123">
        <f t="shared" si="243"/>
        <v>77.636572674633328</v>
      </c>
      <c r="AH391" s="123">
        <f t="shared" si="243"/>
        <v>80.032208513799603</v>
      </c>
      <c r="AI391" s="123">
        <f t="shared" si="240"/>
        <v>79.05425332198179</v>
      </c>
      <c r="AJ391" s="123">
        <f t="shared" si="241"/>
        <v>78.890517260415763</v>
      </c>
      <c r="AK391" s="123">
        <f t="shared" si="241"/>
        <v>78.273260493828062</v>
      </c>
      <c r="AL391" s="123">
        <f t="shared" si="241"/>
        <v>78.129655464623951</v>
      </c>
      <c r="AM391" s="123">
        <f t="shared" si="241"/>
        <v>77.822137564740629</v>
      </c>
      <c r="AN391" s="123">
        <f t="shared" si="241"/>
        <v>77.300759963021378</v>
      </c>
      <c r="AO391" s="123">
        <f t="shared" si="241"/>
        <v>76.869536623688774</v>
      </c>
      <c r="AP391" s="123">
        <f t="shared" si="241"/>
        <v>76.4653345528871</v>
      </c>
      <c r="AQ391" s="123">
        <f t="shared" si="241"/>
        <v>76.103074077240649</v>
      </c>
      <c r="AR391" s="123">
        <f t="shared" si="241"/>
        <v>75.697765894900201</v>
      </c>
      <c r="AS391" s="123">
        <f t="shared" si="241"/>
        <v>75.273210187072266</v>
      </c>
      <c r="AT391" s="123">
        <f t="shared" si="241"/>
        <v>74.867713241618034</v>
      </c>
      <c r="AU391" s="123">
        <f t="shared" si="241"/>
        <v>74.467279169501779</v>
      </c>
      <c r="AV391" s="123">
        <f t="shared" si="241"/>
        <v>74.067585796097788</v>
      </c>
      <c r="AW391" s="123">
        <f t="shared" si="241"/>
        <v>73.660526357440659</v>
      </c>
      <c r="AX391" s="123">
        <f t="shared" si="241"/>
        <v>71.634269251148169</v>
      </c>
      <c r="AY391" s="123">
        <f t="shared" si="241"/>
        <v>70.420793681613958</v>
      </c>
      <c r="AZ391" s="123">
        <f t="shared" si="242"/>
        <v>69.612309035553352</v>
      </c>
      <c r="BA391" s="123">
        <f t="shared" si="242"/>
        <v>68.398464883551043</v>
      </c>
      <c r="BB391" s="123">
        <f t="shared" si="242"/>
        <v>67.183725735406156</v>
      </c>
      <c r="BC391" s="123">
        <f t="shared" si="242"/>
        <v>65.969322496183494</v>
      </c>
      <c r="BD391" s="123">
        <f t="shared" si="242"/>
        <v>64.755377408968357</v>
      </c>
      <c r="BE391" s="123">
        <f t="shared" si="242"/>
        <v>63.541342567309627</v>
      </c>
      <c r="BF391" s="123">
        <f t="shared" si="242"/>
        <v>62.327150792734336</v>
      </c>
    </row>
    <row r="392" spans="1:58">
      <c r="A392" s="69" t="s">
        <v>14</v>
      </c>
      <c r="W392" s="92">
        <f>SUM('NASS Data'!$F9:$H9)</f>
        <v>101.047</v>
      </c>
      <c r="X392" s="92">
        <f>SUM('NASS Data'!$F21:$H21)</f>
        <v>96.688000000000002</v>
      </c>
      <c r="Y392" s="92">
        <f>SUM('NASS Data'!$F33:$H33)</f>
        <v>99.875</v>
      </c>
      <c r="Z392" s="92">
        <f>SUM('NASS Data'!$F45:$H45)</f>
        <v>91.114000000000004</v>
      </c>
      <c r="AA392" s="92">
        <f>SUM('NASS Data'!$F57:$H57)</f>
        <v>93.796999999999997</v>
      </c>
      <c r="AB392" s="92">
        <f>SUM('NASS Data'!$F69:$H69)</f>
        <v>94.216000000000008</v>
      </c>
      <c r="AC392" s="92">
        <f>SUM('NASS Data'!$F81:$H81)</f>
        <v>88.165999999999997</v>
      </c>
      <c r="AD392" s="92">
        <f>SUM('NASS Data'!$F93:$H93)</f>
        <v>86.475999999999999</v>
      </c>
      <c r="AE392" s="92">
        <f>SUM('NASS Data'!$F105:$H105)</f>
        <v>81.626999999999995</v>
      </c>
      <c r="AF392" s="92">
        <f>SUM('NASS Data'!$F117:$H117)</f>
        <v>85.83</v>
      </c>
      <c r="AG392" s="123">
        <f t="shared" si="243"/>
        <v>83.375589385039561</v>
      </c>
      <c r="AH392" s="123">
        <f t="shared" si="243"/>
        <v>84.495551270667946</v>
      </c>
      <c r="AI392" s="123">
        <f t="shared" si="240"/>
        <v>84.270749182630595</v>
      </c>
      <c r="AJ392" s="123">
        <f t="shared" si="241"/>
        <v>84.210879864586175</v>
      </c>
      <c r="AK392" s="123">
        <f t="shared" si="241"/>
        <v>84.017023163887316</v>
      </c>
      <c r="AL392" s="123">
        <f t="shared" si="241"/>
        <v>83.382703004413813</v>
      </c>
      <c r="AM392" s="123">
        <f t="shared" si="241"/>
        <v>82.952071989052087</v>
      </c>
      <c r="AN392" s="123">
        <f t="shared" si="241"/>
        <v>82.556434051674771</v>
      </c>
      <c r="AO392" s="123">
        <f t="shared" si="241"/>
        <v>82.127079061126111</v>
      </c>
      <c r="AP392" s="123">
        <f t="shared" si="241"/>
        <v>81.710076906311585</v>
      </c>
      <c r="AQ392" s="123">
        <f t="shared" si="241"/>
        <v>81.249144107188201</v>
      </c>
      <c r="AR392" s="123">
        <f t="shared" si="241"/>
        <v>80.82234604586418</v>
      </c>
      <c r="AS392" s="123">
        <f t="shared" si="241"/>
        <v>80.396301494203882</v>
      </c>
      <c r="AT392" s="123">
        <f t="shared" si="241"/>
        <v>79.964271605019562</v>
      </c>
      <c r="AU392" s="123">
        <f t="shared" si="241"/>
        <v>79.531715282545548</v>
      </c>
      <c r="AV392" s="123">
        <f t="shared" si="241"/>
        <v>79.096098356851954</v>
      </c>
      <c r="AW392" s="123">
        <f t="shared" si="241"/>
        <v>78.665463099217618</v>
      </c>
      <c r="AX392" s="123">
        <f t="shared" si="241"/>
        <v>76.505142849236336</v>
      </c>
      <c r="AY392" s="123">
        <f t="shared" si="241"/>
        <v>75.208241786563732</v>
      </c>
      <c r="AZ392" s="123">
        <f t="shared" si="242"/>
        <v>74.343495284888235</v>
      </c>
      <c r="BA392" s="123">
        <f t="shared" si="242"/>
        <v>73.046527694450546</v>
      </c>
      <c r="BB392" s="123">
        <f t="shared" si="242"/>
        <v>71.750151645976175</v>
      </c>
      <c r="BC392" s="123">
        <f t="shared" si="242"/>
        <v>70.453531654500878</v>
      </c>
      <c r="BD392" s="123">
        <f t="shared" si="242"/>
        <v>69.156767405948742</v>
      </c>
      <c r="BE392" s="123">
        <f t="shared" si="242"/>
        <v>67.860029359837398</v>
      </c>
      <c r="BF392" s="123">
        <f t="shared" si="242"/>
        <v>66.563336435766786</v>
      </c>
    </row>
    <row r="393" spans="1:58">
      <c r="A393" s="69" t="s">
        <v>34</v>
      </c>
      <c r="W393" s="92">
        <f>SUM('NASS Data'!$F10:$H10)</f>
        <v>95.275999999999996</v>
      </c>
      <c r="X393" s="92">
        <f>SUM('NASS Data'!$F22:$H22)</f>
        <v>92.700000000000017</v>
      </c>
      <c r="Y393" s="92">
        <f>SUM('NASS Data'!$F34:$H34)</f>
        <v>96.492999999999995</v>
      </c>
      <c r="Z393" s="92">
        <f>SUM('NASS Data'!$F46:$H46)</f>
        <v>92.906000000000006</v>
      </c>
      <c r="AA393" s="92">
        <f>SUM('NASS Data'!$F58:$H58)</f>
        <v>90.15100000000001</v>
      </c>
      <c r="AB393" s="92">
        <f>SUM('NASS Data'!$F70:$H70)</f>
        <v>90.572000000000003</v>
      </c>
      <c r="AC393" s="92">
        <f>SUM('NASS Data'!$F82:$H82)</f>
        <v>87.42</v>
      </c>
      <c r="AD393" s="92">
        <f>SUM('NASS Data'!$F94:$H94)</f>
        <v>83.073000000000008</v>
      </c>
      <c r="AE393" s="92">
        <f>SUM('NASS Data'!$F106:$H106)</f>
        <v>79.442999999999998</v>
      </c>
      <c r="AF393" s="92">
        <f>SUM('NASS Data'!$F118:$H118)</f>
        <v>84.617999999999995</v>
      </c>
      <c r="AG393" s="123">
        <f t="shared" si="243"/>
        <v>81.237479373627593</v>
      </c>
      <c r="AH393" s="123">
        <f t="shared" si="243"/>
        <v>82.572569878027466</v>
      </c>
      <c r="AI393" s="123">
        <f t="shared" si="240"/>
        <v>82.101050143193333</v>
      </c>
      <c r="AJ393" s="123">
        <f t="shared" si="241"/>
        <v>82.278843071470277</v>
      </c>
      <c r="AK393" s="123">
        <f t="shared" si="241"/>
        <v>82.151373654672213</v>
      </c>
      <c r="AL393" s="123">
        <f t="shared" si="241"/>
        <v>81.393498470042388</v>
      </c>
      <c r="AM393" s="123">
        <f t="shared" si="241"/>
        <v>81.002557411862171</v>
      </c>
      <c r="AN393" s="123">
        <f t="shared" si="241"/>
        <v>80.603837611441591</v>
      </c>
      <c r="AO393" s="123">
        <f t="shared" si="241"/>
        <v>80.219399939588428</v>
      </c>
      <c r="AP393" s="123">
        <f t="shared" si="241"/>
        <v>79.807350082872574</v>
      </c>
      <c r="AQ393" s="123">
        <f t="shared" si="241"/>
        <v>79.339276419865698</v>
      </c>
      <c r="AR393" s="123">
        <f t="shared" si="241"/>
        <v>78.928255593760952</v>
      </c>
      <c r="AS393" s="123">
        <f t="shared" si="241"/>
        <v>78.513280692529563</v>
      </c>
      <c r="AT393" s="123">
        <f t="shared" si="241"/>
        <v>78.095105430632117</v>
      </c>
      <c r="AU393" s="123">
        <f t="shared" si="241"/>
        <v>77.67029021648942</v>
      </c>
      <c r="AV393" s="123">
        <f t="shared" si="241"/>
        <v>77.242963579193358</v>
      </c>
      <c r="AW393" s="123">
        <f t="shared" si="241"/>
        <v>76.823655117074793</v>
      </c>
      <c r="AX393" s="123">
        <f t="shared" si="241"/>
        <v>74.714257849301859</v>
      </c>
      <c r="AY393" s="123">
        <f t="shared" si="241"/>
        <v>73.447915874345043</v>
      </c>
      <c r="AZ393" s="123">
        <f t="shared" si="242"/>
        <v>72.602935792735067</v>
      </c>
      <c r="BA393" s="123">
        <f t="shared" si="242"/>
        <v>71.336218544975083</v>
      </c>
      <c r="BB393" s="123">
        <f t="shared" si="242"/>
        <v>70.070420146017952</v>
      </c>
      <c r="BC393" s="123">
        <f t="shared" si="242"/>
        <v>68.804189927508318</v>
      </c>
      <c r="BD393" s="123">
        <f t="shared" si="242"/>
        <v>67.537759295844822</v>
      </c>
      <c r="BE393" s="123">
        <f t="shared" si="242"/>
        <v>66.271312315676823</v>
      </c>
      <c r="BF393" s="123">
        <f t="shared" si="242"/>
        <v>65.00498728272828</v>
      </c>
    </row>
    <row r="394" spans="1:58">
      <c r="A394" s="69" t="s">
        <v>35</v>
      </c>
      <c r="W394" s="92">
        <f>SUM('NASS Data'!$F11:$H11)</f>
        <v>97.323000000000008</v>
      </c>
      <c r="X394" s="92">
        <f>SUM('NASS Data'!$F23:$H23)</f>
        <v>98.253999999999991</v>
      </c>
      <c r="Y394" s="92">
        <f>SUM('NASS Data'!$F35:$H35)</f>
        <v>93.731999999999999</v>
      </c>
      <c r="Z394" s="92">
        <f>SUM('NASS Data'!$F47:$H47)</f>
        <v>94.49199999999999</v>
      </c>
      <c r="AA394" s="92">
        <f>SUM('NASS Data'!$F59:$H59)</f>
        <v>95.140999999999991</v>
      </c>
      <c r="AB394" s="92">
        <f>SUM('NASS Data'!$F71:$H71)</f>
        <v>94.69</v>
      </c>
      <c r="AC394" s="92">
        <f>SUM('NASS Data'!$F83:$H83)</f>
        <v>87.094999999999999</v>
      </c>
      <c r="AD394" s="92">
        <f>SUM('NASS Data'!$F95:$H95)</f>
        <v>82.781000000000006</v>
      </c>
      <c r="AE394" s="92">
        <f>SUM('NASS Data'!$F107:$H107)</f>
        <v>81.829000000000008</v>
      </c>
      <c r="AF394" s="92">
        <f>SUM('NASS Data'!$F119:$H119)</f>
        <v>86.405000000000001</v>
      </c>
      <c r="AG394" s="123">
        <f t="shared" si="243"/>
        <v>82.703906778004708</v>
      </c>
      <c r="AH394" s="123">
        <f t="shared" si="243"/>
        <v>83.56998025889915</v>
      </c>
      <c r="AI394" s="123">
        <f t="shared" si="240"/>
        <v>83.368662719907249</v>
      </c>
      <c r="AJ394" s="123">
        <f t="shared" si="241"/>
        <v>83.865216953639703</v>
      </c>
      <c r="AK394" s="123">
        <f t="shared" si="241"/>
        <v>83.565278309082046</v>
      </c>
      <c r="AL394" s="123">
        <f t="shared" si="241"/>
        <v>82.728774603052258</v>
      </c>
      <c r="AM394" s="123">
        <f t="shared" si="241"/>
        <v>82.305035217018954</v>
      </c>
      <c r="AN394" s="123">
        <f t="shared" si="241"/>
        <v>81.965012229427998</v>
      </c>
      <c r="AO394" s="123">
        <f t="shared" si="241"/>
        <v>81.597482165100502</v>
      </c>
      <c r="AP394" s="123">
        <f t="shared" si="241"/>
        <v>81.144311559349859</v>
      </c>
      <c r="AQ394" s="123">
        <f t="shared" si="241"/>
        <v>80.660979859164939</v>
      </c>
      <c r="AR394" s="123">
        <f t="shared" si="241"/>
        <v>80.247176350128044</v>
      </c>
      <c r="AS394" s="123">
        <f t="shared" si="241"/>
        <v>79.835325886084505</v>
      </c>
      <c r="AT394" s="123">
        <f t="shared" si="241"/>
        <v>79.409336198583148</v>
      </c>
      <c r="AU394" s="123">
        <f t="shared" si="241"/>
        <v>78.971841596801198</v>
      </c>
      <c r="AV394" s="123">
        <f t="shared" si="241"/>
        <v>78.537433075278955</v>
      </c>
      <c r="AW394" s="123">
        <f t="shared" si="241"/>
        <v>78.112651443731252</v>
      </c>
      <c r="AX394" s="123">
        <f t="shared" si="241"/>
        <v>75.968897947266072</v>
      </c>
      <c r="AY394" s="123">
        <f t="shared" si="241"/>
        <v>74.680601411118502</v>
      </c>
      <c r="AZ394" s="123">
        <f t="shared" si="242"/>
        <v>73.820761312846329</v>
      </c>
      <c r="BA394" s="123">
        <f t="shared" si="242"/>
        <v>72.533038667962543</v>
      </c>
      <c r="BB394" s="123">
        <f t="shared" si="242"/>
        <v>71.246278981653901</v>
      </c>
      <c r="BC394" s="123">
        <f t="shared" si="242"/>
        <v>69.958835974706446</v>
      </c>
      <c r="BD394" s="123">
        <f t="shared" si="242"/>
        <v>68.670998359864981</v>
      </c>
      <c r="BE394" s="123">
        <f t="shared" si="242"/>
        <v>67.383248659800444</v>
      </c>
      <c r="BF394" s="123">
        <f t="shared" si="242"/>
        <v>66.09574196217693</v>
      </c>
    </row>
    <row r="395" spans="1:58">
      <c r="A395" s="69" t="s">
        <v>36</v>
      </c>
      <c r="W395" s="92">
        <f>SUM('NASS Data'!$F12:$H12)</f>
        <v>96.341999999999999</v>
      </c>
      <c r="X395" s="92">
        <f>SUM('NASS Data'!$F24:$H24)</f>
        <v>96.431000000000012</v>
      </c>
      <c r="Y395" s="92">
        <f>SUM('NASS Data'!$F36:$H36)</f>
        <v>107.328</v>
      </c>
      <c r="Z395" s="92">
        <f>SUM('NASS Data'!$F48:$H48)</f>
        <v>94.414000000000001</v>
      </c>
      <c r="AA395" s="92">
        <f>SUM('NASS Data'!$F60:$H60)</f>
        <v>93.718999999999994</v>
      </c>
      <c r="AB395" s="92">
        <f>SUM('NASS Data'!$F72:$H72)</f>
        <v>87.462999999999994</v>
      </c>
      <c r="AC395" s="92">
        <f>SUM('NASS Data'!$F84:$H84)</f>
        <v>89.716000000000008</v>
      </c>
      <c r="AD395" s="92">
        <f>SUM('NASS Data'!$F96:$H96)</f>
        <v>76.424000000000007</v>
      </c>
      <c r="AE395" s="92">
        <f>SUM('NASS Data'!$F108:$H108)</f>
        <v>78.141000000000005</v>
      </c>
      <c r="AF395" s="92">
        <f>SUM('NASS Data'!$F120:$H120)</f>
        <v>87.363</v>
      </c>
      <c r="AG395" s="123">
        <f>AG396-SUM(AG384:AG394)</f>
        <v>71.541528050777288</v>
      </c>
      <c r="AH395" s="123">
        <f>AH396-SUM(AH384:AH394)</f>
        <v>80.069137633448577</v>
      </c>
      <c r="AI395" s="123">
        <f t="shared" ref="AI395:BF395" si="244">AI396-SUM(AI384:AI394)</f>
        <v>78.62369045971991</v>
      </c>
      <c r="AJ395" s="123">
        <f t="shared" si="244"/>
        <v>79.422219586629922</v>
      </c>
      <c r="AK395" s="123">
        <f t="shared" si="244"/>
        <v>79.009389497691473</v>
      </c>
      <c r="AL395" s="123">
        <f t="shared" si="244"/>
        <v>77.094071211773553</v>
      </c>
      <c r="AM395" s="123">
        <f t="shared" si="244"/>
        <v>77.790291480717883</v>
      </c>
      <c r="AN395" s="123">
        <f t="shared" si="244"/>
        <v>77.255392659626182</v>
      </c>
      <c r="AO395" s="123">
        <f t="shared" si="244"/>
        <v>76.900061391630516</v>
      </c>
      <c r="AP395" s="123">
        <f t="shared" si="244"/>
        <v>76.397187478783621</v>
      </c>
      <c r="AQ395" s="123">
        <f t="shared" si="244"/>
        <v>75.876603972603107</v>
      </c>
      <c r="AR395" s="123">
        <f t="shared" si="244"/>
        <v>75.630582543040532</v>
      </c>
      <c r="AS395" s="123">
        <f t="shared" si="244"/>
        <v>75.199077266134736</v>
      </c>
      <c r="AT395" s="123">
        <f t="shared" si="244"/>
        <v>74.787925362399619</v>
      </c>
      <c r="AU395" s="123">
        <f t="shared" si="244"/>
        <v>74.36578962419776</v>
      </c>
      <c r="AV395" s="123">
        <f t="shared" si="244"/>
        <v>73.959544209261026</v>
      </c>
      <c r="AW395" s="123">
        <f t="shared" si="244"/>
        <v>73.575795955584908</v>
      </c>
      <c r="AX395" s="123">
        <f t="shared" si="244"/>
        <v>71.548042867294726</v>
      </c>
      <c r="AY395" s="123">
        <f t="shared" si="244"/>
        <v>70.332881509616186</v>
      </c>
      <c r="AZ395" s="123">
        <f t="shared" si="244"/>
        <v>69.522792573938091</v>
      </c>
      <c r="BA395" s="123">
        <f t="shared" si="244"/>
        <v>68.311599833955484</v>
      </c>
      <c r="BB395" s="123">
        <f t="shared" si="244"/>
        <v>67.101058026206715</v>
      </c>
      <c r="BC395" s="123">
        <f t="shared" si="244"/>
        <v>65.887026916310901</v>
      </c>
      <c r="BD395" s="123">
        <f t="shared" si="244"/>
        <v>64.674001679626144</v>
      </c>
      <c r="BE395" s="123">
        <f t="shared" si="244"/>
        <v>63.461382177970904</v>
      </c>
      <c r="BF395" s="123">
        <f t="shared" si="244"/>
        <v>62.249080453554257</v>
      </c>
    </row>
    <row r="396" spans="1:58">
      <c r="X396" s="92">
        <f>SUM(X384:X395)</f>
        <v>1134.357</v>
      </c>
      <c r="Y396" s="92">
        <f t="shared" ref="Y396:AF396" si="245">SUM(Y384:Y395)</f>
        <v>1167.6469999999999</v>
      </c>
      <c r="Z396" s="92">
        <f t="shared" si="245"/>
        <v>1118.3980000000001</v>
      </c>
      <c r="AA396" s="92">
        <f t="shared" si="245"/>
        <v>1071.5719999999999</v>
      </c>
      <c r="AB396" s="92">
        <f t="shared" si="245"/>
        <v>1080.2089999999998</v>
      </c>
      <c r="AC396" s="92">
        <f t="shared" si="245"/>
        <v>1034.547</v>
      </c>
      <c r="AD396" s="92">
        <f t="shared" si="245"/>
        <v>997.06299999999987</v>
      </c>
      <c r="AE396" s="92">
        <f t="shared" si="245"/>
        <v>958.93</v>
      </c>
      <c r="AF396" s="92">
        <f t="shared" si="245"/>
        <v>979.21800000000007</v>
      </c>
      <c r="AG396" s="123">
        <f>MROUND(FORECAST(AG44,AB396:AF396,AB44:AF44),5)</f>
        <v>965</v>
      </c>
      <c r="AH396" s="123">
        <f>MROUND(FORECAST(AH44,AC396:AG396,AC44:AG44),5)</f>
        <v>980</v>
      </c>
      <c r="AI396" s="123">
        <f t="shared" ref="AI396:BF396" si="246">MROUND(FORECAST(AI44,AD396:AH396,AD44:AH44),5)</f>
        <v>975</v>
      </c>
      <c r="AJ396" s="123">
        <f t="shared" si="246"/>
        <v>975</v>
      </c>
      <c r="AK396" s="123">
        <f t="shared" si="246"/>
        <v>970</v>
      </c>
      <c r="AL396" s="123">
        <f t="shared" si="246"/>
        <v>965</v>
      </c>
      <c r="AM396" s="123">
        <f t="shared" si="246"/>
        <v>960</v>
      </c>
      <c r="AN396" s="123">
        <f t="shared" si="246"/>
        <v>955</v>
      </c>
      <c r="AO396" s="123">
        <f t="shared" si="246"/>
        <v>950</v>
      </c>
      <c r="AP396" s="123">
        <f t="shared" si="246"/>
        <v>945</v>
      </c>
      <c r="AQ396" s="123">
        <f t="shared" si="246"/>
        <v>940</v>
      </c>
      <c r="AR396" s="123">
        <f t="shared" si="246"/>
        <v>935</v>
      </c>
      <c r="AS396" s="123">
        <f t="shared" si="246"/>
        <v>930</v>
      </c>
      <c r="AT396" s="123">
        <f t="shared" si="246"/>
        <v>925</v>
      </c>
      <c r="AU396" s="123">
        <f t="shared" si="246"/>
        <v>920</v>
      </c>
      <c r="AV396" s="123">
        <f t="shared" si="246"/>
        <v>915</v>
      </c>
      <c r="AW396" s="123">
        <f t="shared" si="246"/>
        <v>910</v>
      </c>
      <c r="AX396" s="123">
        <f t="shared" si="246"/>
        <v>885</v>
      </c>
      <c r="AY396" s="123">
        <f t="shared" si="246"/>
        <v>870</v>
      </c>
      <c r="AZ396" s="123">
        <f t="shared" si="246"/>
        <v>860</v>
      </c>
      <c r="BA396" s="123">
        <f t="shared" si="246"/>
        <v>845</v>
      </c>
      <c r="BB396" s="123">
        <f t="shared" si="246"/>
        <v>830</v>
      </c>
      <c r="BC396" s="123">
        <f t="shared" si="246"/>
        <v>815</v>
      </c>
      <c r="BD396" s="123">
        <f t="shared" si="246"/>
        <v>800</v>
      </c>
      <c r="BE396" s="123">
        <f t="shared" si="246"/>
        <v>785</v>
      </c>
      <c r="BF396" s="123">
        <f t="shared" si="246"/>
        <v>770</v>
      </c>
    </row>
  </sheetData>
  <mergeCells count="5">
    <mergeCell ref="BW111:BW112"/>
    <mergeCell ref="BX111:BY111"/>
    <mergeCell ref="BW127:BW128"/>
    <mergeCell ref="BX127:BY127"/>
    <mergeCell ref="BX143:BY14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1D21-090E-4656-B51F-A10655AE58FB}">
  <dimension ref="A1:AK557"/>
  <sheetViews>
    <sheetView zoomScaleNormal="100" workbookViewId="0">
      <pane xSplit="1" ySplit="5" topLeftCell="B535" activePane="bottomRight" state="frozen"/>
      <selection activeCell="J39" sqref="J39"/>
      <selection pane="topRight" activeCell="J39" sqref="J39"/>
      <selection pane="bottomLeft" activeCell="J39" sqref="J39"/>
      <selection pane="bottomRight" activeCell="B543" sqref="B543"/>
    </sheetView>
  </sheetViews>
  <sheetFormatPr defaultColWidth="9.140625" defaultRowHeight="15"/>
  <cols>
    <col min="1" max="1" width="15.42578125" style="125" customWidth="1"/>
    <col min="2" max="4" width="13.42578125" style="141" customWidth="1"/>
    <col min="5" max="5" width="13.42578125" style="126" customWidth="1"/>
    <col min="6" max="25" width="13.42578125" style="141" customWidth="1"/>
    <col min="26" max="26" width="9.140625" style="141"/>
    <col min="27" max="28" width="12.7109375" style="125" customWidth="1"/>
    <col min="29" max="29" width="9.140625" style="125"/>
    <col min="30" max="31" width="13.7109375" style="125" customWidth="1"/>
    <col min="32" max="33" width="9.140625" style="125"/>
    <col min="34" max="35" width="13.7109375" style="125" customWidth="1"/>
    <col min="36" max="16384" width="9.140625" style="125"/>
  </cols>
  <sheetData>
    <row r="1" spans="1:37" ht="23.25">
      <c r="A1" s="124" t="s">
        <v>189</v>
      </c>
      <c r="B1" s="125"/>
      <c r="C1" s="125"/>
      <c r="D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37" s="128" customFormat="1" ht="114.75">
      <c r="A2" s="127"/>
      <c r="B2" s="128" t="s">
        <v>190</v>
      </c>
      <c r="C2" s="128" t="s">
        <v>191</v>
      </c>
      <c r="D2" s="128" t="s">
        <v>192</v>
      </c>
      <c r="E2" s="128" t="s">
        <v>193</v>
      </c>
      <c r="F2" s="128" t="s">
        <v>194</v>
      </c>
      <c r="G2" s="128" t="s">
        <v>195</v>
      </c>
      <c r="H2" s="128" t="s">
        <v>196</v>
      </c>
      <c r="I2" s="128" t="s">
        <v>197</v>
      </c>
      <c r="J2" s="128" t="s">
        <v>198</v>
      </c>
      <c r="K2" s="128" t="s">
        <v>199</v>
      </c>
      <c r="L2" s="128" t="s">
        <v>200</v>
      </c>
      <c r="M2" s="128" t="s">
        <v>201</v>
      </c>
      <c r="N2" s="128" t="s">
        <v>202</v>
      </c>
      <c r="O2" s="128" t="s">
        <v>203</v>
      </c>
      <c r="P2" s="128" t="s">
        <v>204</v>
      </c>
      <c r="Q2" s="128" t="s">
        <v>205</v>
      </c>
      <c r="R2" s="128" t="s">
        <v>206</v>
      </c>
      <c r="S2" s="128" t="s">
        <v>207</v>
      </c>
      <c r="T2" s="128" t="s">
        <v>208</v>
      </c>
      <c r="U2" s="128" t="s">
        <v>209</v>
      </c>
      <c r="V2" s="128" t="s">
        <v>210</v>
      </c>
      <c r="W2" s="128" t="s">
        <v>211</v>
      </c>
      <c r="X2" s="128" t="s">
        <v>212</v>
      </c>
      <c r="Y2" s="128" t="s">
        <v>213</v>
      </c>
      <c r="AA2" s="128" t="s">
        <v>214</v>
      </c>
      <c r="AB2" s="128" t="s">
        <v>215</v>
      </c>
      <c r="AD2" s="128" t="s">
        <v>216</v>
      </c>
      <c r="AE2" s="128" t="s">
        <v>217</v>
      </c>
      <c r="AH2" s="128" t="s">
        <v>218</v>
      </c>
      <c r="AI2" s="128" t="s">
        <v>219</v>
      </c>
    </row>
    <row r="3" spans="1:37" s="131" customFormat="1" ht="12">
      <c r="A3" s="129" t="s">
        <v>220</v>
      </c>
      <c r="B3" s="130"/>
      <c r="C3" s="130"/>
      <c r="D3" s="130"/>
      <c r="E3" s="79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</row>
    <row r="4" spans="1:37" s="135" customFormat="1" ht="22.5">
      <c r="A4" s="132" t="s">
        <v>221</v>
      </c>
      <c r="B4" s="133" t="s">
        <v>146</v>
      </c>
      <c r="C4" s="133" t="s">
        <v>222</v>
      </c>
      <c r="D4" s="133"/>
      <c r="E4" s="133" t="s">
        <v>223</v>
      </c>
      <c r="F4" s="133" t="s">
        <v>224</v>
      </c>
      <c r="G4" s="134" t="s">
        <v>225</v>
      </c>
      <c r="H4" s="134"/>
      <c r="I4" s="133" t="s">
        <v>226</v>
      </c>
      <c r="J4" s="130"/>
      <c r="K4" s="133" t="s">
        <v>227</v>
      </c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</row>
    <row r="5" spans="1:37" s="137" customFormat="1" ht="33.75">
      <c r="A5" s="136" t="s">
        <v>228</v>
      </c>
      <c r="B5" s="137" t="s">
        <v>229</v>
      </c>
      <c r="C5" s="137" t="s">
        <v>230</v>
      </c>
      <c r="D5" s="137" t="s">
        <v>231</v>
      </c>
      <c r="E5" s="138" t="s">
        <v>232</v>
      </c>
      <c r="F5" s="137" t="s">
        <v>233</v>
      </c>
      <c r="G5" s="137" t="s">
        <v>234</v>
      </c>
      <c r="I5" s="137" t="s">
        <v>235</v>
      </c>
      <c r="K5" s="137" t="s">
        <v>236</v>
      </c>
    </row>
    <row r="6" spans="1:37" s="140" customFormat="1" ht="12">
      <c r="A6" s="139">
        <v>29587</v>
      </c>
      <c r="B6" s="76">
        <v>168</v>
      </c>
      <c r="C6" s="76"/>
      <c r="D6" s="76"/>
      <c r="E6" s="76"/>
      <c r="F6" s="76"/>
      <c r="G6" s="76"/>
      <c r="H6" s="76"/>
      <c r="I6" s="76"/>
      <c r="J6" s="76"/>
      <c r="K6" s="76">
        <v>199366</v>
      </c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76">
        <f t="shared" ref="W6:W69" si="0">B6/(A7-A6)</f>
        <v>5.419354838709677</v>
      </c>
      <c r="X6" s="69"/>
      <c r="Y6" s="76">
        <f t="shared" ref="Y6:Y69" si="1">W6*350*42/1000</f>
        <v>79.664516129032251</v>
      </c>
      <c r="Z6" s="69"/>
      <c r="AA6" s="76"/>
      <c r="AB6" s="69"/>
      <c r="AC6" s="69"/>
      <c r="AD6" s="69"/>
      <c r="AE6" s="69"/>
      <c r="AF6" s="69"/>
      <c r="AG6" s="69"/>
      <c r="AH6" s="69"/>
      <c r="AI6" s="69"/>
      <c r="AJ6" s="69"/>
      <c r="AK6" s="69"/>
    </row>
    <row r="7" spans="1:37" s="140" customFormat="1" ht="12">
      <c r="A7" s="139">
        <v>29618</v>
      </c>
      <c r="B7" s="76">
        <v>152</v>
      </c>
      <c r="C7" s="76"/>
      <c r="D7" s="76"/>
      <c r="E7" s="76"/>
      <c r="F7" s="76"/>
      <c r="G7" s="76"/>
      <c r="H7" s="76"/>
      <c r="I7" s="76"/>
      <c r="J7" s="76"/>
      <c r="K7" s="76">
        <v>176416</v>
      </c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76">
        <f t="shared" si="0"/>
        <v>5.4285714285714288</v>
      </c>
      <c r="X7" s="69"/>
      <c r="Y7" s="76">
        <f t="shared" si="1"/>
        <v>79.8</v>
      </c>
      <c r="Z7" s="69"/>
      <c r="AA7" s="76"/>
      <c r="AB7" s="69"/>
      <c r="AC7" s="69"/>
      <c r="AD7" s="69"/>
      <c r="AE7" s="69"/>
      <c r="AF7" s="69"/>
      <c r="AG7" s="69"/>
      <c r="AH7" s="69"/>
      <c r="AI7" s="69"/>
      <c r="AJ7" s="69"/>
      <c r="AK7" s="69"/>
    </row>
    <row r="8" spans="1:37" s="140" customFormat="1" ht="12">
      <c r="A8" s="139">
        <v>29646</v>
      </c>
      <c r="B8" s="76">
        <v>168</v>
      </c>
      <c r="C8" s="76"/>
      <c r="D8" s="76"/>
      <c r="E8" s="76"/>
      <c r="F8" s="76"/>
      <c r="G8" s="76"/>
      <c r="H8" s="76"/>
      <c r="I8" s="76"/>
      <c r="J8" s="76"/>
      <c r="K8" s="76">
        <v>195382</v>
      </c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76">
        <f t="shared" si="0"/>
        <v>5.419354838709677</v>
      </c>
      <c r="X8" s="69"/>
      <c r="Y8" s="76">
        <f t="shared" si="1"/>
        <v>79.664516129032251</v>
      </c>
      <c r="Z8" s="69"/>
      <c r="AA8" s="76"/>
      <c r="AB8" s="69"/>
      <c r="AC8" s="69"/>
      <c r="AD8" s="69"/>
      <c r="AE8" s="69"/>
      <c r="AF8" s="69"/>
      <c r="AG8" s="69"/>
      <c r="AH8" s="69"/>
      <c r="AI8" s="69"/>
      <c r="AJ8" s="69"/>
      <c r="AK8" s="69"/>
    </row>
    <row r="9" spans="1:37" s="140" customFormat="1" ht="12">
      <c r="A9" s="139">
        <v>29677</v>
      </c>
      <c r="B9" s="76">
        <v>163</v>
      </c>
      <c r="C9" s="76"/>
      <c r="D9" s="76"/>
      <c r="E9" s="76"/>
      <c r="F9" s="76"/>
      <c r="G9" s="76"/>
      <c r="H9" s="76"/>
      <c r="I9" s="76"/>
      <c r="J9" s="76"/>
      <c r="K9" s="76">
        <v>198068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6">
        <f t="shared" si="0"/>
        <v>5.4333333333333336</v>
      </c>
      <c r="X9" s="69"/>
      <c r="Y9" s="76">
        <f t="shared" si="1"/>
        <v>79.87</v>
      </c>
      <c r="Z9" s="69"/>
      <c r="AA9" s="76"/>
      <c r="AB9" s="69"/>
      <c r="AC9" s="69"/>
      <c r="AD9" s="69"/>
      <c r="AE9" s="69"/>
      <c r="AF9" s="69"/>
      <c r="AG9" s="69"/>
      <c r="AH9" s="69"/>
      <c r="AI9" s="69"/>
      <c r="AJ9" s="69"/>
      <c r="AK9" s="69"/>
    </row>
    <row r="10" spans="1:37" s="140" customFormat="1" ht="12">
      <c r="A10" s="139">
        <v>29707</v>
      </c>
      <c r="B10" s="76">
        <v>168</v>
      </c>
      <c r="C10" s="76"/>
      <c r="D10" s="76"/>
      <c r="E10" s="76"/>
      <c r="F10" s="76"/>
      <c r="G10" s="76"/>
      <c r="H10" s="76"/>
      <c r="I10" s="76"/>
      <c r="J10" s="76"/>
      <c r="K10" s="76">
        <v>205061</v>
      </c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6">
        <f t="shared" si="0"/>
        <v>5.419354838709677</v>
      </c>
      <c r="X10" s="69"/>
      <c r="Y10" s="76">
        <f t="shared" si="1"/>
        <v>79.664516129032251</v>
      </c>
      <c r="Z10" s="69"/>
      <c r="AA10" s="76"/>
      <c r="AB10" s="69"/>
      <c r="AC10" s="69"/>
      <c r="AD10" s="69"/>
      <c r="AE10" s="69"/>
      <c r="AF10" s="69"/>
      <c r="AG10" s="69"/>
      <c r="AH10" s="69"/>
      <c r="AI10" s="69"/>
      <c r="AJ10" s="69"/>
      <c r="AK10" s="69"/>
    </row>
    <row r="11" spans="1:37" s="140" customFormat="1" ht="12">
      <c r="A11" s="139">
        <v>29738</v>
      </c>
      <c r="B11" s="76">
        <v>163</v>
      </c>
      <c r="C11" s="76"/>
      <c r="D11" s="76"/>
      <c r="E11" s="76"/>
      <c r="F11" s="76"/>
      <c r="G11" s="76"/>
      <c r="H11" s="76"/>
      <c r="I11" s="76"/>
      <c r="J11" s="76"/>
      <c r="K11" s="76">
        <v>210834</v>
      </c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6">
        <f t="shared" si="0"/>
        <v>5.4333333333333336</v>
      </c>
      <c r="X11" s="69"/>
      <c r="Y11" s="76">
        <f t="shared" si="1"/>
        <v>79.87</v>
      </c>
      <c r="Z11" s="69"/>
      <c r="AA11" s="76"/>
      <c r="AB11" s="69"/>
      <c r="AC11" s="69"/>
      <c r="AD11" s="69"/>
      <c r="AE11" s="69"/>
      <c r="AF11" s="69"/>
      <c r="AG11" s="69"/>
      <c r="AH11" s="69"/>
      <c r="AI11" s="69"/>
      <c r="AJ11" s="69"/>
      <c r="AK11" s="69"/>
    </row>
    <row r="12" spans="1:37" s="140" customFormat="1" ht="12">
      <c r="A12" s="139">
        <v>29768</v>
      </c>
      <c r="B12" s="76">
        <v>168</v>
      </c>
      <c r="C12" s="76"/>
      <c r="D12" s="76"/>
      <c r="E12" s="76"/>
      <c r="F12" s="76"/>
      <c r="G12" s="76"/>
      <c r="H12" s="76"/>
      <c r="I12" s="76"/>
      <c r="J12" s="76"/>
      <c r="K12" s="76">
        <v>211513</v>
      </c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6">
        <f t="shared" si="0"/>
        <v>5.419354838709677</v>
      </c>
      <c r="X12" s="69"/>
      <c r="Y12" s="76">
        <f t="shared" si="1"/>
        <v>79.664516129032251</v>
      </c>
      <c r="Z12" s="69"/>
      <c r="AA12" s="76"/>
      <c r="AB12" s="69"/>
      <c r="AC12" s="69"/>
      <c r="AD12" s="69"/>
      <c r="AE12" s="69"/>
      <c r="AF12" s="69"/>
      <c r="AG12" s="69"/>
      <c r="AH12" s="69"/>
      <c r="AI12" s="69"/>
      <c r="AJ12" s="69"/>
      <c r="AK12" s="69"/>
    </row>
    <row r="13" spans="1:37" s="140" customFormat="1" ht="12">
      <c r="A13" s="139">
        <v>29799</v>
      </c>
      <c r="B13" s="76">
        <v>168</v>
      </c>
      <c r="C13" s="76"/>
      <c r="D13" s="76"/>
      <c r="E13" s="76"/>
      <c r="F13" s="76"/>
      <c r="G13" s="76"/>
      <c r="H13" s="76"/>
      <c r="I13" s="76"/>
      <c r="J13" s="76"/>
      <c r="K13" s="76">
        <v>205741</v>
      </c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6">
        <f t="shared" si="0"/>
        <v>5.419354838709677</v>
      </c>
      <c r="X13" s="69"/>
      <c r="Y13" s="76">
        <f t="shared" si="1"/>
        <v>79.664516129032251</v>
      </c>
      <c r="Z13" s="69"/>
      <c r="AA13" s="76"/>
      <c r="AB13" s="69"/>
      <c r="AC13" s="69"/>
      <c r="AD13" s="69"/>
      <c r="AE13" s="69"/>
      <c r="AF13" s="69"/>
      <c r="AG13" s="69"/>
      <c r="AH13" s="69"/>
      <c r="AI13" s="69"/>
      <c r="AJ13" s="69"/>
      <c r="AK13" s="69"/>
    </row>
    <row r="14" spans="1:37" s="140" customFormat="1" ht="12">
      <c r="A14" s="139">
        <v>29830</v>
      </c>
      <c r="B14" s="76">
        <v>163</v>
      </c>
      <c r="C14" s="76"/>
      <c r="D14" s="76"/>
      <c r="E14" s="76"/>
      <c r="F14" s="76"/>
      <c r="G14" s="76"/>
      <c r="H14" s="76"/>
      <c r="I14" s="76"/>
      <c r="J14" s="76"/>
      <c r="K14" s="76">
        <v>199859</v>
      </c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6">
        <f t="shared" si="0"/>
        <v>5.4333333333333336</v>
      </c>
      <c r="X14" s="69"/>
      <c r="Y14" s="76">
        <f t="shared" si="1"/>
        <v>79.87</v>
      </c>
      <c r="Z14" s="69"/>
      <c r="AA14" s="76"/>
      <c r="AB14" s="69"/>
      <c r="AC14" s="69"/>
      <c r="AD14" s="69"/>
      <c r="AE14" s="69"/>
      <c r="AF14" s="69"/>
      <c r="AG14" s="69"/>
      <c r="AH14" s="69"/>
      <c r="AI14" s="69"/>
      <c r="AJ14" s="69"/>
      <c r="AK14" s="69"/>
    </row>
    <row r="15" spans="1:37" s="140" customFormat="1" ht="12">
      <c r="A15" s="139">
        <v>29860</v>
      </c>
      <c r="B15" s="76">
        <v>168</v>
      </c>
      <c r="C15" s="76"/>
      <c r="D15" s="76"/>
      <c r="E15" s="76"/>
      <c r="F15" s="76"/>
      <c r="G15" s="76"/>
      <c r="H15" s="76"/>
      <c r="I15" s="76"/>
      <c r="J15" s="76"/>
      <c r="K15" s="76">
        <v>203909</v>
      </c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6">
        <f t="shared" si="0"/>
        <v>5.419354838709677</v>
      </c>
      <c r="X15" s="69"/>
      <c r="Y15" s="76">
        <f t="shared" si="1"/>
        <v>79.664516129032251</v>
      </c>
      <c r="Z15" s="69"/>
      <c r="AA15" s="76"/>
      <c r="AB15" s="69"/>
      <c r="AC15" s="69"/>
      <c r="AD15" s="69"/>
      <c r="AE15" s="69"/>
      <c r="AF15" s="69"/>
      <c r="AG15" s="69"/>
      <c r="AH15" s="69"/>
      <c r="AI15" s="69"/>
      <c r="AJ15" s="69"/>
      <c r="AK15" s="69"/>
    </row>
    <row r="16" spans="1:37" s="140" customFormat="1" ht="12">
      <c r="A16" s="139">
        <v>29891</v>
      </c>
      <c r="B16" s="76">
        <v>163</v>
      </c>
      <c r="C16" s="76"/>
      <c r="D16" s="76"/>
      <c r="E16" s="76"/>
      <c r="F16" s="76"/>
      <c r="G16" s="76"/>
      <c r="H16" s="76"/>
      <c r="I16" s="76"/>
      <c r="J16" s="76"/>
      <c r="K16" s="76">
        <v>191184</v>
      </c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6">
        <f t="shared" si="0"/>
        <v>5.4333333333333336</v>
      </c>
      <c r="X16" s="69"/>
      <c r="Y16" s="76">
        <f t="shared" si="1"/>
        <v>79.87</v>
      </c>
      <c r="Z16" s="69"/>
      <c r="AA16" s="76"/>
      <c r="AB16" s="69"/>
      <c r="AC16" s="69"/>
      <c r="AD16" s="69"/>
      <c r="AE16" s="69"/>
      <c r="AF16" s="69"/>
      <c r="AG16" s="69"/>
      <c r="AH16" s="69"/>
      <c r="AI16" s="69"/>
      <c r="AJ16" s="69"/>
      <c r="AK16" s="69"/>
    </row>
    <row r="17" spans="1:37" s="140" customFormat="1" ht="12">
      <c r="A17" s="139">
        <v>29921</v>
      </c>
      <c r="B17" s="76">
        <v>168</v>
      </c>
      <c r="C17" s="76"/>
      <c r="D17" s="76"/>
      <c r="E17" s="76"/>
      <c r="F17" s="76"/>
      <c r="G17" s="76"/>
      <c r="H17" s="76"/>
      <c r="I17" s="76"/>
      <c r="J17" s="76"/>
      <c r="K17" s="76">
        <v>207115</v>
      </c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76">
        <f t="shared" si="0"/>
        <v>5.419354838709677</v>
      </c>
      <c r="X17" s="69"/>
      <c r="Y17" s="76">
        <f t="shared" si="1"/>
        <v>79.664516129032251</v>
      </c>
      <c r="Z17" s="69"/>
      <c r="AA17" s="76"/>
      <c r="AB17" s="69"/>
      <c r="AC17" s="69"/>
      <c r="AD17" s="69"/>
      <c r="AE17" s="69"/>
      <c r="AF17" s="69"/>
      <c r="AG17" s="69"/>
      <c r="AH17" s="69"/>
      <c r="AI17" s="69"/>
      <c r="AJ17" s="69"/>
      <c r="AK17" s="69"/>
    </row>
    <row r="18" spans="1:37" s="140" customFormat="1" ht="12">
      <c r="A18" s="139">
        <v>29952</v>
      </c>
      <c r="B18" s="76">
        <v>456</v>
      </c>
      <c r="C18" s="76"/>
      <c r="D18" s="76"/>
      <c r="E18" s="76"/>
      <c r="F18" s="76"/>
      <c r="G18" s="76"/>
      <c r="H18" s="76"/>
      <c r="I18" s="76"/>
      <c r="J18" s="76"/>
      <c r="K18" s="76">
        <v>184779</v>
      </c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76">
        <f t="shared" si="0"/>
        <v>14.709677419354838</v>
      </c>
      <c r="X18" s="69"/>
      <c r="Y18" s="76">
        <f t="shared" si="1"/>
        <v>216.23225806451612</v>
      </c>
      <c r="Z18" s="69"/>
      <c r="AA18" s="76"/>
      <c r="AB18" s="69"/>
      <c r="AC18" s="69"/>
      <c r="AD18" s="69"/>
      <c r="AE18" s="69"/>
      <c r="AF18" s="69"/>
      <c r="AG18" s="69"/>
      <c r="AH18" s="69"/>
      <c r="AI18" s="69"/>
      <c r="AJ18" s="69"/>
      <c r="AK18" s="69"/>
    </row>
    <row r="19" spans="1:37" s="140" customFormat="1" ht="12">
      <c r="A19" s="139">
        <v>29983</v>
      </c>
      <c r="B19" s="76">
        <v>412</v>
      </c>
      <c r="C19" s="76"/>
      <c r="D19" s="76"/>
      <c r="E19" s="76"/>
      <c r="F19" s="76"/>
      <c r="G19" s="76"/>
      <c r="H19" s="76"/>
      <c r="I19" s="76"/>
      <c r="J19" s="76"/>
      <c r="K19" s="76">
        <v>173483</v>
      </c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76">
        <f t="shared" si="0"/>
        <v>14.714285714285714</v>
      </c>
      <c r="X19" s="69"/>
      <c r="Y19" s="76">
        <f t="shared" si="1"/>
        <v>216.3</v>
      </c>
      <c r="Z19" s="69"/>
      <c r="AA19" s="76"/>
      <c r="AB19" s="69"/>
      <c r="AC19" s="69"/>
      <c r="AD19" s="69"/>
      <c r="AE19" s="69"/>
      <c r="AF19" s="69"/>
      <c r="AG19" s="69"/>
      <c r="AH19" s="69"/>
      <c r="AI19" s="69"/>
      <c r="AJ19" s="69"/>
      <c r="AK19" s="69"/>
    </row>
    <row r="20" spans="1:37" s="140" customFormat="1" ht="12">
      <c r="A20" s="139">
        <v>30011</v>
      </c>
      <c r="B20" s="76">
        <v>456</v>
      </c>
      <c r="C20" s="76"/>
      <c r="D20" s="76"/>
      <c r="E20" s="76"/>
      <c r="F20" s="76"/>
      <c r="G20" s="76"/>
      <c r="H20" s="76"/>
      <c r="I20" s="76"/>
      <c r="J20" s="76"/>
      <c r="K20" s="76">
        <v>200459</v>
      </c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76">
        <f t="shared" si="0"/>
        <v>14.709677419354838</v>
      </c>
      <c r="X20" s="69"/>
      <c r="Y20" s="76">
        <f t="shared" si="1"/>
        <v>216.23225806451612</v>
      </c>
      <c r="Z20" s="69"/>
      <c r="AA20" s="76"/>
      <c r="AB20" s="69"/>
      <c r="AC20" s="69"/>
      <c r="AD20" s="69"/>
      <c r="AE20" s="69"/>
      <c r="AF20" s="69"/>
      <c r="AG20" s="69"/>
      <c r="AH20" s="69"/>
      <c r="AI20" s="69"/>
      <c r="AJ20" s="69"/>
      <c r="AK20" s="69"/>
    </row>
    <row r="21" spans="1:37" s="140" customFormat="1" ht="12">
      <c r="A21" s="139">
        <v>30042</v>
      </c>
      <c r="B21" s="76">
        <v>441</v>
      </c>
      <c r="C21" s="76"/>
      <c r="D21" s="76"/>
      <c r="E21" s="76"/>
      <c r="F21" s="76"/>
      <c r="G21" s="76"/>
      <c r="H21" s="76"/>
      <c r="I21" s="76"/>
      <c r="J21" s="76"/>
      <c r="K21" s="76">
        <v>206923</v>
      </c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76">
        <f t="shared" si="0"/>
        <v>14.7</v>
      </c>
      <c r="X21" s="69"/>
      <c r="Y21" s="76">
        <f t="shared" si="1"/>
        <v>216.09</v>
      </c>
      <c r="Z21" s="69"/>
      <c r="AA21" s="76"/>
      <c r="AB21" s="69"/>
      <c r="AC21" s="69"/>
      <c r="AD21" s="69"/>
      <c r="AE21" s="69"/>
      <c r="AF21" s="69"/>
      <c r="AG21" s="69"/>
      <c r="AH21" s="69"/>
      <c r="AI21" s="69"/>
      <c r="AJ21" s="69"/>
      <c r="AK21" s="69"/>
    </row>
    <row r="22" spans="1:37" s="140" customFormat="1" ht="12">
      <c r="A22" s="139">
        <v>30072</v>
      </c>
      <c r="B22" s="76">
        <v>456</v>
      </c>
      <c r="C22" s="76"/>
      <c r="D22" s="76"/>
      <c r="E22" s="76"/>
      <c r="F22" s="76"/>
      <c r="G22" s="76"/>
      <c r="H22" s="76"/>
      <c r="I22" s="76"/>
      <c r="J22" s="76"/>
      <c r="K22" s="76">
        <v>206306</v>
      </c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76">
        <f t="shared" si="0"/>
        <v>14.709677419354838</v>
      </c>
      <c r="X22" s="69"/>
      <c r="Y22" s="76">
        <f t="shared" si="1"/>
        <v>216.23225806451612</v>
      </c>
      <c r="Z22" s="69"/>
      <c r="AA22" s="76"/>
      <c r="AB22" s="69"/>
      <c r="AC22" s="69"/>
      <c r="AD22" s="69"/>
      <c r="AE22" s="69"/>
      <c r="AF22" s="69"/>
      <c r="AG22" s="69"/>
      <c r="AH22" s="69"/>
      <c r="AI22" s="69"/>
      <c r="AJ22" s="69"/>
      <c r="AK22" s="69"/>
    </row>
    <row r="23" spans="1:37" s="140" customFormat="1" ht="12">
      <c r="A23" s="139">
        <v>30103</v>
      </c>
      <c r="B23" s="76">
        <v>441</v>
      </c>
      <c r="C23" s="76"/>
      <c r="D23" s="76"/>
      <c r="E23" s="76"/>
      <c r="F23" s="76"/>
      <c r="G23" s="76"/>
      <c r="H23" s="76"/>
      <c r="I23" s="76"/>
      <c r="J23" s="76"/>
      <c r="K23" s="76">
        <v>205058</v>
      </c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76">
        <f t="shared" si="0"/>
        <v>14.7</v>
      </c>
      <c r="X23" s="69"/>
      <c r="Y23" s="76">
        <f t="shared" si="1"/>
        <v>216.09</v>
      </c>
      <c r="Z23" s="69"/>
      <c r="AA23" s="76"/>
      <c r="AB23" s="69"/>
      <c r="AC23" s="69"/>
      <c r="AD23" s="69"/>
      <c r="AE23" s="69"/>
      <c r="AF23" s="69"/>
      <c r="AG23" s="69"/>
      <c r="AH23" s="69"/>
      <c r="AI23" s="69"/>
      <c r="AJ23" s="69"/>
      <c r="AK23" s="69"/>
    </row>
    <row r="24" spans="1:37" s="140" customFormat="1" ht="12">
      <c r="A24" s="139">
        <v>30133</v>
      </c>
      <c r="B24" s="76">
        <v>456</v>
      </c>
      <c r="C24" s="76"/>
      <c r="D24" s="76"/>
      <c r="E24" s="76"/>
      <c r="F24" s="76"/>
      <c r="G24" s="76"/>
      <c r="H24" s="76"/>
      <c r="I24" s="76"/>
      <c r="J24" s="76"/>
      <c r="K24" s="76">
        <v>210502</v>
      </c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76">
        <f t="shared" si="0"/>
        <v>14.709677419354838</v>
      </c>
      <c r="X24" s="69"/>
      <c r="Y24" s="76">
        <f t="shared" si="1"/>
        <v>216.23225806451612</v>
      </c>
      <c r="Z24" s="69"/>
      <c r="AA24" s="76"/>
      <c r="AB24" s="69"/>
      <c r="AC24" s="69"/>
      <c r="AD24" s="69"/>
      <c r="AE24" s="69"/>
      <c r="AF24" s="69"/>
      <c r="AG24" s="69"/>
      <c r="AH24" s="69"/>
      <c r="AI24" s="69"/>
      <c r="AJ24" s="69"/>
      <c r="AK24" s="69"/>
    </row>
    <row r="25" spans="1:37" s="140" customFormat="1" ht="12">
      <c r="A25" s="139">
        <v>30164</v>
      </c>
      <c r="B25" s="76">
        <v>456</v>
      </c>
      <c r="C25" s="76"/>
      <c r="D25" s="76"/>
      <c r="E25" s="76"/>
      <c r="F25" s="76"/>
      <c r="G25" s="76"/>
      <c r="H25" s="76"/>
      <c r="I25" s="76"/>
      <c r="J25" s="76"/>
      <c r="K25" s="76">
        <v>205034</v>
      </c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76">
        <f t="shared" si="0"/>
        <v>14.709677419354838</v>
      </c>
      <c r="X25" s="69"/>
      <c r="Y25" s="76">
        <f t="shared" si="1"/>
        <v>216.23225806451612</v>
      </c>
      <c r="Z25" s="69"/>
      <c r="AA25" s="76"/>
      <c r="AB25" s="69"/>
      <c r="AC25" s="69"/>
      <c r="AD25" s="69"/>
      <c r="AE25" s="69"/>
      <c r="AF25" s="69"/>
      <c r="AG25" s="69"/>
      <c r="AH25" s="69"/>
      <c r="AI25" s="69"/>
      <c r="AJ25" s="69"/>
      <c r="AK25" s="69"/>
    </row>
    <row r="26" spans="1:37" s="140" customFormat="1" ht="12">
      <c r="A26" s="139">
        <v>30195</v>
      </c>
      <c r="B26" s="76">
        <v>441</v>
      </c>
      <c r="C26" s="76"/>
      <c r="D26" s="76"/>
      <c r="E26" s="76"/>
      <c r="F26" s="76"/>
      <c r="G26" s="76"/>
      <c r="H26" s="76"/>
      <c r="I26" s="76"/>
      <c r="J26" s="76"/>
      <c r="K26" s="76">
        <v>195929</v>
      </c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76">
        <f t="shared" si="0"/>
        <v>14.7</v>
      </c>
      <c r="X26" s="69"/>
      <c r="Y26" s="76">
        <f t="shared" si="1"/>
        <v>216.09</v>
      </c>
      <c r="Z26" s="69"/>
      <c r="AA26" s="76"/>
      <c r="AB26" s="69"/>
      <c r="AC26" s="69"/>
      <c r="AD26" s="69"/>
      <c r="AE26" s="69"/>
      <c r="AF26" s="69"/>
      <c r="AG26" s="69"/>
      <c r="AH26" s="69"/>
      <c r="AI26" s="69"/>
      <c r="AJ26" s="69"/>
      <c r="AK26" s="69"/>
    </row>
    <row r="27" spans="1:37" s="140" customFormat="1" ht="12">
      <c r="A27" s="139">
        <v>30225</v>
      </c>
      <c r="B27" s="76">
        <v>456</v>
      </c>
      <c r="C27" s="76"/>
      <c r="D27" s="76"/>
      <c r="E27" s="76"/>
      <c r="F27" s="76"/>
      <c r="G27" s="76"/>
      <c r="H27" s="76"/>
      <c r="I27" s="76"/>
      <c r="J27" s="76"/>
      <c r="K27" s="76">
        <v>198107</v>
      </c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76">
        <f t="shared" si="0"/>
        <v>14.709677419354838</v>
      </c>
      <c r="X27" s="69"/>
      <c r="Y27" s="76">
        <f t="shared" si="1"/>
        <v>216.23225806451612</v>
      </c>
      <c r="Z27" s="69"/>
      <c r="AA27" s="76"/>
      <c r="AB27" s="69"/>
      <c r="AC27" s="69"/>
      <c r="AD27" s="69"/>
      <c r="AE27" s="69"/>
      <c r="AF27" s="69"/>
      <c r="AG27" s="69"/>
      <c r="AH27" s="69"/>
      <c r="AI27" s="69"/>
      <c r="AJ27" s="69"/>
      <c r="AK27" s="69"/>
    </row>
    <row r="28" spans="1:37" s="140" customFormat="1" ht="12">
      <c r="A28" s="139">
        <v>30256</v>
      </c>
      <c r="B28" s="76">
        <v>441</v>
      </c>
      <c r="C28" s="76"/>
      <c r="D28" s="76"/>
      <c r="E28" s="76"/>
      <c r="F28" s="76"/>
      <c r="G28" s="76"/>
      <c r="H28" s="76"/>
      <c r="I28" s="76"/>
      <c r="J28" s="76"/>
      <c r="K28" s="76">
        <v>197234</v>
      </c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76">
        <f t="shared" si="0"/>
        <v>14.7</v>
      </c>
      <c r="X28" s="69"/>
      <c r="Y28" s="76">
        <f t="shared" si="1"/>
        <v>216.09</v>
      </c>
      <c r="Z28" s="69"/>
      <c r="AA28" s="76"/>
      <c r="AB28" s="69"/>
      <c r="AC28" s="69"/>
      <c r="AD28" s="69"/>
      <c r="AE28" s="69"/>
      <c r="AF28" s="69"/>
      <c r="AG28" s="69"/>
      <c r="AH28" s="69"/>
      <c r="AI28" s="69"/>
      <c r="AJ28" s="69"/>
      <c r="AK28" s="69"/>
    </row>
    <row r="29" spans="1:37" s="140" customFormat="1" ht="12">
      <c r="A29" s="139">
        <v>30286</v>
      </c>
      <c r="B29" s="76">
        <v>456</v>
      </c>
      <c r="C29" s="76"/>
      <c r="D29" s="76"/>
      <c r="E29" s="76"/>
      <c r="F29" s="76"/>
      <c r="G29" s="76"/>
      <c r="H29" s="76"/>
      <c r="I29" s="76"/>
      <c r="J29" s="76"/>
      <c r="K29" s="76">
        <v>203011</v>
      </c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76">
        <f t="shared" si="0"/>
        <v>14.709677419354838</v>
      </c>
      <c r="X29" s="69"/>
      <c r="Y29" s="76">
        <f t="shared" si="1"/>
        <v>216.23225806451612</v>
      </c>
      <c r="Z29" s="69"/>
      <c r="AA29" s="76"/>
      <c r="AB29" s="69"/>
      <c r="AC29" s="69"/>
      <c r="AD29" s="69"/>
      <c r="AE29" s="69"/>
      <c r="AF29" s="69"/>
      <c r="AG29" s="69"/>
      <c r="AH29" s="69"/>
      <c r="AI29" s="69"/>
      <c r="AJ29" s="69"/>
      <c r="AK29" s="69"/>
    </row>
    <row r="30" spans="1:37" s="140" customFormat="1" ht="12">
      <c r="A30" s="139">
        <v>30317</v>
      </c>
      <c r="B30" s="76">
        <v>840</v>
      </c>
      <c r="C30" s="76"/>
      <c r="D30" s="76"/>
      <c r="E30" s="76"/>
      <c r="F30" s="76"/>
      <c r="G30" s="76"/>
      <c r="H30" s="76"/>
      <c r="I30" s="76"/>
      <c r="J30" s="76"/>
      <c r="K30" s="76">
        <v>187573</v>
      </c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76">
        <f t="shared" si="0"/>
        <v>27.096774193548388</v>
      </c>
      <c r="X30" s="69"/>
      <c r="Y30" s="76">
        <f t="shared" si="1"/>
        <v>398.32258064516128</v>
      </c>
      <c r="Z30" s="69"/>
      <c r="AA30" s="76"/>
      <c r="AB30" s="69"/>
      <c r="AC30" s="69"/>
      <c r="AD30" s="69"/>
      <c r="AE30" s="69"/>
      <c r="AF30" s="69"/>
      <c r="AG30" s="69"/>
      <c r="AH30" s="69"/>
      <c r="AI30" s="69"/>
      <c r="AJ30" s="69"/>
      <c r="AK30" s="69"/>
    </row>
    <row r="31" spans="1:37" s="140" customFormat="1" ht="12">
      <c r="A31" s="139">
        <v>30348</v>
      </c>
      <c r="B31" s="76">
        <v>759</v>
      </c>
      <c r="C31" s="76"/>
      <c r="D31" s="76"/>
      <c r="E31" s="76"/>
      <c r="F31" s="76"/>
      <c r="G31" s="76"/>
      <c r="H31" s="76"/>
      <c r="I31" s="76"/>
      <c r="J31" s="76"/>
      <c r="K31" s="76">
        <v>168007</v>
      </c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76">
        <f t="shared" si="0"/>
        <v>27.107142857142858</v>
      </c>
      <c r="X31" s="69"/>
      <c r="Y31" s="76">
        <f t="shared" si="1"/>
        <v>398.47500000000002</v>
      </c>
      <c r="Z31" s="69"/>
      <c r="AA31" s="76"/>
      <c r="AB31" s="69"/>
      <c r="AC31" s="69"/>
      <c r="AD31" s="69"/>
      <c r="AE31" s="69"/>
      <c r="AF31" s="69"/>
      <c r="AG31" s="69"/>
      <c r="AH31" s="69"/>
      <c r="AI31" s="69"/>
      <c r="AJ31" s="69"/>
      <c r="AK31" s="69"/>
    </row>
    <row r="32" spans="1:37" s="140" customFormat="1" ht="12">
      <c r="A32" s="139">
        <v>30376</v>
      </c>
      <c r="B32" s="76">
        <v>840</v>
      </c>
      <c r="C32" s="76"/>
      <c r="D32" s="76"/>
      <c r="E32" s="76"/>
      <c r="F32" s="76"/>
      <c r="G32" s="76"/>
      <c r="H32" s="76"/>
      <c r="I32" s="76"/>
      <c r="J32" s="76"/>
      <c r="K32" s="76">
        <v>211909</v>
      </c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76">
        <f t="shared" si="0"/>
        <v>27.096774193548388</v>
      </c>
      <c r="X32" s="69"/>
      <c r="Y32" s="76">
        <f t="shared" si="1"/>
        <v>398.32258064516128</v>
      </c>
      <c r="Z32" s="69"/>
      <c r="AA32" s="76"/>
      <c r="AB32" s="69"/>
      <c r="AC32" s="69"/>
      <c r="AD32" s="69"/>
      <c r="AE32" s="69"/>
      <c r="AF32" s="69"/>
      <c r="AG32" s="69"/>
      <c r="AH32" s="69"/>
      <c r="AI32" s="69"/>
      <c r="AJ32" s="69"/>
      <c r="AK32" s="69"/>
    </row>
    <row r="33" spans="1:37" s="140" customFormat="1" ht="12">
      <c r="A33" s="139">
        <v>30407</v>
      </c>
      <c r="B33" s="76">
        <v>813</v>
      </c>
      <c r="C33" s="76"/>
      <c r="D33" s="76"/>
      <c r="E33" s="76"/>
      <c r="F33" s="76"/>
      <c r="G33" s="76"/>
      <c r="H33" s="76"/>
      <c r="I33" s="76"/>
      <c r="J33" s="76"/>
      <c r="K33" s="76">
        <v>193569</v>
      </c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76">
        <f t="shared" si="0"/>
        <v>27.1</v>
      </c>
      <c r="X33" s="69"/>
      <c r="Y33" s="76">
        <f t="shared" si="1"/>
        <v>398.37</v>
      </c>
      <c r="Z33" s="69"/>
      <c r="AA33" s="76"/>
      <c r="AB33" s="69"/>
      <c r="AC33" s="69"/>
      <c r="AD33" s="69"/>
      <c r="AE33" s="69"/>
      <c r="AF33" s="69"/>
      <c r="AG33" s="69"/>
      <c r="AH33" s="69"/>
      <c r="AI33" s="69"/>
      <c r="AJ33" s="69"/>
      <c r="AK33" s="69"/>
    </row>
    <row r="34" spans="1:37" s="140" customFormat="1" ht="12">
      <c r="A34" s="139">
        <v>30437</v>
      </c>
      <c r="B34" s="76">
        <v>840</v>
      </c>
      <c r="C34" s="76"/>
      <c r="D34" s="76"/>
      <c r="E34" s="76"/>
      <c r="F34" s="76"/>
      <c r="G34" s="76"/>
      <c r="H34" s="76"/>
      <c r="I34" s="76"/>
      <c r="J34" s="76"/>
      <c r="K34" s="76">
        <v>205126</v>
      </c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76">
        <f t="shared" si="0"/>
        <v>27.096774193548388</v>
      </c>
      <c r="X34" s="69"/>
      <c r="Y34" s="76">
        <f t="shared" si="1"/>
        <v>398.32258064516128</v>
      </c>
      <c r="Z34" s="69"/>
      <c r="AA34" s="76"/>
      <c r="AB34" s="69"/>
      <c r="AC34" s="69"/>
      <c r="AD34" s="69"/>
      <c r="AE34" s="69"/>
      <c r="AF34" s="69"/>
      <c r="AG34" s="69"/>
      <c r="AH34" s="69"/>
      <c r="AI34" s="69"/>
      <c r="AJ34" s="69"/>
      <c r="AK34" s="69"/>
    </row>
    <row r="35" spans="1:37" s="140" customFormat="1" ht="12">
      <c r="A35" s="139">
        <v>30468</v>
      </c>
      <c r="B35" s="76">
        <v>813</v>
      </c>
      <c r="C35" s="76"/>
      <c r="D35" s="76"/>
      <c r="E35" s="76"/>
      <c r="F35" s="76"/>
      <c r="G35" s="76"/>
      <c r="H35" s="76"/>
      <c r="I35" s="76"/>
      <c r="J35" s="76"/>
      <c r="K35" s="76">
        <v>209807</v>
      </c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76">
        <f t="shared" si="0"/>
        <v>27.1</v>
      </c>
      <c r="X35" s="69"/>
      <c r="Y35" s="76">
        <f t="shared" si="1"/>
        <v>398.37</v>
      </c>
      <c r="Z35" s="69"/>
      <c r="AA35" s="76"/>
      <c r="AB35" s="69"/>
      <c r="AC35" s="69"/>
      <c r="AD35" s="69"/>
      <c r="AE35" s="69"/>
      <c r="AF35" s="69"/>
      <c r="AG35" s="69"/>
      <c r="AH35" s="69"/>
      <c r="AI35" s="69"/>
      <c r="AJ35" s="69"/>
      <c r="AK35" s="69"/>
    </row>
    <row r="36" spans="1:37" s="140" customFormat="1" ht="12">
      <c r="A36" s="139">
        <v>30498</v>
      </c>
      <c r="B36" s="76">
        <v>840</v>
      </c>
      <c r="C36" s="76"/>
      <c r="D36" s="76"/>
      <c r="E36" s="76"/>
      <c r="F36" s="76"/>
      <c r="G36" s="76"/>
      <c r="H36" s="76"/>
      <c r="I36" s="76"/>
      <c r="J36" s="76"/>
      <c r="K36" s="76">
        <v>209728</v>
      </c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76">
        <f t="shared" si="0"/>
        <v>27.096774193548388</v>
      </c>
      <c r="X36" s="69"/>
      <c r="Y36" s="76">
        <f t="shared" si="1"/>
        <v>398.32258064516128</v>
      </c>
      <c r="Z36" s="69"/>
      <c r="AA36" s="76"/>
      <c r="AB36" s="69"/>
      <c r="AC36" s="69"/>
      <c r="AD36" s="69"/>
      <c r="AE36" s="69"/>
      <c r="AF36" s="69"/>
      <c r="AG36" s="69"/>
      <c r="AH36" s="69"/>
      <c r="AI36" s="69"/>
      <c r="AJ36" s="69"/>
      <c r="AK36" s="69"/>
    </row>
    <row r="37" spans="1:37" s="140" customFormat="1" ht="12">
      <c r="A37" s="139">
        <v>30529</v>
      </c>
      <c r="B37" s="76">
        <v>840</v>
      </c>
      <c r="C37" s="76"/>
      <c r="D37" s="76"/>
      <c r="E37" s="76"/>
      <c r="F37" s="76"/>
      <c r="G37" s="76"/>
      <c r="H37" s="76"/>
      <c r="I37" s="76"/>
      <c r="J37" s="76"/>
      <c r="K37" s="76">
        <v>215001</v>
      </c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76">
        <f t="shared" si="0"/>
        <v>27.096774193548388</v>
      </c>
      <c r="X37" s="69"/>
      <c r="Y37" s="76">
        <f t="shared" si="1"/>
        <v>398.32258064516128</v>
      </c>
      <c r="Z37" s="69"/>
      <c r="AA37" s="76"/>
      <c r="AB37" s="69"/>
      <c r="AC37" s="69"/>
      <c r="AD37" s="69"/>
      <c r="AE37" s="69"/>
      <c r="AF37" s="69"/>
      <c r="AG37" s="69"/>
      <c r="AH37" s="69"/>
      <c r="AI37" s="69"/>
      <c r="AJ37" s="69"/>
      <c r="AK37" s="69"/>
    </row>
    <row r="38" spans="1:37" s="140" customFormat="1" ht="12">
      <c r="A38" s="139">
        <v>30560</v>
      </c>
      <c r="B38" s="76">
        <v>813</v>
      </c>
      <c r="C38" s="76"/>
      <c r="D38" s="76"/>
      <c r="E38" s="76"/>
      <c r="F38" s="76"/>
      <c r="G38" s="76"/>
      <c r="H38" s="76"/>
      <c r="I38" s="76"/>
      <c r="J38" s="76"/>
      <c r="K38" s="76">
        <v>201807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76">
        <f t="shared" si="0"/>
        <v>27.1</v>
      </c>
      <c r="X38" s="69"/>
      <c r="Y38" s="76">
        <f t="shared" si="1"/>
        <v>398.37</v>
      </c>
      <c r="Z38" s="69"/>
      <c r="AA38" s="76"/>
      <c r="AB38" s="69"/>
      <c r="AC38" s="69"/>
      <c r="AD38" s="69"/>
      <c r="AE38" s="69"/>
      <c r="AF38" s="69"/>
      <c r="AG38" s="69"/>
      <c r="AH38" s="69"/>
      <c r="AI38" s="69"/>
      <c r="AJ38" s="69"/>
      <c r="AK38" s="69"/>
    </row>
    <row r="39" spans="1:37" s="140" customFormat="1" ht="12">
      <c r="A39" s="139">
        <v>30590</v>
      </c>
      <c r="B39" s="76">
        <v>840</v>
      </c>
      <c r="C39" s="76"/>
      <c r="D39" s="76"/>
      <c r="E39" s="76"/>
      <c r="F39" s="76"/>
      <c r="G39" s="76"/>
      <c r="H39" s="76"/>
      <c r="I39" s="76"/>
      <c r="J39" s="76"/>
      <c r="K39" s="76">
        <v>204233</v>
      </c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76">
        <f t="shared" si="0"/>
        <v>27.096774193548388</v>
      </c>
      <c r="X39" s="69"/>
      <c r="Y39" s="76">
        <f t="shared" si="1"/>
        <v>398.32258064516128</v>
      </c>
      <c r="Z39" s="69"/>
      <c r="AA39" s="76"/>
      <c r="AB39" s="69"/>
      <c r="AC39" s="69"/>
      <c r="AD39" s="69"/>
      <c r="AE39" s="69"/>
      <c r="AF39" s="69"/>
      <c r="AG39" s="69"/>
      <c r="AH39" s="69"/>
      <c r="AI39" s="69"/>
      <c r="AJ39" s="69"/>
      <c r="AK39" s="69"/>
    </row>
    <row r="40" spans="1:37" s="140" customFormat="1" ht="12">
      <c r="A40" s="139">
        <v>30621</v>
      </c>
      <c r="B40" s="76">
        <v>813</v>
      </c>
      <c r="C40" s="76"/>
      <c r="D40" s="76"/>
      <c r="E40" s="76"/>
      <c r="F40" s="76"/>
      <c r="G40" s="76"/>
      <c r="H40" s="76"/>
      <c r="I40" s="76"/>
      <c r="J40" s="76"/>
      <c r="K40" s="76">
        <v>198092</v>
      </c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76">
        <f t="shared" si="0"/>
        <v>27.1</v>
      </c>
      <c r="X40" s="69"/>
      <c r="Y40" s="76">
        <f t="shared" si="1"/>
        <v>398.37</v>
      </c>
      <c r="Z40" s="69"/>
      <c r="AA40" s="76"/>
      <c r="AB40" s="69"/>
      <c r="AC40" s="69"/>
      <c r="AD40" s="69"/>
      <c r="AE40" s="69"/>
      <c r="AF40" s="69"/>
      <c r="AG40" s="69"/>
      <c r="AH40" s="69"/>
      <c r="AI40" s="69"/>
      <c r="AJ40" s="69"/>
      <c r="AK40" s="69"/>
    </row>
    <row r="41" spans="1:37" s="140" customFormat="1" ht="12">
      <c r="A41" s="139">
        <v>30651</v>
      </c>
      <c r="B41" s="76">
        <v>840</v>
      </c>
      <c r="C41" s="76"/>
      <c r="D41" s="76"/>
      <c r="E41" s="76"/>
      <c r="F41" s="76"/>
      <c r="G41" s="76"/>
      <c r="H41" s="76"/>
      <c r="I41" s="76"/>
      <c r="J41" s="76"/>
      <c r="K41" s="76">
        <v>212231</v>
      </c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76">
        <f t="shared" si="0"/>
        <v>27.096774193548388</v>
      </c>
      <c r="X41" s="69"/>
      <c r="Y41" s="76">
        <f t="shared" si="1"/>
        <v>398.32258064516128</v>
      </c>
      <c r="Z41" s="69"/>
      <c r="AA41" s="76"/>
      <c r="AB41" s="69"/>
      <c r="AC41" s="69"/>
      <c r="AD41" s="69"/>
      <c r="AE41" s="69"/>
      <c r="AF41" s="69"/>
      <c r="AG41" s="69"/>
      <c r="AH41" s="69"/>
      <c r="AI41" s="69"/>
      <c r="AJ41" s="69"/>
      <c r="AK41" s="69"/>
    </row>
    <row r="42" spans="1:37" s="140" customFormat="1" ht="12">
      <c r="A42" s="139">
        <v>30682</v>
      </c>
      <c r="B42" s="76">
        <v>1029</v>
      </c>
      <c r="C42" s="76"/>
      <c r="D42" s="76"/>
      <c r="E42" s="76"/>
      <c r="F42" s="76"/>
      <c r="G42" s="76"/>
      <c r="H42" s="76"/>
      <c r="I42" s="76"/>
      <c r="J42" s="76"/>
      <c r="K42" s="76">
        <v>194200</v>
      </c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76">
        <f t="shared" si="0"/>
        <v>33.193548387096776</v>
      </c>
      <c r="X42" s="69"/>
      <c r="Y42" s="76">
        <f t="shared" si="1"/>
        <v>487.94516129032263</v>
      </c>
      <c r="Z42" s="69"/>
      <c r="AA42" s="76"/>
      <c r="AB42" s="69"/>
      <c r="AC42" s="69"/>
      <c r="AD42" s="69"/>
      <c r="AE42" s="69"/>
      <c r="AF42" s="69"/>
      <c r="AG42" s="69"/>
      <c r="AH42" s="69"/>
      <c r="AI42" s="69"/>
      <c r="AJ42" s="69"/>
      <c r="AK42" s="69"/>
    </row>
    <row r="43" spans="1:37" s="140" customFormat="1" ht="12">
      <c r="A43" s="139">
        <v>30713</v>
      </c>
      <c r="B43" s="76">
        <v>963</v>
      </c>
      <c r="C43" s="76"/>
      <c r="D43" s="76"/>
      <c r="E43" s="76"/>
      <c r="F43" s="76"/>
      <c r="G43" s="76"/>
      <c r="H43" s="76"/>
      <c r="I43" s="76"/>
      <c r="J43" s="76"/>
      <c r="K43" s="76">
        <v>180711</v>
      </c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76">
        <f t="shared" si="0"/>
        <v>33.206896551724135</v>
      </c>
      <c r="X43" s="69"/>
      <c r="Y43" s="76">
        <f t="shared" si="1"/>
        <v>488.1413793103448</v>
      </c>
      <c r="Z43" s="69"/>
      <c r="AA43" s="76"/>
      <c r="AB43" s="69"/>
      <c r="AC43" s="69"/>
      <c r="AD43" s="69"/>
      <c r="AE43" s="69"/>
      <c r="AF43" s="69"/>
      <c r="AG43" s="69"/>
      <c r="AH43" s="69"/>
      <c r="AI43" s="69"/>
      <c r="AJ43" s="69"/>
      <c r="AK43" s="69"/>
    </row>
    <row r="44" spans="1:37" s="140" customFormat="1" ht="12">
      <c r="A44" s="139">
        <v>30742</v>
      </c>
      <c r="B44" s="76">
        <v>1029</v>
      </c>
      <c r="C44" s="76"/>
      <c r="D44" s="76"/>
      <c r="E44" s="76"/>
      <c r="F44" s="76"/>
      <c r="G44" s="76"/>
      <c r="H44" s="76"/>
      <c r="I44" s="76"/>
      <c r="J44" s="76"/>
      <c r="K44" s="76">
        <v>202372</v>
      </c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76">
        <f t="shared" si="0"/>
        <v>33.193548387096776</v>
      </c>
      <c r="X44" s="69"/>
      <c r="Y44" s="76">
        <f t="shared" si="1"/>
        <v>487.94516129032263</v>
      </c>
      <c r="Z44" s="69"/>
      <c r="AA44" s="76"/>
      <c r="AB44" s="69"/>
      <c r="AC44" s="69"/>
      <c r="AD44" s="69"/>
      <c r="AE44" s="69"/>
      <c r="AF44" s="69"/>
      <c r="AG44" s="69"/>
      <c r="AH44" s="69"/>
      <c r="AI44" s="69"/>
      <c r="AJ44" s="69"/>
      <c r="AK44" s="69"/>
    </row>
    <row r="45" spans="1:37" s="140" customFormat="1" ht="12">
      <c r="A45" s="139">
        <v>30773</v>
      </c>
      <c r="B45" s="76">
        <v>996</v>
      </c>
      <c r="C45" s="76"/>
      <c r="D45" s="76"/>
      <c r="E45" s="76"/>
      <c r="F45" s="76"/>
      <c r="G45" s="76"/>
      <c r="H45" s="76"/>
      <c r="I45" s="76"/>
      <c r="J45" s="76"/>
      <c r="K45" s="76">
        <v>200284</v>
      </c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76">
        <f t="shared" si="0"/>
        <v>33.200000000000003</v>
      </c>
      <c r="X45" s="69"/>
      <c r="Y45" s="76">
        <f t="shared" si="1"/>
        <v>488.04000000000008</v>
      </c>
      <c r="Z45" s="69"/>
      <c r="AA45" s="76"/>
      <c r="AB45" s="69"/>
      <c r="AC45" s="69"/>
      <c r="AD45" s="69"/>
      <c r="AE45" s="69"/>
      <c r="AF45" s="69"/>
      <c r="AG45" s="69"/>
      <c r="AH45" s="69"/>
      <c r="AI45" s="69"/>
      <c r="AJ45" s="69"/>
      <c r="AK45" s="69"/>
    </row>
    <row r="46" spans="1:37" s="140" customFormat="1" ht="12">
      <c r="A46" s="139">
        <v>30803</v>
      </c>
      <c r="B46" s="76">
        <v>1029</v>
      </c>
      <c r="C46" s="76"/>
      <c r="D46" s="76"/>
      <c r="E46" s="76"/>
      <c r="F46" s="76"/>
      <c r="G46" s="76"/>
      <c r="H46" s="76"/>
      <c r="I46" s="76"/>
      <c r="J46" s="76"/>
      <c r="K46" s="76">
        <v>213602</v>
      </c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76">
        <f t="shared" si="0"/>
        <v>33.193548387096776</v>
      </c>
      <c r="X46" s="69"/>
      <c r="Y46" s="76">
        <f t="shared" si="1"/>
        <v>487.94516129032263</v>
      </c>
      <c r="Z46" s="69"/>
      <c r="AA46" s="76"/>
      <c r="AB46" s="69"/>
      <c r="AC46" s="69"/>
      <c r="AD46" s="69"/>
      <c r="AE46" s="69"/>
      <c r="AF46" s="69"/>
      <c r="AG46" s="69"/>
      <c r="AH46" s="69"/>
      <c r="AI46" s="69"/>
      <c r="AJ46" s="69"/>
      <c r="AK46" s="69"/>
    </row>
    <row r="47" spans="1:37" s="140" customFormat="1" ht="12">
      <c r="A47" s="139">
        <v>30834</v>
      </c>
      <c r="B47" s="76">
        <v>996</v>
      </c>
      <c r="C47" s="76"/>
      <c r="D47" s="76"/>
      <c r="E47" s="76"/>
      <c r="F47" s="76"/>
      <c r="G47" s="76"/>
      <c r="H47" s="76"/>
      <c r="I47" s="76"/>
      <c r="J47" s="76"/>
      <c r="K47" s="76">
        <v>213203</v>
      </c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76">
        <f t="shared" si="0"/>
        <v>33.200000000000003</v>
      </c>
      <c r="X47" s="69"/>
      <c r="Y47" s="76">
        <f t="shared" si="1"/>
        <v>488.04000000000008</v>
      </c>
      <c r="Z47" s="69"/>
      <c r="AA47" s="76"/>
      <c r="AB47" s="69"/>
      <c r="AC47" s="69"/>
      <c r="AD47" s="69"/>
      <c r="AE47" s="69"/>
      <c r="AF47" s="69"/>
      <c r="AG47" s="69"/>
      <c r="AH47" s="69"/>
      <c r="AI47" s="69"/>
      <c r="AJ47" s="69"/>
      <c r="AK47" s="69"/>
    </row>
    <row r="48" spans="1:37" s="140" customFormat="1" ht="12">
      <c r="A48" s="139">
        <v>30864</v>
      </c>
      <c r="B48" s="76">
        <v>1029</v>
      </c>
      <c r="C48" s="76"/>
      <c r="D48" s="76"/>
      <c r="E48" s="76"/>
      <c r="F48" s="76"/>
      <c r="G48" s="76"/>
      <c r="H48" s="76"/>
      <c r="I48" s="76"/>
      <c r="J48" s="76"/>
      <c r="K48" s="76">
        <v>211734</v>
      </c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76">
        <f t="shared" si="0"/>
        <v>33.193548387096776</v>
      </c>
      <c r="X48" s="69"/>
      <c r="Y48" s="76">
        <f t="shared" si="1"/>
        <v>487.94516129032263</v>
      </c>
      <c r="Z48" s="69"/>
      <c r="AA48" s="76"/>
      <c r="AB48" s="69"/>
      <c r="AC48" s="69"/>
      <c r="AD48" s="69"/>
      <c r="AE48" s="69"/>
      <c r="AF48" s="69"/>
      <c r="AG48" s="69"/>
      <c r="AH48" s="69"/>
      <c r="AI48" s="69"/>
      <c r="AJ48" s="69"/>
      <c r="AK48" s="69"/>
    </row>
    <row r="49" spans="1:37" s="140" customFormat="1" ht="12">
      <c r="A49" s="139">
        <v>30895</v>
      </c>
      <c r="B49" s="76">
        <v>1029</v>
      </c>
      <c r="C49" s="76"/>
      <c r="D49" s="76"/>
      <c r="E49" s="76"/>
      <c r="F49" s="76"/>
      <c r="G49" s="76"/>
      <c r="H49" s="76"/>
      <c r="I49" s="76"/>
      <c r="J49" s="76"/>
      <c r="K49" s="76">
        <v>219886</v>
      </c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76">
        <f t="shared" si="0"/>
        <v>33.193548387096776</v>
      </c>
      <c r="X49" s="69"/>
      <c r="Y49" s="76">
        <f t="shared" si="1"/>
        <v>487.94516129032263</v>
      </c>
      <c r="Z49" s="69"/>
      <c r="AA49" s="76"/>
      <c r="AB49" s="69"/>
      <c r="AC49" s="69"/>
      <c r="AD49" s="69"/>
      <c r="AE49" s="69"/>
      <c r="AF49" s="69"/>
      <c r="AG49" s="69"/>
      <c r="AH49" s="69"/>
      <c r="AI49" s="69"/>
      <c r="AJ49" s="69"/>
      <c r="AK49" s="69"/>
    </row>
    <row r="50" spans="1:37" s="140" customFormat="1" ht="12">
      <c r="A50" s="139">
        <v>30926</v>
      </c>
      <c r="B50" s="76">
        <v>996</v>
      </c>
      <c r="C50" s="76"/>
      <c r="D50" s="76"/>
      <c r="E50" s="76"/>
      <c r="F50" s="76"/>
      <c r="G50" s="76"/>
      <c r="H50" s="76"/>
      <c r="I50" s="76"/>
      <c r="J50" s="76"/>
      <c r="K50" s="76">
        <v>197654</v>
      </c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76">
        <f t="shared" si="0"/>
        <v>33.200000000000003</v>
      </c>
      <c r="X50" s="69"/>
      <c r="Y50" s="76">
        <f t="shared" si="1"/>
        <v>488.04000000000008</v>
      </c>
      <c r="Z50" s="69"/>
      <c r="AA50" s="76"/>
      <c r="AB50" s="69"/>
      <c r="AC50" s="69"/>
      <c r="AD50" s="69"/>
      <c r="AE50" s="69"/>
      <c r="AF50" s="69"/>
      <c r="AG50" s="69"/>
      <c r="AH50" s="69"/>
      <c r="AI50" s="69"/>
      <c r="AJ50" s="69"/>
      <c r="AK50" s="69"/>
    </row>
    <row r="51" spans="1:37" s="140" customFormat="1" ht="12">
      <c r="A51" s="139">
        <v>30956</v>
      </c>
      <c r="B51" s="76">
        <v>1029</v>
      </c>
      <c r="C51" s="76"/>
      <c r="D51" s="76"/>
      <c r="E51" s="76"/>
      <c r="F51" s="76"/>
      <c r="G51" s="76"/>
      <c r="H51" s="76"/>
      <c r="I51" s="76"/>
      <c r="J51" s="76"/>
      <c r="K51" s="76">
        <v>208613</v>
      </c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76">
        <f t="shared" si="0"/>
        <v>33.193548387096776</v>
      </c>
      <c r="X51" s="69"/>
      <c r="Y51" s="76">
        <f t="shared" si="1"/>
        <v>487.94516129032263</v>
      </c>
      <c r="Z51" s="69"/>
      <c r="AA51" s="76"/>
      <c r="AB51" s="69"/>
      <c r="AC51" s="69"/>
      <c r="AD51" s="69"/>
      <c r="AE51" s="69"/>
      <c r="AF51" s="69"/>
      <c r="AG51" s="69"/>
      <c r="AH51" s="69"/>
      <c r="AI51" s="69"/>
      <c r="AJ51" s="69"/>
      <c r="AK51" s="69"/>
    </row>
    <row r="52" spans="1:37" s="140" customFormat="1" ht="12">
      <c r="A52" s="139">
        <v>30987</v>
      </c>
      <c r="B52" s="76">
        <v>996</v>
      </c>
      <c r="C52" s="76"/>
      <c r="D52" s="76"/>
      <c r="E52" s="76"/>
      <c r="F52" s="76"/>
      <c r="G52" s="76"/>
      <c r="H52" s="76"/>
      <c r="I52" s="76"/>
      <c r="J52" s="76"/>
      <c r="K52" s="76">
        <v>203999</v>
      </c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76">
        <f t="shared" si="0"/>
        <v>33.200000000000003</v>
      </c>
      <c r="X52" s="69"/>
      <c r="Y52" s="76">
        <f t="shared" si="1"/>
        <v>488.04000000000008</v>
      </c>
      <c r="Z52" s="69"/>
      <c r="AA52" s="76"/>
      <c r="AB52" s="69"/>
      <c r="AC52" s="69"/>
      <c r="AD52" s="69"/>
      <c r="AE52" s="69"/>
      <c r="AF52" s="69"/>
      <c r="AG52" s="69"/>
      <c r="AH52" s="69"/>
      <c r="AI52" s="69"/>
      <c r="AJ52" s="69"/>
      <c r="AK52" s="69"/>
    </row>
    <row r="53" spans="1:37" s="140" customFormat="1" ht="12">
      <c r="A53" s="139">
        <v>31017</v>
      </c>
      <c r="B53" s="76">
        <v>1029</v>
      </c>
      <c r="C53" s="76"/>
      <c r="D53" s="76"/>
      <c r="E53" s="76"/>
      <c r="F53" s="76"/>
      <c r="G53" s="76"/>
      <c r="H53" s="76"/>
      <c r="I53" s="76"/>
      <c r="J53" s="76"/>
      <c r="K53" s="76">
        <v>203204</v>
      </c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76">
        <f t="shared" si="0"/>
        <v>33.193548387096776</v>
      </c>
      <c r="X53" s="69"/>
      <c r="Y53" s="76">
        <f t="shared" si="1"/>
        <v>487.94516129032263</v>
      </c>
      <c r="Z53" s="69"/>
      <c r="AA53" s="76"/>
      <c r="AB53" s="69"/>
      <c r="AC53" s="69"/>
      <c r="AD53" s="69"/>
      <c r="AE53" s="69"/>
      <c r="AF53" s="69"/>
      <c r="AG53" s="69"/>
      <c r="AH53" s="69"/>
      <c r="AI53" s="69"/>
      <c r="AJ53" s="69"/>
      <c r="AK53" s="69"/>
    </row>
    <row r="54" spans="1:37" s="140" customFormat="1" ht="12">
      <c r="A54" s="139">
        <v>31048</v>
      </c>
      <c r="B54" s="76">
        <v>1248</v>
      </c>
      <c r="C54" s="76"/>
      <c r="D54" s="76"/>
      <c r="E54" s="76"/>
      <c r="F54" s="76"/>
      <c r="G54" s="76"/>
      <c r="H54" s="76"/>
      <c r="I54" s="76"/>
      <c r="J54" s="76"/>
      <c r="K54" s="76">
        <v>196799</v>
      </c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76">
        <f t="shared" si="0"/>
        <v>40.258064516129032</v>
      </c>
      <c r="X54" s="69"/>
      <c r="Y54" s="76">
        <f t="shared" si="1"/>
        <v>591.79354838709673</v>
      </c>
      <c r="Z54" s="69"/>
      <c r="AA54" s="76"/>
      <c r="AB54" s="69"/>
      <c r="AC54" s="69"/>
      <c r="AD54" s="69"/>
      <c r="AE54" s="69"/>
      <c r="AF54" s="69"/>
      <c r="AG54" s="69"/>
      <c r="AH54" s="69"/>
      <c r="AI54" s="69"/>
      <c r="AJ54" s="69"/>
      <c r="AK54" s="69"/>
    </row>
    <row r="55" spans="1:37" s="140" customFormat="1" ht="12">
      <c r="A55" s="139">
        <v>31079</v>
      </c>
      <c r="B55" s="76">
        <v>1127</v>
      </c>
      <c r="C55" s="76"/>
      <c r="D55" s="76"/>
      <c r="E55" s="76"/>
      <c r="F55" s="76"/>
      <c r="G55" s="76"/>
      <c r="H55" s="76"/>
      <c r="I55" s="76"/>
      <c r="J55" s="76"/>
      <c r="K55" s="76">
        <v>184449</v>
      </c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76">
        <f t="shared" si="0"/>
        <v>40.25</v>
      </c>
      <c r="X55" s="69"/>
      <c r="Y55" s="76">
        <f t="shared" si="1"/>
        <v>591.67499999999995</v>
      </c>
      <c r="Z55" s="69"/>
      <c r="AA55" s="76"/>
      <c r="AB55" s="69"/>
      <c r="AC55" s="69"/>
      <c r="AD55" s="69"/>
      <c r="AE55" s="69"/>
      <c r="AF55" s="69"/>
      <c r="AG55" s="69"/>
      <c r="AH55" s="69"/>
      <c r="AI55" s="69"/>
      <c r="AJ55" s="69"/>
      <c r="AK55" s="69"/>
    </row>
    <row r="56" spans="1:37" s="140" customFormat="1" ht="12">
      <c r="A56" s="139">
        <v>31107</v>
      </c>
      <c r="B56" s="76">
        <v>1248</v>
      </c>
      <c r="C56" s="76"/>
      <c r="D56" s="76"/>
      <c r="E56" s="76"/>
      <c r="F56" s="76"/>
      <c r="G56" s="76"/>
      <c r="H56" s="76"/>
      <c r="I56" s="76"/>
      <c r="J56" s="76"/>
      <c r="K56" s="76">
        <v>206588</v>
      </c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76">
        <f t="shared" si="0"/>
        <v>40.258064516129032</v>
      </c>
      <c r="X56" s="69"/>
      <c r="Y56" s="76">
        <f t="shared" si="1"/>
        <v>591.79354838709673</v>
      </c>
      <c r="Z56" s="69"/>
      <c r="AA56" s="76"/>
      <c r="AB56" s="69"/>
      <c r="AC56" s="69"/>
      <c r="AD56" s="69"/>
      <c r="AE56" s="69"/>
      <c r="AF56" s="69"/>
      <c r="AG56" s="69"/>
      <c r="AH56" s="69"/>
      <c r="AI56" s="69"/>
      <c r="AJ56" s="69"/>
      <c r="AK56" s="69"/>
    </row>
    <row r="57" spans="1:37" s="140" customFormat="1" ht="12">
      <c r="A57" s="139">
        <v>31138</v>
      </c>
      <c r="B57" s="76">
        <v>1208</v>
      </c>
      <c r="C57" s="76"/>
      <c r="D57" s="76"/>
      <c r="E57" s="76"/>
      <c r="F57" s="76"/>
      <c r="G57" s="76"/>
      <c r="H57" s="76"/>
      <c r="I57" s="76"/>
      <c r="J57" s="76"/>
      <c r="K57" s="76">
        <v>208669</v>
      </c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76">
        <f t="shared" si="0"/>
        <v>40.266666666666666</v>
      </c>
      <c r="X57" s="69"/>
      <c r="Y57" s="76">
        <f t="shared" si="1"/>
        <v>591.91999999999996</v>
      </c>
      <c r="Z57" s="69"/>
      <c r="AA57" s="76"/>
      <c r="AB57" s="69"/>
      <c r="AC57" s="69"/>
      <c r="AD57" s="69"/>
      <c r="AE57" s="69"/>
      <c r="AF57" s="69"/>
      <c r="AG57" s="69"/>
      <c r="AH57" s="69"/>
      <c r="AI57" s="69"/>
      <c r="AJ57" s="69"/>
      <c r="AK57" s="69"/>
    </row>
    <row r="58" spans="1:37" s="140" customFormat="1" ht="12">
      <c r="A58" s="139">
        <v>31168</v>
      </c>
      <c r="B58" s="76">
        <v>1248</v>
      </c>
      <c r="C58" s="76"/>
      <c r="D58" s="76"/>
      <c r="E58" s="76"/>
      <c r="F58" s="76"/>
      <c r="G58" s="76"/>
      <c r="H58" s="76"/>
      <c r="I58" s="76"/>
      <c r="J58" s="76"/>
      <c r="K58" s="76">
        <v>218861</v>
      </c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76">
        <f t="shared" si="0"/>
        <v>40.258064516129032</v>
      </c>
      <c r="X58" s="69"/>
      <c r="Y58" s="76">
        <f t="shared" si="1"/>
        <v>591.79354838709673</v>
      </c>
      <c r="Z58" s="69"/>
      <c r="AA58" s="76"/>
      <c r="AB58" s="69"/>
      <c r="AC58" s="69"/>
      <c r="AD58" s="69"/>
      <c r="AE58" s="69"/>
      <c r="AF58" s="69"/>
      <c r="AG58" s="69"/>
      <c r="AH58" s="69"/>
      <c r="AI58" s="69"/>
      <c r="AJ58" s="69"/>
      <c r="AK58" s="69"/>
    </row>
    <row r="59" spans="1:37" s="140" customFormat="1" ht="12">
      <c r="A59" s="139">
        <v>31199</v>
      </c>
      <c r="B59" s="76">
        <v>1208</v>
      </c>
      <c r="C59" s="76"/>
      <c r="D59" s="76"/>
      <c r="E59" s="76"/>
      <c r="F59" s="76"/>
      <c r="G59" s="76"/>
      <c r="H59" s="76"/>
      <c r="I59" s="76"/>
      <c r="J59" s="76"/>
      <c r="K59" s="76">
        <v>209902</v>
      </c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76">
        <f t="shared" si="0"/>
        <v>40.266666666666666</v>
      </c>
      <c r="X59" s="69"/>
      <c r="Y59" s="76">
        <f t="shared" si="1"/>
        <v>591.91999999999996</v>
      </c>
      <c r="Z59" s="69"/>
      <c r="AA59" s="76"/>
      <c r="AB59" s="69"/>
      <c r="AC59" s="69"/>
      <c r="AD59" s="69"/>
      <c r="AE59" s="69"/>
      <c r="AF59" s="69"/>
      <c r="AG59" s="69"/>
      <c r="AH59" s="69"/>
      <c r="AI59" s="69"/>
      <c r="AJ59" s="69"/>
      <c r="AK59" s="69"/>
    </row>
    <row r="60" spans="1:37" s="140" customFormat="1" ht="12">
      <c r="A60" s="139">
        <v>31229</v>
      </c>
      <c r="B60" s="76">
        <v>1248</v>
      </c>
      <c r="C60" s="76"/>
      <c r="D60" s="76"/>
      <c r="E60" s="76"/>
      <c r="F60" s="76"/>
      <c r="G60" s="76"/>
      <c r="H60" s="76"/>
      <c r="I60" s="76"/>
      <c r="J60" s="76"/>
      <c r="K60" s="76">
        <v>217255</v>
      </c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76">
        <f t="shared" si="0"/>
        <v>40.258064516129032</v>
      </c>
      <c r="X60" s="69"/>
      <c r="Y60" s="76">
        <f t="shared" si="1"/>
        <v>591.79354838709673</v>
      </c>
      <c r="Z60" s="69"/>
      <c r="AA60" s="76"/>
      <c r="AB60" s="69"/>
      <c r="AC60" s="69"/>
      <c r="AD60" s="69"/>
      <c r="AE60" s="69"/>
      <c r="AF60" s="69"/>
      <c r="AG60" s="69"/>
      <c r="AH60" s="69"/>
      <c r="AI60" s="69"/>
      <c r="AJ60" s="69"/>
      <c r="AK60" s="69"/>
    </row>
    <row r="61" spans="1:37" s="140" customFormat="1" ht="12">
      <c r="A61" s="139">
        <v>31260</v>
      </c>
      <c r="B61" s="76">
        <v>1248</v>
      </c>
      <c r="C61" s="76"/>
      <c r="D61" s="76"/>
      <c r="E61" s="76"/>
      <c r="F61" s="76"/>
      <c r="G61" s="76"/>
      <c r="H61" s="76"/>
      <c r="I61" s="76"/>
      <c r="J61" s="76"/>
      <c r="K61" s="76">
        <v>224487</v>
      </c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76">
        <f t="shared" si="0"/>
        <v>40.258064516129032</v>
      </c>
      <c r="X61" s="69"/>
      <c r="Y61" s="76">
        <f t="shared" si="1"/>
        <v>591.79354838709673</v>
      </c>
      <c r="Z61" s="69"/>
      <c r="AA61" s="76"/>
      <c r="AB61" s="69"/>
      <c r="AC61" s="69"/>
      <c r="AD61" s="69"/>
      <c r="AE61" s="69"/>
      <c r="AF61" s="69"/>
      <c r="AG61" s="69"/>
      <c r="AH61" s="69"/>
      <c r="AI61" s="69"/>
      <c r="AJ61" s="69"/>
      <c r="AK61" s="69"/>
    </row>
    <row r="62" spans="1:37" s="140" customFormat="1" ht="12">
      <c r="A62" s="139">
        <v>31291</v>
      </c>
      <c r="B62" s="76">
        <v>1208</v>
      </c>
      <c r="C62" s="76"/>
      <c r="D62" s="76"/>
      <c r="E62" s="76"/>
      <c r="F62" s="76"/>
      <c r="G62" s="76"/>
      <c r="H62" s="76"/>
      <c r="I62" s="76"/>
      <c r="J62" s="76"/>
      <c r="K62" s="76">
        <v>198884</v>
      </c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76">
        <f t="shared" si="0"/>
        <v>40.266666666666666</v>
      </c>
      <c r="X62" s="69"/>
      <c r="Y62" s="76">
        <f t="shared" si="1"/>
        <v>591.91999999999996</v>
      </c>
      <c r="Z62" s="69"/>
      <c r="AA62" s="76"/>
      <c r="AB62" s="69"/>
      <c r="AC62" s="69"/>
      <c r="AD62" s="69"/>
      <c r="AE62" s="69"/>
      <c r="AF62" s="69"/>
      <c r="AG62" s="69"/>
      <c r="AH62" s="69"/>
      <c r="AI62" s="69"/>
      <c r="AJ62" s="69"/>
      <c r="AK62" s="69"/>
    </row>
    <row r="63" spans="1:37" s="140" customFormat="1" ht="12">
      <c r="A63" s="139">
        <v>31321</v>
      </c>
      <c r="B63" s="76">
        <v>1248</v>
      </c>
      <c r="C63" s="76"/>
      <c r="D63" s="76"/>
      <c r="E63" s="76"/>
      <c r="F63" s="76"/>
      <c r="G63" s="76"/>
      <c r="H63" s="76"/>
      <c r="I63" s="76"/>
      <c r="J63" s="76"/>
      <c r="K63" s="76">
        <v>213796</v>
      </c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76">
        <f t="shared" si="0"/>
        <v>40.258064516129032</v>
      </c>
      <c r="X63" s="69"/>
      <c r="Y63" s="76">
        <f t="shared" si="1"/>
        <v>591.79354838709673</v>
      </c>
      <c r="Z63" s="69"/>
      <c r="AA63" s="76"/>
      <c r="AB63" s="69"/>
      <c r="AC63" s="69"/>
      <c r="AD63" s="69"/>
      <c r="AE63" s="69"/>
      <c r="AF63" s="69"/>
      <c r="AG63" s="69"/>
      <c r="AH63" s="69"/>
      <c r="AI63" s="69"/>
      <c r="AJ63" s="69"/>
      <c r="AK63" s="69"/>
    </row>
    <row r="64" spans="1:37" s="140" customFormat="1" ht="12">
      <c r="A64" s="139">
        <v>31352</v>
      </c>
      <c r="B64" s="76">
        <v>1208</v>
      </c>
      <c r="C64" s="76"/>
      <c r="D64" s="76"/>
      <c r="E64" s="76"/>
      <c r="F64" s="76"/>
      <c r="G64" s="76"/>
      <c r="H64" s="76"/>
      <c r="I64" s="76"/>
      <c r="J64" s="76"/>
      <c r="K64" s="76">
        <v>203105</v>
      </c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76">
        <f t="shared" si="0"/>
        <v>40.266666666666666</v>
      </c>
      <c r="X64" s="69"/>
      <c r="Y64" s="76">
        <f t="shared" si="1"/>
        <v>591.91999999999996</v>
      </c>
      <c r="Z64" s="69"/>
      <c r="AA64" s="76"/>
      <c r="AB64" s="69"/>
      <c r="AC64" s="69"/>
      <c r="AD64" s="69"/>
      <c r="AE64" s="69"/>
      <c r="AF64" s="69"/>
      <c r="AG64" s="69"/>
      <c r="AH64" s="69"/>
      <c r="AI64" s="69"/>
      <c r="AJ64" s="69"/>
      <c r="AK64" s="69"/>
    </row>
    <row r="65" spans="1:37" s="140" customFormat="1" ht="12">
      <c r="A65" s="139">
        <v>31382</v>
      </c>
      <c r="B65" s="76">
        <v>1248</v>
      </c>
      <c r="C65" s="76"/>
      <c r="D65" s="76"/>
      <c r="E65" s="76"/>
      <c r="F65" s="76"/>
      <c r="G65" s="76"/>
      <c r="H65" s="76"/>
      <c r="I65" s="76"/>
      <c r="J65" s="76"/>
      <c r="K65" s="76">
        <v>210565</v>
      </c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76">
        <f t="shared" si="0"/>
        <v>40.258064516129032</v>
      </c>
      <c r="X65" s="69"/>
      <c r="Y65" s="76">
        <f t="shared" si="1"/>
        <v>591.79354838709673</v>
      </c>
      <c r="Z65" s="69"/>
      <c r="AA65" s="76"/>
      <c r="AB65" s="69"/>
      <c r="AC65" s="69"/>
      <c r="AD65" s="69"/>
      <c r="AE65" s="69"/>
      <c r="AF65" s="69"/>
      <c r="AG65" s="69"/>
      <c r="AH65" s="69"/>
      <c r="AI65" s="69"/>
      <c r="AJ65" s="69"/>
      <c r="AK65" s="69"/>
    </row>
    <row r="66" spans="1:37" s="140" customFormat="1" ht="12">
      <c r="A66" s="139">
        <v>31413</v>
      </c>
      <c r="B66" s="76">
        <v>1440</v>
      </c>
      <c r="C66" s="76"/>
      <c r="D66" s="76"/>
      <c r="E66" s="76"/>
      <c r="F66" s="76"/>
      <c r="G66" s="76"/>
      <c r="H66" s="76"/>
      <c r="I66" s="76"/>
      <c r="J66" s="76"/>
      <c r="K66" s="76">
        <v>201560</v>
      </c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76">
        <f t="shared" si="0"/>
        <v>46.451612903225808</v>
      </c>
      <c r="X66" s="69"/>
      <c r="Y66" s="76">
        <f t="shared" si="1"/>
        <v>682.83870967741939</v>
      </c>
      <c r="Z66" s="69"/>
      <c r="AA66" s="76"/>
      <c r="AB66" s="69"/>
      <c r="AC66" s="69"/>
      <c r="AD66" s="69"/>
      <c r="AE66" s="69"/>
      <c r="AF66" s="69"/>
      <c r="AG66" s="69"/>
      <c r="AH66" s="69"/>
      <c r="AI66" s="69"/>
      <c r="AJ66" s="69"/>
      <c r="AK66" s="69"/>
    </row>
    <row r="67" spans="1:37" s="140" customFormat="1" ht="12">
      <c r="A67" s="139">
        <v>31444</v>
      </c>
      <c r="B67" s="76">
        <v>1301</v>
      </c>
      <c r="C67" s="76"/>
      <c r="D67" s="76"/>
      <c r="E67" s="76"/>
      <c r="F67" s="76"/>
      <c r="G67" s="76"/>
      <c r="H67" s="76"/>
      <c r="I67" s="76"/>
      <c r="J67" s="76"/>
      <c r="K67" s="76">
        <v>181130</v>
      </c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76">
        <f t="shared" si="0"/>
        <v>46.464285714285715</v>
      </c>
      <c r="X67" s="69"/>
      <c r="Y67" s="76">
        <f t="shared" si="1"/>
        <v>683.02499999999998</v>
      </c>
      <c r="Z67" s="69"/>
      <c r="AA67" s="76"/>
      <c r="AB67" s="69"/>
      <c r="AC67" s="69"/>
      <c r="AD67" s="69"/>
      <c r="AE67" s="69"/>
      <c r="AF67" s="69"/>
      <c r="AG67" s="69"/>
      <c r="AH67" s="69"/>
      <c r="AI67" s="69"/>
      <c r="AJ67" s="69"/>
      <c r="AK67" s="69"/>
    </row>
    <row r="68" spans="1:37" s="140" customFormat="1" ht="12">
      <c r="A68" s="139">
        <v>31472</v>
      </c>
      <c r="B68" s="76">
        <v>1440</v>
      </c>
      <c r="C68" s="76"/>
      <c r="D68" s="76"/>
      <c r="E68" s="76"/>
      <c r="F68" s="76"/>
      <c r="G68" s="76"/>
      <c r="H68" s="76"/>
      <c r="I68" s="76"/>
      <c r="J68" s="76"/>
      <c r="K68" s="76">
        <v>215599</v>
      </c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76">
        <f t="shared" si="0"/>
        <v>46.451612903225808</v>
      </c>
      <c r="X68" s="69"/>
      <c r="Y68" s="76">
        <f t="shared" si="1"/>
        <v>682.83870967741939</v>
      </c>
      <c r="Z68" s="69"/>
      <c r="AA68" s="76"/>
      <c r="AB68" s="69"/>
      <c r="AC68" s="69"/>
      <c r="AD68" s="69"/>
      <c r="AE68" s="69"/>
      <c r="AF68" s="69"/>
      <c r="AG68" s="69"/>
      <c r="AH68" s="69"/>
      <c r="AI68" s="69"/>
      <c r="AJ68" s="69"/>
      <c r="AK68" s="69"/>
    </row>
    <row r="69" spans="1:37" s="140" customFormat="1" ht="12">
      <c r="A69" s="139">
        <v>31503</v>
      </c>
      <c r="B69" s="76">
        <v>1393</v>
      </c>
      <c r="C69" s="76"/>
      <c r="D69" s="76"/>
      <c r="E69" s="76"/>
      <c r="F69" s="76"/>
      <c r="G69" s="76"/>
      <c r="H69" s="76"/>
      <c r="I69" s="76"/>
      <c r="J69" s="76"/>
      <c r="K69" s="76">
        <v>213138</v>
      </c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76">
        <f t="shared" si="0"/>
        <v>46.43333333333333</v>
      </c>
      <c r="X69" s="69"/>
      <c r="Y69" s="76">
        <f t="shared" si="1"/>
        <v>682.57</v>
      </c>
      <c r="Z69" s="69"/>
      <c r="AA69" s="76"/>
      <c r="AB69" s="69"/>
      <c r="AC69" s="69"/>
      <c r="AD69" s="69"/>
      <c r="AE69" s="69"/>
      <c r="AF69" s="69"/>
      <c r="AG69" s="69"/>
      <c r="AH69" s="69"/>
      <c r="AI69" s="69"/>
      <c r="AJ69" s="69"/>
      <c r="AK69" s="69"/>
    </row>
    <row r="70" spans="1:37" s="140" customFormat="1" ht="12">
      <c r="A70" s="139">
        <v>31533</v>
      </c>
      <c r="B70" s="76">
        <v>1440</v>
      </c>
      <c r="C70" s="76"/>
      <c r="D70" s="76"/>
      <c r="E70" s="76"/>
      <c r="F70" s="76"/>
      <c r="G70" s="76"/>
      <c r="H70" s="76"/>
      <c r="I70" s="76"/>
      <c r="J70" s="76"/>
      <c r="K70" s="76">
        <v>220298</v>
      </c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76">
        <f t="shared" ref="W70:W133" si="2">B70/(A71-A70)</f>
        <v>46.451612903225808</v>
      </c>
      <c r="X70" s="69"/>
      <c r="Y70" s="76">
        <f t="shared" ref="Y70:Y133" si="3">W70*350*42/1000</f>
        <v>682.83870967741939</v>
      </c>
      <c r="Z70" s="69"/>
      <c r="AA70" s="76"/>
      <c r="AB70" s="69"/>
      <c r="AC70" s="69"/>
      <c r="AD70" s="69"/>
      <c r="AE70" s="69"/>
      <c r="AF70" s="69"/>
      <c r="AG70" s="69"/>
      <c r="AH70" s="69"/>
      <c r="AI70" s="69"/>
      <c r="AJ70" s="69"/>
      <c r="AK70" s="69"/>
    </row>
    <row r="71" spans="1:37" s="140" customFormat="1" ht="12">
      <c r="A71" s="139">
        <v>31564</v>
      </c>
      <c r="B71" s="76">
        <v>1393</v>
      </c>
      <c r="C71" s="76"/>
      <c r="D71" s="76"/>
      <c r="E71" s="76"/>
      <c r="F71" s="76"/>
      <c r="G71" s="76"/>
      <c r="H71" s="76"/>
      <c r="I71" s="76"/>
      <c r="J71" s="76"/>
      <c r="K71" s="76">
        <v>216274</v>
      </c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76">
        <f t="shared" si="2"/>
        <v>46.43333333333333</v>
      </c>
      <c r="X71" s="69"/>
      <c r="Y71" s="76">
        <f t="shared" si="3"/>
        <v>682.57</v>
      </c>
      <c r="Z71" s="69"/>
      <c r="AA71" s="76"/>
      <c r="AB71" s="69"/>
      <c r="AC71" s="69"/>
      <c r="AD71" s="69"/>
      <c r="AE71" s="69"/>
      <c r="AF71" s="69"/>
      <c r="AG71" s="69"/>
      <c r="AH71" s="69"/>
      <c r="AI71" s="69"/>
      <c r="AJ71" s="69"/>
      <c r="AK71" s="69"/>
    </row>
    <row r="72" spans="1:37" s="140" customFormat="1" ht="12">
      <c r="A72" s="139">
        <v>31594</v>
      </c>
      <c r="B72" s="76">
        <v>1440</v>
      </c>
      <c r="C72" s="76"/>
      <c r="D72" s="76"/>
      <c r="E72" s="76"/>
      <c r="F72" s="76"/>
      <c r="G72" s="76"/>
      <c r="H72" s="76"/>
      <c r="I72" s="76"/>
      <c r="J72" s="76"/>
      <c r="K72" s="76">
        <v>230501</v>
      </c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76">
        <f t="shared" si="2"/>
        <v>46.451612903225808</v>
      </c>
      <c r="X72" s="69"/>
      <c r="Y72" s="76">
        <f t="shared" si="3"/>
        <v>682.83870967741939</v>
      </c>
      <c r="Z72" s="69"/>
      <c r="AA72" s="76"/>
      <c r="AB72" s="69"/>
      <c r="AC72" s="69"/>
      <c r="AD72" s="69"/>
      <c r="AE72" s="69"/>
      <c r="AF72" s="69"/>
      <c r="AG72" s="69"/>
      <c r="AH72" s="69"/>
      <c r="AI72" s="69"/>
      <c r="AJ72" s="69"/>
      <c r="AK72" s="69"/>
    </row>
    <row r="73" spans="1:37" s="140" customFormat="1" ht="12">
      <c r="A73" s="139">
        <v>31625</v>
      </c>
      <c r="B73" s="76">
        <v>1440</v>
      </c>
      <c r="C73" s="76"/>
      <c r="D73" s="76"/>
      <c r="E73" s="76"/>
      <c r="F73" s="76"/>
      <c r="G73" s="76"/>
      <c r="H73" s="76"/>
      <c r="I73" s="76"/>
      <c r="J73" s="76"/>
      <c r="K73" s="76">
        <v>230479</v>
      </c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76">
        <f t="shared" si="2"/>
        <v>46.451612903225808</v>
      </c>
      <c r="X73" s="69"/>
      <c r="Y73" s="76">
        <f t="shared" si="3"/>
        <v>682.83870967741939</v>
      </c>
      <c r="Z73" s="69"/>
      <c r="AA73" s="76"/>
      <c r="AB73" s="69"/>
      <c r="AC73" s="69"/>
      <c r="AD73" s="69"/>
      <c r="AE73" s="69"/>
      <c r="AF73" s="69"/>
      <c r="AG73" s="69"/>
      <c r="AH73" s="69"/>
      <c r="AI73" s="69"/>
      <c r="AJ73" s="69"/>
      <c r="AK73" s="69"/>
    </row>
    <row r="74" spans="1:37" s="140" customFormat="1" ht="12">
      <c r="A74" s="139">
        <v>31656</v>
      </c>
      <c r="B74" s="76">
        <v>1393</v>
      </c>
      <c r="C74" s="76"/>
      <c r="D74" s="76"/>
      <c r="E74" s="76"/>
      <c r="F74" s="76"/>
      <c r="G74" s="76"/>
      <c r="H74" s="76"/>
      <c r="I74" s="76"/>
      <c r="J74" s="76"/>
      <c r="K74" s="76">
        <v>205933</v>
      </c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76">
        <f t="shared" si="2"/>
        <v>46.43333333333333</v>
      </c>
      <c r="X74" s="69"/>
      <c r="Y74" s="76">
        <f t="shared" si="3"/>
        <v>682.57</v>
      </c>
      <c r="Z74" s="69"/>
      <c r="AA74" s="76"/>
      <c r="AB74" s="69"/>
      <c r="AC74" s="69"/>
      <c r="AD74" s="69"/>
      <c r="AE74" s="69"/>
      <c r="AF74" s="69"/>
      <c r="AG74" s="69"/>
      <c r="AH74" s="69"/>
      <c r="AI74" s="69"/>
      <c r="AJ74" s="69"/>
      <c r="AK74" s="69"/>
    </row>
    <row r="75" spans="1:37" s="140" customFormat="1" ht="12">
      <c r="A75" s="139">
        <v>31686</v>
      </c>
      <c r="B75" s="76">
        <v>1440</v>
      </c>
      <c r="C75" s="76"/>
      <c r="D75" s="76"/>
      <c r="E75" s="76"/>
      <c r="F75" s="76"/>
      <c r="G75" s="76"/>
      <c r="H75" s="76"/>
      <c r="I75" s="76"/>
      <c r="J75" s="76"/>
      <c r="K75" s="76">
        <v>224737</v>
      </c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76">
        <f t="shared" si="2"/>
        <v>46.451612903225808</v>
      </c>
      <c r="X75" s="69"/>
      <c r="Y75" s="76">
        <f t="shared" si="3"/>
        <v>682.83870967741939</v>
      </c>
      <c r="Z75" s="69"/>
      <c r="AA75" s="76"/>
      <c r="AB75" s="69"/>
      <c r="AC75" s="69"/>
      <c r="AD75" s="69"/>
      <c r="AE75" s="69"/>
      <c r="AF75" s="69"/>
      <c r="AG75" s="69"/>
      <c r="AH75" s="69"/>
      <c r="AI75" s="69"/>
      <c r="AJ75" s="69"/>
      <c r="AK75" s="69"/>
    </row>
    <row r="76" spans="1:37" s="140" customFormat="1" ht="12">
      <c r="A76" s="139">
        <v>31717</v>
      </c>
      <c r="B76" s="76">
        <v>1393</v>
      </c>
      <c r="C76" s="76"/>
      <c r="D76" s="76"/>
      <c r="E76" s="76"/>
      <c r="F76" s="76"/>
      <c r="G76" s="76"/>
      <c r="H76" s="76"/>
      <c r="I76" s="76"/>
      <c r="J76" s="76"/>
      <c r="K76" s="76">
        <v>206367</v>
      </c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76">
        <f t="shared" si="2"/>
        <v>46.43333333333333</v>
      </c>
      <c r="X76" s="69"/>
      <c r="Y76" s="76">
        <f t="shared" si="3"/>
        <v>682.57</v>
      </c>
      <c r="Z76" s="69"/>
      <c r="AA76" s="76"/>
      <c r="AB76" s="69"/>
      <c r="AC76" s="69"/>
      <c r="AD76" s="69"/>
      <c r="AE76" s="69"/>
      <c r="AF76" s="69"/>
      <c r="AG76" s="69"/>
      <c r="AH76" s="69"/>
      <c r="AI76" s="69"/>
      <c r="AJ76" s="69"/>
      <c r="AK76" s="69"/>
    </row>
    <row r="77" spans="1:37" s="140" customFormat="1" ht="12">
      <c r="A77" s="139">
        <v>31747</v>
      </c>
      <c r="B77" s="76">
        <v>1440</v>
      </c>
      <c r="C77" s="76"/>
      <c r="D77" s="76"/>
      <c r="E77" s="76"/>
      <c r="F77" s="76"/>
      <c r="G77" s="76"/>
      <c r="H77" s="76"/>
      <c r="I77" s="76"/>
      <c r="J77" s="76"/>
      <c r="K77" s="76">
        <v>221421</v>
      </c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76">
        <f t="shared" si="2"/>
        <v>46.451612903225808</v>
      </c>
      <c r="X77" s="69"/>
      <c r="Y77" s="76">
        <f t="shared" si="3"/>
        <v>682.83870967741939</v>
      </c>
      <c r="Z77" s="69"/>
      <c r="AA77" s="76"/>
      <c r="AB77" s="69"/>
      <c r="AC77" s="69"/>
      <c r="AD77" s="69"/>
      <c r="AE77" s="69"/>
      <c r="AF77" s="69"/>
      <c r="AG77" s="69"/>
      <c r="AH77" s="69"/>
      <c r="AI77" s="69"/>
      <c r="AJ77" s="69"/>
      <c r="AK77" s="69"/>
    </row>
    <row r="78" spans="1:37" s="140" customFormat="1" ht="12">
      <c r="A78" s="139">
        <v>31778</v>
      </c>
      <c r="B78" s="76">
        <v>1656</v>
      </c>
      <c r="C78" s="76"/>
      <c r="D78" s="76"/>
      <c r="E78" s="76"/>
      <c r="F78" s="76"/>
      <c r="G78" s="76"/>
      <c r="H78" s="76"/>
      <c r="I78" s="76"/>
      <c r="J78" s="76"/>
      <c r="K78" s="76">
        <v>202580</v>
      </c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76">
        <f t="shared" si="2"/>
        <v>53.41935483870968</v>
      </c>
      <c r="X78" s="69"/>
      <c r="Y78" s="76">
        <f t="shared" si="3"/>
        <v>785.26451612903224</v>
      </c>
      <c r="Z78" s="69"/>
      <c r="AA78" s="76"/>
      <c r="AB78" s="69"/>
      <c r="AC78" s="69"/>
      <c r="AD78" s="69"/>
      <c r="AE78" s="69"/>
      <c r="AF78" s="69"/>
      <c r="AG78" s="69"/>
      <c r="AH78" s="69"/>
      <c r="AI78" s="69"/>
      <c r="AJ78" s="69"/>
      <c r="AK78" s="69"/>
    </row>
    <row r="79" spans="1:37" s="140" customFormat="1" ht="12">
      <c r="A79" s="139">
        <v>31809</v>
      </c>
      <c r="B79" s="76">
        <v>1496</v>
      </c>
      <c r="C79" s="76"/>
      <c r="D79" s="76"/>
      <c r="E79" s="76"/>
      <c r="F79" s="76"/>
      <c r="G79" s="76"/>
      <c r="H79" s="76"/>
      <c r="I79" s="76"/>
      <c r="J79" s="76"/>
      <c r="K79" s="76">
        <v>190286</v>
      </c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76">
        <f t="shared" si="2"/>
        <v>53.428571428571431</v>
      </c>
      <c r="X79" s="69"/>
      <c r="Y79" s="76">
        <f t="shared" si="3"/>
        <v>785.4</v>
      </c>
      <c r="Z79" s="69"/>
      <c r="AA79" s="76"/>
      <c r="AB79" s="69"/>
      <c r="AC79" s="69"/>
      <c r="AD79" s="69"/>
      <c r="AE79" s="69"/>
      <c r="AF79" s="69"/>
      <c r="AG79" s="69"/>
      <c r="AH79" s="69"/>
      <c r="AI79" s="69"/>
      <c r="AJ79" s="69"/>
      <c r="AK79" s="69"/>
    </row>
    <row r="80" spans="1:37" s="140" customFormat="1" ht="12">
      <c r="A80" s="139">
        <v>31837</v>
      </c>
      <c r="B80" s="76">
        <v>1656</v>
      </c>
      <c r="C80" s="76"/>
      <c r="D80" s="76"/>
      <c r="E80" s="76"/>
      <c r="F80" s="76"/>
      <c r="G80" s="76"/>
      <c r="H80" s="76"/>
      <c r="I80" s="76"/>
      <c r="J80" s="76"/>
      <c r="K80" s="76">
        <v>215891</v>
      </c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76">
        <f t="shared" si="2"/>
        <v>53.41935483870968</v>
      </c>
      <c r="X80" s="69"/>
      <c r="Y80" s="76">
        <f t="shared" si="3"/>
        <v>785.26451612903224</v>
      </c>
      <c r="Z80" s="69"/>
      <c r="AA80" s="76"/>
      <c r="AB80" s="69"/>
      <c r="AC80" s="69"/>
      <c r="AD80" s="69"/>
      <c r="AE80" s="69"/>
      <c r="AF80" s="69"/>
      <c r="AG80" s="69"/>
      <c r="AH80" s="69"/>
      <c r="AI80" s="69"/>
      <c r="AJ80" s="69"/>
      <c r="AK80" s="69"/>
    </row>
    <row r="81" spans="1:37" s="140" customFormat="1" ht="12">
      <c r="A81" s="139">
        <v>31868</v>
      </c>
      <c r="B81" s="76">
        <v>1603</v>
      </c>
      <c r="C81" s="76"/>
      <c r="D81" s="76"/>
      <c r="E81" s="76"/>
      <c r="F81" s="76"/>
      <c r="G81" s="76"/>
      <c r="H81" s="76"/>
      <c r="I81" s="76"/>
      <c r="J81" s="76"/>
      <c r="K81" s="76">
        <v>219421</v>
      </c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76">
        <f t="shared" si="2"/>
        <v>53.43333333333333</v>
      </c>
      <c r="X81" s="69"/>
      <c r="Y81" s="76">
        <f t="shared" si="3"/>
        <v>785.46999999999991</v>
      </c>
      <c r="Z81" s="69"/>
      <c r="AA81" s="76"/>
      <c r="AB81" s="69"/>
      <c r="AC81" s="69"/>
      <c r="AD81" s="69"/>
      <c r="AE81" s="69"/>
      <c r="AF81" s="69"/>
      <c r="AG81" s="69"/>
      <c r="AH81" s="69"/>
      <c r="AI81" s="69"/>
      <c r="AJ81" s="69"/>
      <c r="AK81" s="69"/>
    </row>
    <row r="82" spans="1:37" s="140" customFormat="1" ht="12">
      <c r="A82" s="139">
        <v>31898</v>
      </c>
      <c r="B82" s="76">
        <v>1656</v>
      </c>
      <c r="C82" s="76"/>
      <c r="D82" s="76"/>
      <c r="E82" s="76"/>
      <c r="F82" s="76"/>
      <c r="G82" s="76"/>
      <c r="H82" s="76"/>
      <c r="I82" s="76"/>
      <c r="J82" s="76"/>
      <c r="K82" s="76">
        <v>231273</v>
      </c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76">
        <f t="shared" si="2"/>
        <v>53.41935483870968</v>
      </c>
      <c r="X82" s="69"/>
      <c r="Y82" s="76">
        <f t="shared" si="3"/>
        <v>785.26451612903224</v>
      </c>
      <c r="Z82" s="69"/>
      <c r="AA82" s="76"/>
      <c r="AB82" s="69"/>
      <c r="AC82" s="69"/>
      <c r="AD82" s="69"/>
      <c r="AE82" s="69"/>
      <c r="AF82" s="69"/>
      <c r="AG82" s="69"/>
      <c r="AH82" s="69"/>
      <c r="AI82" s="69"/>
      <c r="AJ82" s="69"/>
      <c r="AK82" s="69"/>
    </row>
    <row r="83" spans="1:37" s="140" customFormat="1" ht="12">
      <c r="A83" s="139">
        <v>31929</v>
      </c>
      <c r="B83" s="76">
        <v>1603</v>
      </c>
      <c r="C83" s="76"/>
      <c r="D83" s="76"/>
      <c r="E83" s="76"/>
      <c r="F83" s="76"/>
      <c r="G83" s="76"/>
      <c r="H83" s="76"/>
      <c r="I83" s="76"/>
      <c r="J83" s="76"/>
      <c r="K83" s="76">
        <v>226184</v>
      </c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76">
        <f t="shared" si="2"/>
        <v>53.43333333333333</v>
      </c>
      <c r="X83" s="69"/>
      <c r="Y83" s="76">
        <f t="shared" si="3"/>
        <v>785.46999999999991</v>
      </c>
      <c r="Z83" s="69"/>
      <c r="AA83" s="76"/>
      <c r="AB83" s="69"/>
      <c r="AC83" s="69"/>
      <c r="AD83" s="69"/>
      <c r="AE83" s="69"/>
      <c r="AF83" s="69"/>
      <c r="AG83" s="69"/>
      <c r="AH83" s="69"/>
      <c r="AI83" s="69"/>
      <c r="AJ83" s="69"/>
      <c r="AK83" s="69"/>
    </row>
    <row r="84" spans="1:37" s="140" customFormat="1" ht="12">
      <c r="A84" s="139">
        <v>31959</v>
      </c>
      <c r="B84" s="76">
        <v>1656</v>
      </c>
      <c r="C84" s="76"/>
      <c r="D84" s="76"/>
      <c r="E84" s="76"/>
      <c r="F84" s="76"/>
      <c r="G84" s="76"/>
      <c r="H84" s="76"/>
      <c r="I84" s="76"/>
      <c r="J84" s="76"/>
      <c r="K84" s="76">
        <v>235018</v>
      </c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76">
        <f t="shared" si="2"/>
        <v>53.41935483870968</v>
      </c>
      <c r="X84" s="69"/>
      <c r="Y84" s="76">
        <f t="shared" si="3"/>
        <v>785.26451612903224</v>
      </c>
      <c r="Z84" s="69"/>
      <c r="AA84" s="76"/>
      <c r="AB84" s="69"/>
      <c r="AC84" s="69"/>
      <c r="AD84" s="69"/>
      <c r="AE84" s="69"/>
      <c r="AF84" s="69"/>
      <c r="AG84" s="69"/>
      <c r="AH84" s="69"/>
      <c r="AI84" s="69"/>
      <c r="AJ84" s="69"/>
      <c r="AK84" s="69"/>
    </row>
    <row r="85" spans="1:37" s="140" customFormat="1" ht="12">
      <c r="A85" s="139">
        <v>31990</v>
      </c>
      <c r="B85" s="76">
        <v>1656</v>
      </c>
      <c r="C85" s="76"/>
      <c r="D85" s="76"/>
      <c r="E85" s="76"/>
      <c r="F85" s="76"/>
      <c r="G85" s="76"/>
      <c r="H85" s="76"/>
      <c r="I85" s="76"/>
      <c r="J85" s="76"/>
      <c r="K85" s="76">
        <v>227487</v>
      </c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76">
        <f t="shared" si="2"/>
        <v>53.41935483870968</v>
      </c>
      <c r="X85" s="69"/>
      <c r="Y85" s="76">
        <f t="shared" si="3"/>
        <v>785.26451612903224</v>
      </c>
      <c r="Z85" s="69"/>
      <c r="AA85" s="76"/>
      <c r="AB85" s="69"/>
      <c r="AC85" s="69"/>
      <c r="AD85" s="69"/>
      <c r="AE85" s="69"/>
      <c r="AF85" s="69"/>
      <c r="AG85" s="69"/>
      <c r="AH85" s="69"/>
      <c r="AI85" s="69"/>
      <c r="AJ85" s="69"/>
      <c r="AK85" s="69"/>
    </row>
    <row r="86" spans="1:37" s="140" customFormat="1" ht="12">
      <c r="A86" s="139">
        <v>32021</v>
      </c>
      <c r="B86" s="76">
        <v>1603</v>
      </c>
      <c r="C86" s="76"/>
      <c r="D86" s="76"/>
      <c r="E86" s="76"/>
      <c r="F86" s="76"/>
      <c r="G86" s="76"/>
      <c r="H86" s="76"/>
      <c r="I86" s="76"/>
      <c r="J86" s="76"/>
      <c r="K86" s="76">
        <v>216156</v>
      </c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76">
        <f t="shared" si="2"/>
        <v>53.43333333333333</v>
      </c>
      <c r="X86" s="69"/>
      <c r="Y86" s="76">
        <f t="shared" si="3"/>
        <v>785.46999999999991</v>
      </c>
      <c r="Z86" s="69"/>
      <c r="AA86" s="76"/>
      <c r="AB86" s="69"/>
      <c r="AC86" s="69"/>
      <c r="AD86" s="69"/>
      <c r="AE86" s="69"/>
      <c r="AF86" s="69"/>
      <c r="AG86" s="69"/>
      <c r="AH86" s="69"/>
      <c r="AI86" s="69"/>
      <c r="AJ86" s="69"/>
      <c r="AK86" s="69"/>
    </row>
    <row r="87" spans="1:37" s="140" customFormat="1" ht="12">
      <c r="A87" s="139">
        <v>32051</v>
      </c>
      <c r="B87" s="76">
        <v>1656</v>
      </c>
      <c r="C87" s="76"/>
      <c r="D87" s="76"/>
      <c r="E87" s="76"/>
      <c r="F87" s="76"/>
      <c r="G87" s="76"/>
      <c r="H87" s="76"/>
      <c r="I87" s="76"/>
      <c r="J87" s="76"/>
      <c r="K87" s="76">
        <v>226466</v>
      </c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76">
        <f t="shared" si="2"/>
        <v>53.41935483870968</v>
      </c>
      <c r="X87" s="69"/>
      <c r="Y87" s="76">
        <f t="shared" si="3"/>
        <v>785.26451612903224</v>
      </c>
      <c r="Z87" s="69"/>
      <c r="AA87" s="76"/>
      <c r="AB87" s="69"/>
      <c r="AC87" s="69"/>
      <c r="AD87" s="69"/>
      <c r="AE87" s="69"/>
      <c r="AF87" s="69"/>
      <c r="AG87" s="69"/>
      <c r="AH87" s="69"/>
      <c r="AI87" s="69"/>
      <c r="AJ87" s="69"/>
      <c r="AK87" s="69"/>
    </row>
    <row r="88" spans="1:37" s="140" customFormat="1" ht="12">
      <c r="A88" s="139">
        <v>32082</v>
      </c>
      <c r="B88" s="76">
        <v>1603</v>
      </c>
      <c r="C88" s="76"/>
      <c r="D88" s="76"/>
      <c r="E88" s="76"/>
      <c r="F88" s="76"/>
      <c r="G88" s="76"/>
      <c r="H88" s="76"/>
      <c r="I88" s="76"/>
      <c r="J88" s="76"/>
      <c r="K88" s="76">
        <v>214540</v>
      </c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76">
        <f t="shared" si="2"/>
        <v>53.43333333333333</v>
      </c>
      <c r="X88" s="69"/>
      <c r="Y88" s="76">
        <f t="shared" si="3"/>
        <v>785.46999999999991</v>
      </c>
      <c r="Z88" s="69"/>
      <c r="AA88" s="76"/>
      <c r="AB88" s="69"/>
      <c r="AC88" s="69"/>
      <c r="AD88" s="69"/>
      <c r="AE88" s="69"/>
      <c r="AF88" s="69"/>
      <c r="AG88" s="69"/>
      <c r="AH88" s="69"/>
      <c r="AI88" s="69"/>
      <c r="AJ88" s="69"/>
      <c r="AK88" s="69"/>
    </row>
    <row r="89" spans="1:37" s="140" customFormat="1" ht="12">
      <c r="A89" s="139">
        <v>32112</v>
      </c>
      <c r="B89" s="76">
        <v>1656</v>
      </c>
      <c r="C89" s="76"/>
      <c r="D89" s="76"/>
      <c r="E89" s="76"/>
      <c r="F89" s="76"/>
      <c r="G89" s="76"/>
      <c r="H89" s="76"/>
      <c r="I89" s="76"/>
      <c r="J89" s="76"/>
      <c r="K89" s="76">
        <v>224788</v>
      </c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76">
        <f t="shared" si="2"/>
        <v>53.41935483870968</v>
      </c>
      <c r="X89" s="69"/>
      <c r="Y89" s="76">
        <f t="shared" si="3"/>
        <v>785.26451612903224</v>
      </c>
      <c r="Z89" s="69"/>
      <c r="AA89" s="76"/>
      <c r="AB89" s="69"/>
      <c r="AC89" s="69"/>
      <c r="AD89" s="69"/>
      <c r="AE89" s="69"/>
      <c r="AF89" s="69"/>
      <c r="AG89" s="69"/>
      <c r="AH89" s="69"/>
      <c r="AI89" s="69"/>
      <c r="AJ89" s="69"/>
      <c r="AK89" s="69"/>
    </row>
    <row r="90" spans="1:37" s="140" customFormat="1" ht="12">
      <c r="A90" s="139">
        <v>32143</v>
      </c>
      <c r="B90" s="76">
        <v>1675</v>
      </c>
      <c r="C90" s="76"/>
      <c r="D90" s="76"/>
      <c r="E90" s="76"/>
      <c r="F90" s="76"/>
      <c r="G90" s="76"/>
      <c r="H90" s="76"/>
      <c r="I90" s="76"/>
      <c r="J90" s="76"/>
      <c r="K90" s="76">
        <v>207478</v>
      </c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76">
        <f t="shared" si="2"/>
        <v>54.032258064516128</v>
      </c>
      <c r="X90" s="69"/>
      <c r="Y90" s="76">
        <f t="shared" si="3"/>
        <v>794.27419354838707</v>
      </c>
      <c r="Z90" s="69"/>
      <c r="AA90" s="76"/>
      <c r="AB90" s="69"/>
      <c r="AC90" s="69"/>
      <c r="AD90" s="69"/>
      <c r="AE90" s="69"/>
      <c r="AF90" s="69"/>
      <c r="AG90" s="69"/>
      <c r="AH90" s="69"/>
      <c r="AI90" s="69"/>
      <c r="AJ90" s="69"/>
      <c r="AK90" s="69"/>
    </row>
    <row r="91" spans="1:37" s="140" customFormat="1" ht="12">
      <c r="A91" s="139">
        <v>32174</v>
      </c>
      <c r="B91" s="76">
        <v>1567</v>
      </c>
      <c r="C91" s="76"/>
      <c r="D91" s="76"/>
      <c r="E91" s="76"/>
      <c r="F91" s="76"/>
      <c r="G91" s="76"/>
      <c r="H91" s="76"/>
      <c r="I91" s="76"/>
      <c r="J91" s="76"/>
      <c r="K91" s="76">
        <v>204134</v>
      </c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76">
        <f t="shared" si="2"/>
        <v>54.03448275862069</v>
      </c>
      <c r="X91" s="69"/>
      <c r="Y91" s="76">
        <f t="shared" si="3"/>
        <v>794.30689655172421</v>
      </c>
      <c r="Z91" s="69"/>
      <c r="AA91" s="76"/>
      <c r="AB91" s="69"/>
      <c r="AC91" s="69"/>
      <c r="AD91" s="69"/>
      <c r="AE91" s="69"/>
      <c r="AF91" s="69"/>
      <c r="AG91" s="69"/>
      <c r="AH91" s="69"/>
      <c r="AI91" s="69"/>
      <c r="AJ91" s="69"/>
      <c r="AK91" s="69"/>
    </row>
    <row r="92" spans="1:37" s="140" customFormat="1" ht="12">
      <c r="A92" s="139">
        <v>32203</v>
      </c>
      <c r="B92" s="76">
        <v>1675</v>
      </c>
      <c r="C92" s="76"/>
      <c r="D92" s="76"/>
      <c r="E92" s="76"/>
      <c r="F92" s="76"/>
      <c r="G92" s="76"/>
      <c r="H92" s="76"/>
      <c r="I92" s="76"/>
      <c r="J92" s="76"/>
      <c r="K92" s="76">
        <v>227007</v>
      </c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76">
        <f t="shared" si="2"/>
        <v>54.032258064516128</v>
      </c>
      <c r="X92" s="69"/>
      <c r="Y92" s="76">
        <f t="shared" si="3"/>
        <v>794.27419354838707</v>
      </c>
      <c r="Z92" s="69"/>
      <c r="AA92" s="76"/>
      <c r="AB92" s="69"/>
      <c r="AC92" s="69"/>
      <c r="AD92" s="69"/>
      <c r="AE92" s="69"/>
      <c r="AF92" s="69"/>
      <c r="AG92" s="69"/>
      <c r="AH92" s="69"/>
      <c r="AI92" s="69"/>
      <c r="AJ92" s="69"/>
      <c r="AK92" s="69"/>
    </row>
    <row r="93" spans="1:37" s="140" customFormat="1" ht="12">
      <c r="A93" s="139">
        <v>32234</v>
      </c>
      <c r="B93" s="76">
        <v>1621</v>
      </c>
      <c r="C93" s="76"/>
      <c r="D93" s="76"/>
      <c r="E93" s="76"/>
      <c r="F93" s="76"/>
      <c r="G93" s="76"/>
      <c r="H93" s="76"/>
      <c r="I93" s="76"/>
      <c r="J93" s="76"/>
      <c r="K93" s="76">
        <v>222900</v>
      </c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76">
        <f t="shared" si="2"/>
        <v>54.033333333333331</v>
      </c>
      <c r="X93" s="69"/>
      <c r="Y93" s="76">
        <f t="shared" si="3"/>
        <v>794.28999999999985</v>
      </c>
      <c r="Z93" s="69"/>
      <c r="AA93" s="76"/>
      <c r="AB93" s="69"/>
      <c r="AC93" s="69"/>
      <c r="AD93" s="69"/>
      <c r="AE93" s="69"/>
      <c r="AF93" s="69"/>
      <c r="AG93" s="69"/>
      <c r="AH93" s="69"/>
      <c r="AI93" s="69"/>
      <c r="AJ93" s="69"/>
      <c r="AK93" s="69"/>
    </row>
    <row r="94" spans="1:37" s="140" customFormat="1" ht="12">
      <c r="A94" s="139">
        <v>32264</v>
      </c>
      <c r="B94" s="76">
        <v>1675</v>
      </c>
      <c r="C94" s="76"/>
      <c r="D94" s="76"/>
      <c r="E94" s="76"/>
      <c r="F94" s="76"/>
      <c r="G94" s="76"/>
      <c r="H94" s="76"/>
      <c r="I94" s="76"/>
      <c r="J94" s="76"/>
      <c r="K94" s="76">
        <v>226390</v>
      </c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76">
        <f t="shared" si="2"/>
        <v>54.032258064516128</v>
      </c>
      <c r="X94" s="69"/>
      <c r="Y94" s="76">
        <f t="shared" si="3"/>
        <v>794.27419354838707</v>
      </c>
      <c r="Z94" s="69"/>
      <c r="AA94" s="76"/>
      <c r="AB94" s="69"/>
      <c r="AC94" s="69"/>
      <c r="AD94" s="69"/>
      <c r="AE94" s="69"/>
      <c r="AF94" s="69"/>
      <c r="AG94" s="69"/>
      <c r="AH94" s="69"/>
      <c r="AI94" s="69"/>
      <c r="AJ94" s="69"/>
      <c r="AK94" s="69"/>
    </row>
    <row r="95" spans="1:37" s="140" customFormat="1" ht="12">
      <c r="A95" s="139">
        <v>32295</v>
      </c>
      <c r="B95" s="76">
        <v>1621</v>
      </c>
      <c r="C95" s="76"/>
      <c r="D95" s="76"/>
      <c r="E95" s="76"/>
      <c r="F95" s="76"/>
      <c r="G95" s="76"/>
      <c r="H95" s="76"/>
      <c r="I95" s="76"/>
      <c r="J95" s="76"/>
      <c r="K95" s="76">
        <v>234515</v>
      </c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76">
        <f t="shared" si="2"/>
        <v>54.033333333333331</v>
      </c>
      <c r="X95" s="69"/>
      <c r="Y95" s="76">
        <f t="shared" si="3"/>
        <v>794.28999999999985</v>
      </c>
      <c r="Z95" s="69"/>
      <c r="AA95" s="76"/>
      <c r="AB95" s="69"/>
      <c r="AC95" s="69"/>
      <c r="AD95" s="69"/>
      <c r="AE95" s="69"/>
      <c r="AF95" s="69"/>
      <c r="AG95" s="69"/>
      <c r="AH95" s="69"/>
      <c r="AI95" s="69"/>
      <c r="AJ95" s="69"/>
      <c r="AK95" s="69"/>
    </row>
    <row r="96" spans="1:37" s="140" customFormat="1" ht="12">
      <c r="A96" s="139">
        <v>32325</v>
      </c>
      <c r="B96" s="76">
        <v>1675</v>
      </c>
      <c r="C96" s="76"/>
      <c r="D96" s="76"/>
      <c r="E96" s="76"/>
      <c r="F96" s="76"/>
      <c r="G96" s="76"/>
      <c r="H96" s="76"/>
      <c r="I96" s="76"/>
      <c r="J96" s="76"/>
      <c r="K96" s="76">
        <v>231938</v>
      </c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76">
        <f t="shared" si="2"/>
        <v>54.032258064516128</v>
      </c>
      <c r="X96" s="69"/>
      <c r="Y96" s="76">
        <f t="shared" si="3"/>
        <v>794.27419354838707</v>
      </c>
      <c r="Z96" s="69"/>
      <c r="AA96" s="76"/>
      <c r="AB96" s="69"/>
      <c r="AC96" s="69"/>
      <c r="AD96" s="69"/>
      <c r="AE96" s="69"/>
      <c r="AF96" s="69"/>
      <c r="AG96" s="69"/>
      <c r="AH96" s="69"/>
      <c r="AI96" s="69"/>
      <c r="AJ96" s="69"/>
      <c r="AK96" s="69"/>
    </row>
    <row r="97" spans="1:37" s="140" customFormat="1" ht="12">
      <c r="A97" s="139">
        <v>32356</v>
      </c>
      <c r="B97" s="76">
        <v>1675</v>
      </c>
      <c r="C97" s="76"/>
      <c r="D97" s="76"/>
      <c r="E97" s="76"/>
      <c r="F97" s="76"/>
      <c r="G97" s="76"/>
      <c r="H97" s="76"/>
      <c r="I97" s="76"/>
      <c r="J97" s="76"/>
      <c r="K97" s="76">
        <v>234248</v>
      </c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76">
        <f t="shared" si="2"/>
        <v>54.032258064516128</v>
      </c>
      <c r="X97" s="69"/>
      <c r="Y97" s="76">
        <f t="shared" si="3"/>
        <v>794.27419354838707</v>
      </c>
      <c r="Z97" s="69"/>
      <c r="AA97" s="76"/>
      <c r="AB97" s="69"/>
      <c r="AC97" s="69"/>
      <c r="AD97" s="69"/>
      <c r="AE97" s="69"/>
      <c r="AF97" s="69"/>
      <c r="AG97" s="69"/>
      <c r="AH97" s="69"/>
      <c r="AI97" s="69"/>
      <c r="AJ97" s="69"/>
      <c r="AK97" s="69"/>
    </row>
    <row r="98" spans="1:37" s="140" customFormat="1" ht="12">
      <c r="A98" s="139">
        <v>32387</v>
      </c>
      <c r="B98" s="76">
        <v>1621</v>
      </c>
      <c r="C98" s="76"/>
      <c r="D98" s="76"/>
      <c r="E98" s="76"/>
      <c r="F98" s="76"/>
      <c r="G98" s="76"/>
      <c r="H98" s="76"/>
      <c r="I98" s="76"/>
      <c r="J98" s="76"/>
      <c r="K98" s="76">
        <v>222114</v>
      </c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76">
        <f t="shared" si="2"/>
        <v>54.033333333333331</v>
      </c>
      <c r="X98" s="69"/>
      <c r="Y98" s="76">
        <f t="shared" si="3"/>
        <v>794.28999999999985</v>
      </c>
      <c r="Z98" s="69"/>
      <c r="AA98" s="76"/>
      <c r="AB98" s="69"/>
      <c r="AC98" s="69"/>
      <c r="AD98" s="69"/>
      <c r="AE98" s="69"/>
      <c r="AF98" s="69"/>
      <c r="AG98" s="69"/>
      <c r="AH98" s="69"/>
      <c r="AI98" s="69"/>
      <c r="AJ98" s="69"/>
      <c r="AK98" s="69"/>
    </row>
    <row r="99" spans="1:37" s="140" customFormat="1" ht="12">
      <c r="A99" s="139">
        <v>32417</v>
      </c>
      <c r="B99" s="76">
        <v>1675</v>
      </c>
      <c r="C99" s="76"/>
      <c r="D99" s="76"/>
      <c r="E99" s="76"/>
      <c r="F99" s="76"/>
      <c r="G99" s="76"/>
      <c r="H99" s="76"/>
      <c r="I99" s="76"/>
      <c r="J99" s="76"/>
      <c r="K99" s="76">
        <v>225402</v>
      </c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76">
        <f t="shared" si="2"/>
        <v>54.032258064516128</v>
      </c>
      <c r="X99" s="69"/>
      <c r="Y99" s="76">
        <f t="shared" si="3"/>
        <v>794.27419354838707</v>
      </c>
      <c r="Z99" s="69"/>
      <c r="AA99" s="76"/>
      <c r="AB99" s="69"/>
      <c r="AC99" s="69"/>
      <c r="AD99" s="69"/>
      <c r="AE99" s="69"/>
      <c r="AF99" s="69"/>
      <c r="AG99" s="69"/>
      <c r="AH99" s="69"/>
      <c r="AI99" s="69"/>
      <c r="AJ99" s="69"/>
      <c r="AK99" s="69"/>
    </row>
    <row r="100" spans="1:37" s="140" customFormat="1" ht="12">
      <c r="A100" s="139">
        <v>32448</v>
      </c>
      <c r="B100" s="76">
        <v>1621</v>
      </c>
      <c r="C100" s="76"/>
      <c r="D100" s="76"/>
      <c r="E100" s="76"/>
      <c r="F100" s="76"/>
      <c r="G100" s="76"/>
      <c r="H100" s="76"/>
      <c r="I100" s="76"/>
      <c r="J100" s="76"/>
      <c r="K100" s="76">
        <v>221355</v>
      </c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76">
        <f t="shared" si="2"/>
        <v>54.033333333333331</v>
      </c>
      <c r="X100" s="69"/>
      <c r="Y100" s="76">
        <f t="shared" si="3"/>
        <v>794.28999999999985</v>
      </c>
      <c r="Z100" s="69"/>
      <c r="AA100" s="76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</row>
    <row r="101" spans="1:37" s="140" customFormat="1" ht="12">
      <c r="A101" s="139">
        <v>32478</v>
      </c>
      <c r="B101" s="76">
        <v>1675</v>
      </c>
      <c r="C101" s="76"/>
      <c r="D101" s="76"/>
      <c r="E101" s="76"/>
      <c r="F101" s="76"/>
      <c r="G101" s="76"/>
      <c r="H101" s="76"/>
      <c r="I101" s="76"/>
      <c r="J101" s="76"/>
      <c r="K101" s="76">
        <v>227664</v>
      </c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76">
        <f t="shared" si="2"/>
        <v>54.032258064516128</v>
      </c>
      <c r="X101" s="69"/>
      <c r="Y101" s="76">
        <f t="shared" si="3"/>
        <v>794.27419354838707</v>
      </c>
      <c r="Z101" s="69"/>
      <c r="AA101" s="76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</row>
    <row r="102" spans="1:37" s="140" customFormat="1" ht="12">
      <c r="A102" s="139">
        <v>32509</v>
      </c>
      <c r="B102" s="76">
        <v>1704</v>
      </c>
      <c r="C102" s="76"/>
      <c r="D102" s="76"/>
      <c r="E102" s="76"/>
      <c r="F102" s="76"/>
      <c r="G102" s="76"/>
      <c r="H102" s="76"/>
      <c r="I102" s="76"/>
      <c r="J102" s="76"/>
      <c r="K102" s="76">
        <v>209090</v>
      </c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76">
        <f t="shared" si="2"/>
        <v>54.967741935483872</v>
      </c>
      <c r="X102" s="69"/>
      <c r="Y102" s="76">
        <f t="shared" si="3"/>
        <v>808.02580645161299</v>
      </c>
      <c r="Z102" s="69"/>
      <c r="AA102" s="76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</row>
    <row r="103" spans="1:37" s="140" customFormat="1" ht="12">
      <c r="A103" s="139">
        <v>32540</v>
      </c>
      <c r="B103" s="76">
        <v>1539</v>
      </c>
      <c r="C103" s="76"/>
      <c r="D103" s="76"/>
      <c r="E103" s="76"/>
      <c r="F103" s="76"/>
      <c r="G103" s="76"/>
      <c r="H103" s="76"/>
      <c r="I103" s="76"/>
      <c r="J103" s="76"/>
      <c r="K103" s="76">
        <v>199330</v>
      </c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76">
        <f t="shared" si="2"/>
        <v>54.964285714285715</v>
      </c>
      <c r="X103" s="69"/>
      <c r="Y103" s="76">
        <f t="shared" si="3"/>
        <v>807.97500000000002</v>
      </c>
      <c r="Z103" s="69"/>
      <c r="AA103" s="76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</row>
    <row r="104" spans="1:37" s="140" customFormat="1" ht="12">
      <c r="A104" s="139">
        <v>32568</v>
      </c>
      <c r="B104" s="76">
        <v>1704</v>
      </c>
      <c r="C104" s="76"/>
      <c r="D104" s="76"/>
      <c r="E104" s="76"/>
      <c r="F104" s="76"/>
      <c r="G104" s="76"/>
      <c r="H104" s="76"/>
      <c r="I104" s="76"/>
      <c r="J104" s="76"/>
      <c r="K104" s="76">
        <v>230053</v>
      </c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76">
        <f t="shared" si="2"/>
        <v>54.967741935483872</v>
      </c>
      <c r="X104" s="69"/>
      <c r="Y104" s="76">
        <f t="shared" si="3"/>
        <v>808.02580645161299</v>
      </c>
      <c r="Z104" s="69"/>
      <c r="AA104" s="76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</row>
    <row r="105" spans="1:37" s="140" customFormat="1" ht="12">
      <c r="A105" s="139">
        <v>32599</v>
      </c>
      <c r="B105" s="76">
        <v>1649</v>
      </c>
      <c r="C105" s="76"/>
      <c r="D105" s="76"/>
      <c r="E105" s="76"/>
      <c r="F105" s="76"/>
      <c r="G105" s="76"/>
      <c r="H105" s="76"/>
      <c r="I105" s="76"/>
      <c r="J105" s="76"/>
      <c r="K105" s="76">
        <v>214712</v>
      </c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76">
        <f t="shared" si="2"/>
        <v>54.966666666666669</v>
      </c>
      <c r="X105" s="69"/>
      <c r="Y105" s="76">
        <f t="shared" si="3"/>
        <v>808.0100000000001</v>
      </c>
      <c r="Z105" s="69"/>
      <c r="AA105" s="76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</row>
    <row r="106" spans="1:37" s="140" customFormat="1" ht="12">
      <c r="A106" s="139">
        <v>32629</v>
      </c>
      <c r="B106" s="76">
        <v>1704</v>
      </c>
      <c r="C106" s="76"/>
      <c r="D106" s="76"/>
      <c r="E106" s="76"/>
      <c r="F106" s="76"/>
      <c r="G106" s="76"/>
      <c r="H106" s="76"/>
      <c r="I106" s="76"/>
      <c r="J106" s="76"/>
      <c r="K106" s="76">
        <v>228797</v>
      </c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76">
        <f t="shared" si="2"/>
        <v>54.967741935483872</v>
      </c>
      <c r="X106" s="69"/>
      <c r="Y106" s="76">
        <f t="shared" si="3"/>
        <v>808.02580645161299</v>
      </c>
      <c r="Z106" s="69"/>
      <c r="AA106" s="76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</row>
    <row r="107" spans="1:37" s="140" customFormat="1" ht="12">
      <c r="A107" s="139">
        <v>32660</v>
      </c>
      <c r="B107" s="76">
        <v>1649</v>
      </c>
      <c r="C107" s="76"/>
      <c r="D107" s="76"/>
      <c r="E107" s="76"/>
      <c r="F107" s="76"/>
      <c r="G107" s="76"/>
      <c r="H107" s="76"/>
      <c r="I107" s="76"/>
      <c r="J107" s="76"/>
      <c r="K107" s="76">
        <v>233412</v>
      </c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76">
        <f t="shared" si="2"/>
        <v>54.966666666666669</v>
      </c>
      <c r="X107" s="69"/>
      <c r="Y107" s="76">
        <f t="shared" si="3"/>
        <v>808.0100000000001</v>
      </c>
      <c r="Z107" s="69"/>
      <c r="AA107" s="76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</row>
    <row r="108" spans="1:37" s="140" customFormat="1" ht="12">
      <c r="A108" s="139">
        <v>32690</v>
      </c>
      <c r="B108" s="76">
        <v>1704</v>
      </c>
      <c r="C108" s="76"/>
      <c r="D108" s="76"/>
      <c r="E108" s="76"/>
      <c r="F108" s="76"/>
      <c r="G108" s="76"/>
      <c r="H108" s="76"/>
      <c r="I108" s="76"/>
      <c r="J108" s="76"/>
      <c r="K108" s="76">
        <v>226181</v>
      </c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76">
        <f t="shared" si="2"/>
        <v>54.967741935483872</v>
      </c>
      <c r="X108" s="69"/>
      <c r="Y108" s="76">
        <f t="shared" si="3"/>
        <v>808.02580645161299</v>
      </c>
      <c r="Z108" s="69"/>
      <c r="AA108" s="76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</row>
    <row r="109" spans="1:37" s="140" customFormat="1" ht="12">
      <c r="A109" s="139">
        <v>32721</v>
      </c>
      <c r="B109" s="76">
        <v>1704</v>
      </c>
      <c r="C109" s="76"/>
      <c r="D109" s="76"/>
      <c r="E109" s="76"/>
      <c r="F109" s="76"/>
      <c r="G109" s="76"/>
      <c r="H109" s="76"/>
      <c r="I109" s="76"/>
      <c r="J109" s="76"/>
      <c r="K109" s="76">
        <v>239228</v>
      </c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76">
        <f t="shared" si="2"/>
        <v>54.967741935483872</v>
      </c>
      <c r="X109" s="69"/>
      <c r="Y109" s="76">
        <f t="shared" si="3"/>
        <v>808.02580645161299</v>
      </c>
      <c r="Z109" s="69"/>
      <c r="AA109" s="76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</row>
    <row r="110" spans="1:37" s="140" customFormat="1" ht="12">
      <c r="A110" s="139">
        <v>32752</v>
      </c>
      <c r="B110" s="76">
        <v>1649</v>
      </c>
      <c r="C110" s="76"/>
      <c r="D110" s="76"/>
      <c r="E110" s="76"/>
      <c r="F110" s="76"/>
      <c r="G110" s="76"/>
      <c r="H110" s="76"/>
      <c r="I110" s="76"/>
      <c r="J110" s="76"/>
      <c r="K110" s="76">
        <v>217212</v>
      </c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76">
        <f t="shared" si="2"/>
        <v>54.966666666666669</v>
      </c>
      <c r="X110" s="69"/>
      <c r="Y110" s="76">
        <f t="shared" si="3"/>
        <v>808.0100000000001</v>
      </c>
      <c r="Z110" s="69"/>
      <c r="AA110" s="76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</row>
    <row r="111" spans="1:37" s="140" customFormat="1" ht="12">
      <c r="A111" s="139">
        <v>32782</v>
      </c>
      <c r="B111" s="76">
        <v>1704</v>
      </c>
      <c r="C111" s="76"/>
      <c r="D111" s="76"/>
      <c r="E111" s="76"/>
      <c r="F111" s="76"/>
      <c r="G111" s="76"/>
      <c r="H111" s="76"/>
      <c r="I111" s="76"/>
      <c r="J111" s="76"/>
      <c r="K111" s="76">
        <v>226350</v>
      </c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76">
        <f t="shared" si="2"/>
        <v>54.967741935483872</v>
      </c>
      <c r="X111" s="69"/>
      <c r="Y111" s="76">
        <f t="shared" si="3"/>
        <v>808.02580645161299</v>
      </c>
      <c r="Z111" s="69"/>
      <c r="AA111" s="76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</row>
    <row r="112" spans="1:37" s="140" customFormat="1" ht="12">
      <c r="A112" s="139">
        <v>32813</v>
      </c>
      <c r="B112" s="76">
        <v>1649</v>
      </c>
      <c r="C112" s="76"/>
      <c r="D112" s="76"/>
      <c r="E112" s="76"/>
      <c r="F112" s="76"/>
      <c r="G112" s="76"/>
      <c r="H112" s="76"/>
      <c r="I112" s="76"/>
      <c r="J112" s="76"/>
      <c r="K112" s="76">
        <v>220589</v>
      </c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76">
        <f t="shared" si="2"/>
        <v>54.966666666666669</v>
      </c>
      <c r="X112" s="69"/>
      <c r="Y112" s="76">
        <f t="shared" si="3"/>
        <v>808.0100000000001</v>
      </c>
      <c r="Z112" s="69"/>
      <c r="AA112" s="76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</row>
    <row r="113" spans="1:37" s="140" customFormat="1" ht="12">
      <c r="A113" s="139">
        <v>32843</v>
      </c>
      <c r="B113" s="76">
        <v>1704</v>
      </c>
      <c r="C113" s="76"/>
      <c r="D113" s="76"/>
      <c r="E113" s="76"/>
      <c r="F113" s="76"/>
      <c r="G113" s="76"/>
      <c r="H113" s="76"/>
      <c r="I113" s="76"/>
      <c r="J113" s="76"/>
      <c r="K113" s="76">
        <v>229717</v>
      </c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76">
        <f t="shared" si="2"/>
        <v>54.967741935483872</v>
      </c>
      <c r="X113" s="69"/>
      <c r="Y113" s="76">
        <f t="shared" si="3"/>
        <v>808.02580645161299</v>
      </c>
      <c r="Z113" s="69"/>
      <c r="AA113" s="76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</row>
    <row r="114" spans="1:37" s="140" customFormat="1" ht="12">
      <c r="A114" s="139">
        <v>32874</v>
      </c>
      <c r="B114" s="76">
        <v>1512</v>
      </c>
      <c r="C114" s="76"/>
      <c r="D114" s="76"/>
      <c r="E114" s="76"/>
      <c r="F114" s="76"/>
      <c r="G114" s="76"/>
      <c r="H114" s="76"/>
      <c r="I114" s="76"/>
      <c r="J114" s="76"/>
      <c r="K114" s="76">
        <v>205940</v>
      </c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76">
        <f t="shared" si="2"/>
        <v>48.774193548387096</v>
      </c>
      <c r="X114" s="69"/>
      <c r="Y114" s="76">
        <f t="shared" si="3"/>
        <v>716.98064516129045</v>
      </c>
      <c r="Z114" s="69"/>
      <c r="AA114" s="76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</row>
    <row r="115" spans="1:37" s="140" customFormat="1" ht="12">
      <c r="A115" s="139">
        <v>32905</v>
      </c>
      <c r="B115" s="76">
        <v>1366</v>
      </c>
      <c r="C115" s="76"/>
      <c r="D115" s="76"/>
      <c r="E115" s="76"/>
      <c r="F115" s="76"/>
      <c r="G115" s="76"/>
      <c r="H115" s="76"/>
      <c r="I115" s="76"/>
      <c r="J115" s="76"/>
      <c r="K115" s="76">
        <v>201007</v>
      </c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76">
        <f t="shared" si="2"/>
        <v>48.785714285714285</v>
      </c>
      <c r="X115" s="69"/>
      <c r="Y115" s="76">
        <f t="shared" si="3"/>
        <v>717.15</v>
      </c>
      <c r="Z115" s="69"/>
      <c r="AA115" s="76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</row>
    <row r="116" spans="1:37" s="140" customFormat="1" ht="12">
      <c r="A116" s="139">
        <v>32933</v>
      </c>
      <c r="B116" s="76">
        <v>1512</v>
      </c>
      <c r="C116" s="76"/>
      <c r="D116" s="76"/>
      <c r="E116" s="76"/>
      <c r="F116" s="76"/>
      <c r="G116" s="76"/>
      <c r="H116" s="76"/>
      <c r="I116" s="76"/>
      <c r="J116" s="76"/>
      <c r="K116" s="76">
        <v>227469</v>
      </c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76">
        <f t="shared" si="2"/>
        <v>48.774193548387096</v>
      </c>
      <c r="X116" s="69"/>
      <c r="Y116" s="76">
        <f t="shared" si="3"/>
        <v>716.98064516129045</v>
      </c>
      <c r="Z116" s="69"/>
      <c r="AA116" s="76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</row>
    <row r="117" spans="1:37" s="140" customFormat="1" ht="12">
      <c r="A117" s="139">
        <v>32964</v>
      </c>
      <c r="B117" s="76">
        <v>1463</v>
      </c>
      <c r="C117" s="76"/>
      <c r="D117" s="76"/>
      <c r="E117" s="76"/>
      <c r="F117" s="76"/>
      <c r="G117" s="76"/>
      <c r="H117" s="76"/>
      <c r="I117" s="76"/>
      <c r="J117" s="76"/>
      <c r="K117" s="76">
        <v>213630</v>
      </c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76">
        <f t="shared" si="2"/>
        <v>48.766666666666666</v>
      </c>
      <c r="X117" s="69"/>
      <c r="Y117" s="76">
        <f t="shared" si="3"/>
        <v>716.87</v>
      </c>
      <c r="Z117" s="69"/>
      <c r="AA117" s="76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</row>
    <row r="118" spans="1:37" s="140" customFormat="1" ht="12">
      <c r="A118" s="139">
        <v>32994</v>
      </c>
      <c r="B118" s="76">
        <v>1512</v>
      </c>
      <c r="C118" s="76"/>
      <c r="D118" s="76"/>
      <c r="E118" s="76"/>
      <c r="F118" s="76"/>
      <c r="G118" s="76"/>
      <c r="H118" s="76"/>
      <c r="I118" s="76"/>
      <c r="J118" s="76"/>
      <c r="K118" s="76">
        <v>228104</v>
      </c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76">
        <f t="shared" si="2"/>
        <v>48.774193548387096</v>
      </c>
      <c r="X118" s="69"/>
      <c r="Y118" s="76">
        <f t="shared" si="3"/>
        <v>716.98064516129045</v>
      </c>
      <c r="Z118" s="69"/>
      <c r="AA118" s="76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</row>
    <row r="119" spans="1:37" s="140" customFormat="1" ht="12">
      <c r="A119" s="139">
        <v>33025</v>
      </c>
      <c r="B119" s="76">
        <v>1463</v>
      </c>
      <c r="C119" s="76"/>
      <c r="D119" s="76"/>
      <c r="E119" s="76"/>
      <c r="F119" s="76"/>
      <c r="G119" s="76"/>
      <c r="H119" s="76"/>
      <c r="I119" s="76"/>
      <c r="J119" s="76"/>
      <c r="K119" s="76">
        <v>225557</v>
      </c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76">
        <f t="shared" si="2"/>
        <v>48.766666666666666</v>
      </c>
      <c r="X119" s="69"/>
      <c r="Y119" s="76">
        <f t="shared" si="3"/>
        <v>716.87</v>
      </c>
      <c r="Z119" s="69"/>
      <c r="AA119" s="76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</row>
    <row r="120" spans="1:37" s="140" customFormat="1" ht="12">
      <c r="A120" s="139">
        <v>33055</v>
      </c>
      <c r="B120" s="76">
        <v>1512</v>
      </c>
      <c r="C120" s="76"/>
      <c r="D120" s="76"/>
      <c r="E120" s="76"/>
      <c r="F120" s="76"/>
      <c r="G120" s="76"/>
      <c r="H120" s="76"/>
      <c r="I120" s="76"/>
      <c r="J120" s="76"/>
      <c r="K120" s="76">
        <v>232362</v>
      </c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76">
        <f t="shared" si="2"/>
        <v>48.774193548387096</v>
      </c>
      <c r="X120" s="69"/>
      <c r="Y120" s="76">
        <f t="shared" si="3"/>
        <v>716.98064516129045</v>
      </c>
      <c r="Z120" s="69"/>
      <c r="AA120" s="76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</row>
    <row r="121" spans="1:37" s="140" customFormat="1" ht="12">
      <c r="A121" s="139">
        <v>33086</v>
      </c>
      <c r="B121" s="76">
        <v>1512</v>
      </c>
      <c r="C121" s="76"/>
      <c r="D121" s="76"/>
      <c r="E121" s="76"/>
      <c r="F121" s="76"/>
      <c r="G121" s="76"/>
      <c r="H121" s="76"/>
      <c r="I121" s="76"/>
      <c r="J121" s="76"/>
      <c r="K121" s="76">
        <v>241663</v>
      </c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76">
        <f t="shared" si="2"/>
        <v>48.774193548387096</v>
      </c>
      <c r="X121" s="69"/>
      <c r="Y121" s="76">
        <f t="shared" si="3"/>
        <v>716.98064516129045</v>
      </c>
      <c r="Z121" s="69"/>
      <c r="AA121" s="76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</row>
    <row r="122" spans="1:37" s="140" customFormat="1" ht="12">
      <c r="A122" s="139">
        <v>33117</v>
      </c>
      <c r="B122" s="76">
        <v>1463</v>
      </c>
      <c r="C122" s="76"/>
      <c r="D122" s="76"/>
      <c r="E122" s="76"/>
      <c r="F122" s="76"/>
      <c r="G122" s="76"/>
      <c r="H122" s="76"/>
      <c r="I122" s="76"/>
      <c r="J122" s="76"/>
      <c r="K122" s="76">
        <v>207431</v>
      </c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76">
        <f t="shared" si="2"/>
        <v>48.766666666666666</v>
      </c>
      <c r="X122" s="69"/>
      <c r="Y122" s="76">
        <f t="shared" si="3"/>
        <v>716.87</v>
      </c>
      <c r="Z122" s="69"/>
      <c r="AA122" s="76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</row>
    <row r="123" spans="1:37" s="140" customFormat="1" ht="12">
      <c r="A123" s="139">
        <v>33147</v>
      </c>
      <c r="B123" s="76">
        <v>1512</v>
      </c>
      <c r="C123" s="76"/>
      <c r="D123" s="76"/>
      <c r="E123" s="76"/>
      <c r="F123" s="76"/>
      <c r="G123" s="76"/>
      <c r="H123" s="76"/>
      <c r="I123" s="76"/>
      <c r="J123" s="76"/>
      <c r="K123" s="76">
        <v>224010</v>
      </c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76">
        <f t="shared" si="2"/>
        <v>48.774193548387096</v>
      </c>
      <c r="X123" s="69"/>
      <c r="Y123" s="76">
        <f t="shared" si="3"/>
        <v>716.98064516129045</v>
      </c>
      <c r="Z123" s="69"/>
      <c r="AA123" s="76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</row>
    <row r="124" spans="1:37" s="140" customFormat="1" ht="12">
      <c r="A124" s="139">
        <v>33178</v>
      </c>
      <c r="B124" s="76">
        <v>1463</v>
      </c>
      <c r="C124" s="76"/>
      <c r="D124" s="76"/>
      <c r="E124" s="76"/>
      <c r="F124" s="76"/>
      <c r="G124" s="76"/>
      <c r="H124" s="76"/>
      <c r="I124" s="76"/>
      <c r="J124" s="76"/>
      <c r="K124" s="76">
        <v>217239</v>
      </c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76">
        <f t="shared" si="2"/>
        <v>48.766666666666666</v>
      </c>
      <c r="X124" s="69"/>
      <c r="Y124" s="76">
        <f t="shared" si="3"/>
        <v>716.87</v>
      </c>
      <c r="Z124" s="69"/>
      <c r="AA124" s="76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</row>
    <row r="125" spans="1:37" s="140" customFormat="1" ht="12">
      <c r="A125" s="139">
        <v>33208</v>
      </c>
      <c r="B125" s="76">
        <v>1512</v>
      </c>
      <c r="C125" s="76"/>
      <c r="D125" s="76"/>
      <c r="E125" s="76"/>
      <c r="F125" s="76"/>
      <c r="G125" s="76"/>
      <c r="H125" s="76"/>
      <c r="I125" s="76"/>
      <c r="J125" s="76"/>
      <c r="K125" s="76">
        <v>216329</v>
      </c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76">
        <f t="shared" si="2"/>
        <v>48.774193548387096</v>
      </c>
      <c r="X125" s="69"/>
      <c r="Y125" s="76">
        <f t="shared" si="3"/>
        <v>716.98064516129045</v>
      </c>
      <c r="Z125" s="69"/>
      <c r="AA125" s="76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</row>
    <row r="126" spans="1:37" s="140" customFormat="1" ht="12">
      <c r="A126" s="139">
        <v>33239</v>
      </c>
      <c r="B126" s="76">
        <v>1752</v>
      </c>
      <c r="C126" s="76"/>
      <c r="D126" s="76"/>
      <c r="E126" s="76"/>
      <c r="F126" s="76"/>
      <c r="G126" s="76"/>
      <c r="H126" s="76"/>
      <c r="I126" s="76"/>
      <c r="J126" s="76"/>
      <c r="K126" s="76">
        <v>205986</v>
      </c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76">
        <f t="shared" si="2"/>
        <v>56.516129032258064</v>
      </c>
      <c r="X126" s="69"/>
      <c r="Y126" s="76">
        <f t="shared" si="3"/>
        <v>830.78709677419363</v>
      </c>
      <c r="Z126" s="69"/>
      <c r="AA126" s="76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</row>
    <row r="127" spans="1:37" s="140" customFormat="1" ht="12">
      <c r="A127" s="139">
        <v>33270</v>
      </c>
      <c r="B127" s="76">
        <v>1582</v>
      </c>
      <c r="C127" s="76"/>
      <c r="D127" s="76"/>
      <c r="E127" s="76"/>
      <c r="F127" s="76"/>
      <c r="G127" s="76"/>
      <c r="H127" s="76"/>
      <c r="I127" s="76"/>
      <c r="J127" s="76"/>
      <c r="K127" s="76">
        <v>191466</v>
      </c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76">
        <f t="shared" si="2"/>
        <v>56.5</v>
      </c>
      <c r="X127" s="69"/>
      <c r="Y127" s="76">
        <f t="shared" si="3"/>
        <v>830.55</v>
      </c>
      <c r="Z127" s="69"/>
      <c r="AA127" s="76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</row>
    <row r="128" spans="1:37" s="140" customFormat="1" ht="12">
      <c r="A128" s="139">
        <v>33298</v>
      </c>
      <c r="B128" s="76">
        <v>1752</v>
      </c>
      <c r="C128" s="76"/>
      <c r="D128" s="76"/>
      <c r="E128" s="76"/>
      <c r="F128" s="76"/>
      <c r="G128" s="76"/>
      <c r="H128" s="76"/>
      <c r="I128" s="76"/>
      <c r="J128" s="76"/>
      <c r="K128" s="76">
        <v>217529</v>
      </c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76">
        <f t="shared" si="2"/>
        <v>56.516129032258064</v>
      </c>
      <c r="X128" s="69"/>
      <c r="Y128" s="76">
        <f t="shared" si="3"/>
        <v>830.78709677419363</v>
      </c>
      <c r="Z128" s="69"/>
      <c r="AA128" s="76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</row>
    <row r="129" spans="1:37" s="140" customFormat="1" ht="12">
      <c r="A129" s="139">
        <v>33329</v>
      </c>
      <c r="B129" s="76">
        <v>1695</v>
      </c>
      <c r="C129" s="76"/>
      <c r="D129" s="76"/>
      <c r="E129" s="76"/>
      <c r="F129" s="76"/>
      <c r="G129" s="76"/>
      <c r="H129" s="76"/>
      <c r="I129" s="76"/>
      <c r="J129" s="76"/>
      <c r="K129" s="76">
        <v>214105</v>
      </c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76">
        <f t="shared" si="2"/>
        <v>56.5</v>
      </c>
      <c r="X129" s="69"/>
      <c r="Y129" s="76">
        <f t="shared" si="3"/>
        <v>830.55</v>
      </c>
      <c r="Z129" s="69"/>
      <c r="AA129" s="76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</row>
    <row r="130" spans="1:37" s="140" customFormat="1" ht="12">
      <c r="A130" s="139">
        <v>33359</v>
      </c>
      <c r="B130" s="76">
        <v>1752</v>
      </c>
      <c r="C130" s="76"/>
      <c r="D130" s="76"/>
      <c r="E130" s="76"/>
      <c r="F130" s="76"/>
      <c r="G130" s="76"/>
      <c r="H130" s="76"/>
      <c r="I130" s="76"/>
      <c r="J130" s="76"/>
      <c r="K130" s="76">
        <v>230540</v>
      </c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76">
        <f t="shared" si="2"/>
        <v>56.516129032258064</v>
      </c>
      <c r="X130" s="69"/>
      <c r="Y130" s="76">
        <f t="shared" si="3"/>
        <v>830.78709677419363</v>
      </c>
      <c r="Z130" s="69"/>
      <c r="AA130" s="76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</row>
    <row r="131" spans="1:37" s="140" customFormat="1" ht="12">
      <c r="A131" s="139">
        <v>33390</v>
      </c>
      <c r="B131" s="76">
        <v>1695</v>
      </c>
      <c r="C131" s="76"/>
      <c r="D131" s="76"/>
      <c r="E131" s="76"/>
      <c r="F131" s="76"/>
      <c r="G131" s="76"/>
      <c r="H131" s="76"/>
      <c r="I131" s="76"/>
      <c r="J131" s="76"/>
      <c r="K131" s="76">
        <v>223677</v>
      </c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76">
        <f t="shared" si="2"/>
        <v>56.5</v>
      </c>
      <c r="X131" s="69"/>
      <c r="Y131" s="76">
        <f t="shared" si="3"/>
        <v>830.55</v>
      </c>
      <c r="Z131" s="69"/>
      <c r="AA131" s="76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</row>
    <row r="132" spans="1:37" s="140" customFormat="1" ht="12">
      <c r="A132" s="139">
        <v>33420</v>
      </c>
      <c r="B132" s="76">
        <v>1752</v>
      </c>
      <c r="C132" s="76"/>
      <c r="D132" s="76"/>
      <c r="E132" s="76"/>
      <c r="F132" s="76"/>
      <c r="G132" s="76"/>
      <c r="H132" s="76"/>
      <c r="I132" s="76"/>
      <c r="J132" s="76"/>
      <c r="K132" s="76">
        <v>234398</v>
      </c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76">
        <f t="shared" si="2"/>
        <v>56.516129032258064</v>
      </c>
      <c r="X132" s="69"/>
      <c r="Y132" s="76">
        <f t="shared" si="3"/>
        <v>830.78709677419363</v>
      </c>
      <c r="Z132" s="69"/>
      <c r="AA132" s="76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</row>
    <row r="133" spans="1:37" s="140" customFormat="1" ht="12">
      <c r="A133" s="139">
        <v>33451</v>
      </c>
      <c r="B133" s="76">
        <v>1752</v>
      </c>
      <c r="C133" s="76"/>
      <c r="D133" s="76"/>
      <c r="E133" s="76"/>
      <c r="F133" s="76"/>
      <c r="G133" s="76"/>
      <c r="H133" s="76"/>
      <c r="I133" s="76"/>
      <c r="J133" s="76"/>
      <c r="K133" s="76">
        <v>233361</v>
      </c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76">
        <f t="shared" si="2"/>
        <v>56.516129032258064</v>
      </c>
      <c r="X133" s="69"/>
      <c r="Y133" s="76">
        <f t="shared" si="3"/>
        <v>830.78709677419363</v>
      </c>
      <c r="Z133" s="69"/>
      <c r="AA133" s="76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</row>
    <row r="134" spans="1:37" s="140" customFormat="1" ht="12">
      <c r="A134" s="139">
        <v>33482</v>
      </c>
      <c r="B134" s="76">
        <v>1695</v>
      </c>
      <c r="C134" s="76"/>
      <c r="D134" s="76"/>
      <c r="E134" s="76"/>
      <c r="F134" s="76"/>
      <c r="G134" s="76"/>
      <c r="H134" s="76"/>
      <c r="I134" s="76"/>
      <c r="J134" s="76"/>
      <c r="K134" s="76">
        <v>212485</v>
      </c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76">
        <f t="shared" ref="W134:W197" si="4">B134/(A135-A134)</f>
        <v>56.5</v>
      </c>
      <c r="X134" s="69"/>
      <c r="Y134" s="76">
        <f t="shared" ref="Y134:Y197" si="5">W134*350*42/1000</f>
        <v>830.55</v>
      </c>
      <c r="Z134" s="69"/>
      <c r="AA134" s="76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</row>
    <row r="135" spans="1:37" s="140" customFormat="1" ht="12">
      <c r="A135" s="139">
        <v>33512</v>
      </c>
      <c r="B135" s="76">
        <v>1752</v>
      </c>
      <c r="C135" s="76"/>
      <c r="D135" s="76"/>
      <c r="E135" s="76"/>
      <c r="F135" s="76"/>
      <c r="G135" s="76"/>
      <c r="H135" s="76"/>
      <c r="I135" s="76"/>
      <c r="J135" s="76"/>
      <c r="K135" s="76">
        <v>225718</v>
      </c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76">
        <f t="shared" si="4"/>
        <v>56.516129032258064</v>
      </c>
      <c r="X135" s="69"/>
      <c r="Y135" s="76">
        <f t="shared" si="5"/>
        <v>830.78709677419363</v>
      </c>
      <c r="Z135" s="69"/>
      <c r="AA135" s="76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</row>
    <row r="136" spans="1:37" s="140" customFormat="1" ht="12">
      <c r="A136" s="139">
        <v>33543</v>
      </c>
      <c r="B136" s="76">
        <v>1695</v>
      </c>
      <c r="C136" s="76"/>
      <c r="D136" s="76"/>
      <c r="E136" s="76"/>
      <c r="F136" s="76"/>
      <c r="G136" s="76"/>
      <c r="H136" s="76"/>
      <c r="I136" s="76"/>
      <c r="J136" s="76"/>
      <c r="K136" s="76">
        <v>210246</v>
      </c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76">
        <f t="shared" si="4"/>
        <v>56.5</v>
      </c>
      <c r="X136" s="69"/>
      <c r="Y136" s="76">
        <f t="shared" si="5"/>
        <v>830.55</v>
      </c>
      <c r="Z136" s="69"/>
      <c r="AA136" s="76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</row>
    <row r="137" spans="1:37" s="140" customFormat="1" ht="12">
      <c r="A137" s="139">
        <v>33573</v>
      </c>
      <c r="B137" s="76">
        <v>1752</v>
      </c>
      <c r="C137" s="76"/>
      <c r="D137" s="76"/>
      <c r="E137" s="76"/>
      <c r="F137" s="76"/>
      <c r="G137" s="76"/>
      <c r="H137" s="76"/>
      <c r="I137" s="76"/>
      <c r="J137" s="76"/>
      <c r="K137" s="76">
        <v>223934</v>
      </c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76">
        <f t="shared" si="4"/>
        <v>56.516129032258064</v>
      </c>
      <c r="X137" s="69"/>
      <c r="Y137" s="76">
        <f t="shared" si="5"/>
        <v>830.78709677419363</v>
      </c>
      <c r="Z137" s="69"/>
      <c r="AA137" s="76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</row>
    <row r="138" spans="1:37" s="140" customFormat="1" ht="12">
      <c r="A138" s="139">
        <v>33604</v>
      </c>
      <c r="B138" s="76">
        <v>2418</v>
      </c>
      <c r="C138" s="76"/>
      <c r="D138" s="76"/>
      <c r="E138" s="76"/>
      <c r="F138" s="76"/>
      <c r="G138" s="76"/>
      <c r="H138" s="76"/>
      <c r="I138" s="76"/>
      <c r="J138" s="76"/>
      <c r="K138" s="76">
        <v>212927</v>
      </c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76">
        <f t="shared" si="4"/>
        <v>78</v>
      </c>
      <c r="X138" s="69"/>
      <c r="Y138" s="76">
        <f t="shared" si="5"/>
        <v>1146.5999999999999</v>
      </c>
      <c r="Z138" s="69"/>
      <c r="AA138" s="76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</row>
    <row r="139" spans="1:37" s="140" customFormat="1" ht="12">
      <c r="A139" s="139">
        <v>33635</v>
      </c>
      <c r="B139" s="76">
        <v>2059</v>
      </c>
      <c r="C139" s="76"/>
      <c r="D139" s="76"/>
      <c r="E139" s="76"/>
      <c r="F139" s="76"/>
      <c r="G139" s="76"/>
      <c r="H139" s="76"/>
      <c r="I139" s="76"/>
      <c r="J139" s="76"/>
      <c r="K139" s="76">
        <v>201923</v>
      </c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76">
        <f t="shared" si="4"/>
        <v>71</v>
      </c>
      <c r="X139" s="69"/>
      <c r="Y139" s="76">
        <f t="shared" si="5"/>
        <v>1043.7</v>
      </c>
      <c r="Z139" s="69"/>
      <c r="AA139" s="76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</row>
    <row r="140" spans="1:37" s="140" customFormat="1" ht="12">
      <c r="A140" s="139">
        <v>33664</v>
      </c>
      <c r="B140" s="76">
        <v>2108</v>
      </c>
      <c r="C140" s="76"/>
      <c r="D140" s="76"/>
      <c r="E140" s="76"/>
      <c r="F140" s="76"/>
      <c r="G140" s="76"/>
      <c r="H140" s="76"/>
      <c r="I140" s="76"/>
      <c r="J140" s="76"/>
      <c r="K140" s="76">
        <v>221241</v>
      </c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76">
        <f t="shared" si="4"/>
        <v>68</v>
      </c>
      <c r="X140" s="69"/>
      <c r="Y140" s="76">
        <f t="shared" si="5"/>
        <v>999.6</v>
      </c>
      <c r="Z140" s="69"/>
      <c r="AA140" s="76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</row>
    <row r="141" spans="1:37" s="140" customFormat="1" ht="12">
      <c r="A141" s="139">
        <v>33695</v>
      </c>
      <c r="B141" s="76">
        <v>2040</v>
      </c>
      <c r="C141" s="76"/>
      <c r="D141" s="76"/>
      <c r="E141" s="76"/>
      <c r="F141" s="76"/>
      <c r="G141" s="76"/>
      <c r="H141" s="76"/>
      <c r="I141" s="76"/>
      <c r="J141" s="76"/>
      <c r="K141" s="76">
        <v>217145</v>
      </c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76">
        <f t="shared" si="4"/>
        <v>68</v>
      </c>
      <c r="X141" s="69"/>
      <c r="Y141" s="76">
        <f t="shared" si="5"/>
        <v>999.6</v>
      </c>
      <c r="Z141" s="69"/>
      <c r="AA141" s="76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</row>
    <row r="142" spans="1:37" s="140" customFormat="1" ht="12">
      <c r="A142" s="139">
        <v>33725</v>
      </c>
      <c r="B142" s="76">
        <v>2108</v>
      </c>
      <c r="C142" s="76"/>
      <c r="D142" s="76"/>
      <c r="E142" s="76"/>
      <c r="F142" s="76"/>
      <c r="G142" s="76"/>
      <c r="H142" s="76"/>
      <c r="I142" s="76"/>
      <c r="J142" s="76"/>
      <c r="K142" s="76">
        <v>227177</v>
      </c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76">
        <f t="shared" si="4"/>
        <v>68</v>
      </c>
      <c r="X142" s="69"/>
      <c r="Y142" s="76">
        <f t="shared" si="5"/>
        <v>999.6</v>
      </c>
      <c r="Z142" s="69"/>
      <c r="AA142" s="76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</row>
    <row r="143" spans="1:37" s="140" customFormat="1" ht="12">
      <c r="A143" s="139">
        <v>33756</v>
      </c>
      <c r="B143" s="76">
        <v>1980</v>
      </c>
      <c r="C143" s="76"/>
      <c r="D143" s="76"/>
      <c r="E143" s="76"/>
      <c r="F143" s="76"/>
      <c r="G143" s="76"/>
      <c r="H143" s="76"/>
      <c r="I143" s="76"/>
      <c r="J143" s="76"/>
      <c r="K143" s="76">
        <v>223790</v>
      </c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76">
        <f t="shared" si="4"/>
        <v>66</v>
      </c>
      <c r="X143" s="69"/>
      <c r="Y143" s="76">
        <f t="shared" si="5"/>
        <v>970.2</v>
      </c>
      <c r="Z143" s="69"/>
      <c r="AA143" s="76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</row>
    <row r="144" spans="1:37" s="140" customFormat="1" ht="12">
      <c r="A144" s="139">
        <v>33786</v>
      </c>
      <c r="B144" s="76">
        <v>2046</v>
      </c>
      <c r="C144" s="76"/>
      <c r="D144" s="76"/>
      <c r="E144" s="76"/>
      <c r="F144" s="76"/>
      <c r="G144" s="76"/>
      <c r="H144" s="76"/>
      <c r="I144" s="76"/>
      <c r="J144" s="76"/>
      <c r="K144" s="76">
        <v>236795</v>
      </c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76">
        <f t="shared" si="4"/>
        <v>66</v>
      </c>
      <c r="X144" s="69"/>
      <c r="Y144" s="76">
        <f t="shared" si="5"/>
        <v>970.2</v>
      </c>
      <c r="Z144" s="69"/>
      <c r="AA144" s="76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</row>
    <row r="145" spans="1:37" s="140" customFormat="1" ht="12">
      <c r="A145" s="139">
        <v>33817</v>
      </c>
      <c r="B145" s="76">
        <v>2170</v>
      </c>
      <c r="C145" s="76"/>
      <c r="D145" s="76"/>
      <c r="E145" s="76"/>
      <c r="F145" s="76"/>
      <c r="G145" s="76"/>
      <c r="H145" s="76"/>
      <c r="I145" s="76"/>
      <c r="J145" s="76"/>
      <c r="K145" s="76">
        <v>228775</v>
      </c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76">
        <f t="shared" si="4"/>
        <v>70</v>
      </c>
      <c r="X145" s="69"/>
      <c r="Y145" s="76">
        <f t="shared" si="5"/>
        <v>1029</v>
      </c>
      <c r="Z145" s="69"/>
      <c r="AA145" s="76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</row>
    <row r="146" spans="1:37" s="140" customFormat="1" ht="12">
      <c r="A146" s="139">
        <v>33848</v>
      </c>
      <c r="B146" s="76">
        <v>2010</v>
      </c>
      <c r="C146" s="76"/>
      <c r="D146" s="76"/>
      <c r="E146" s="76"/>
      <c r="F146" s="76"/>
      <c r="G146" s="76"/>
      <c r="H146" s="76"/>
      <c r="I146" s="76"/>
      <c r="J146" s="76"/>
      <c r="K146" s="76">
        <v>220331</v>
      </c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76">
        <f t="shared" si="4"/>
        <v>67</v>
      </c>
      <c r="X146" s="69"/>
      <c r="Y146" s="76">
        <f t="shared" si="5"/>
        <v>984.9</v>
      </c>
      <c r="Z146" s="69"/>
      <c r="AA146" s="76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</row>
    <row r="147" spans="1:37" s="140" customFormat="1" ht="12">
      <c r="A147" s="139">
        <v>33878</v>
      </c>
      <c r="B147" s="76">
        <v>2294</v>
      </c>
      <c r="C147" s="76"/>
      <c r="D147" s="76"/>
      <c r="E147" s="76"/>
      <c r="F147" s="76"/>
      <c r="G147" s="76"/>
      <c r="H147" s="76"/>
      <c r="I147" s="76"/>
      <c r="J147" s="76"/>
      <c r="K147" s="76">
        <v>227487</v>
      </c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76">
        <f t="shared" si="4"/>
        <v>74</v>
      </c>
      <c r="X147" s="69"/>
      <c r="Y147" s="76">
        <f t="shared" si="5"/>
        <v>1087.8</v>
      </c>
      <c r="Z147" s="69"/>
      <c r="AA147" s="76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</row>
    <row r="148" spans="1:37" s="140" customFormat="1" ht="12">
      <c r="A148" s="139">
        <v>33909</v>
      </c>
      <c r="B148" s="76">
        <v>2220</v>
      </c>
      <c r="C148" s="76"/>
      <c r="D148" s="76"/>
      <c r="E148" s="76"/>
      <c r="F148" s="76"/>
      <c r="G148" s="76"/>
      <c r="H148" s="76"/>
      <c r="I148" s="76"/>
      <c r="J148" s="76"/>
      <c r="K148" s="76">
        <v>213052</v>
      </c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76">
        <f t="shared" si="4"/>
        <v>74</v>
      </c>
      <c r="X148" s="69"/>
      <c r="Y148" s="76">
        <f t="shared" si="5"/>
        <v>1087.8</v>
      </c>
      <c r="Z148" s="69"/>
      <c r="AA148" s="76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</row>
    <row r="149" spans="1:37" s="140" customFormat="1" ht="12">
      <c r="A149" s="139">
        <v>33939</v>
      </c>
      <c r="B149" s="76">
        <v>2325</v>
      </c>
      <c r="C149" s="76"/>
      <c r="D149" s="76"/>
      <c r="E149" s="76"/>
      <c r="F149" s="76"/>
      <c r="G149" s="76"/>
      <c r="H149" s="76"/>
      <c r="I149" s="76"/>
      <c r="J149" s="76"/>
      <c r="K149" s="76">
        <v>229270</v>
      </c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76">
        <f t="shared" si="4"/>
        <v>75</v>
      </c>
      <c r="X149" s="69"/>
      <c r="Y149" s="76">
        <f t="shared" si="5"/>
        <v>1102.5</v>
      </c>
      <c r="Z149" s="69"/>
      <c r="AA149" s="76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</row>
    <row r="150" spans="1:37" s="140" customFormat="1" ht="12">
      <c r="A150" s="139">
        <v>33970</v>
      </c>
      <c r="B150" s="76">
        <v>2386</v>
      </c>
      <c r="C150" s="76">
        <v>46</v>
      </c>
      <c r="D150" s="76"/>
      <c r="E150" s="76"/>
      <c r="F150" s="76">
        <v>284</v>
      </c>
      <c r="G150" s="76"/>
      <c r="H150" s="76"/>
      <c r="I150" s="76">
        <v>2059</v>
      </c>
      <c r="J150" s="76"/>
      <c r="K150" s="76">
        <v>205801</v>
      </c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76">
        <f t="shared" si="4"/>
        <v>76.967741935483872</v>
      </c>
      <c r="X150" s="69"/>
      <c r="Y150" s="76">
        <f t="shared" si="5"/>
        <v>1131.4258064516127</v>
      </c>
      <c r="Z150" s="69"/>
      <c r="AA150" s="76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</row>
    <row r="151" spans="1:37" s="140" customFormat="1" ht="12">
      <c r="A151" s="139">
        <v>34001</v>
      </c>
      <c r="B151" s="76">
        <v>2043</v>
      </c>
      <c r="C151" s="76">
        <v>47</v>
      </c>
      <c r="D151" s="76"/>
      <c r="E151" s="76"/>
      <c r="F151" s="76">
        <v>270</v>
      </c>
      <c r="G151" s="76"/>
      <c r="H151" s="76"/>
      <c r="I151" s="76">
        <v>1946</v>
      </c>
      <c r="J151" s="76"/>
      <c r="K151" s="76">
        <v>199139</v>
      </c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76">
        <f t="shared" si="4"/>
        <v>72.964285714285708</v>
      </c>
      <c r="X151" s="69"/>
      <c r="Y151" s="76">
        <f t="shared" si="5"/>
        <v>1072.5749999999998</v>
      </c>
      <c r="Z151" s="69"/>
      <c r="AA151" s="76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</row>
    <row r="152" spans="1:37" s="140" customFormat="1" ht="12">
      <c r="A152" s="139">
        <v>34029</v>
      </c>
      <c r="B152" s="76">
        <v>2407</v>
      </c>
      <c r="C152" s="76">
        <v>47</v>
      </c>
      <c r="D152" s="76"/>
      <c r="E152" s="76"/>
      <c r="F152" s="76">
        <v>296</v>
      </c>
      <c r="G152" s="76"/>
      <c r="H152" s="76"/>
      <c r="I152" s="76">
        <v>1929</v>
      </c>
      <c r="J152" s="76"/>
      <c r="K152" s="76">
        <v>229070</v>
      </c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76">
        <f t="shared" si="4"/>
        <v>77.645161290322577</v>
      </c>
      <c r="X152" s="69"/>
      <c r="Y152" s="76">
        <f t="shared" si="5"/>
        <v>1141.3838709677418</v>
      </c>
      <c r="Z152" s="69"/>
      <c r="AA152" s="76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</row>
    <row r="153" spans="1:37" s="140" customFormat="1" ht="12">
      <c r="A153" s="139">
        <v>34060</v>
      </c>
      <c r="B153" s="76">
        <v>2306</v>
      </c>
      <c r="C153" s="76">
        <v>24</v>
      </c>
      <c r="D153" s="76"/>
      <c r="E153" s="76"/>
      <c r="F153" s="76">
        <v>258</v>
      </c>
      <c r="G153" s="76"/>
      <c r="H153" s="76"/>
      <c r="I153" s="76">
        <v>2152</v>
      </c>
      <c r="J153" s="76"/>
      <c r="K153" s="76">
        <v>223039</v>
      </c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76">
        <f t="shared" si="4"/>
        <v>76.86666666666666</v>
      </c>
      <c r="X153" s="69"/>
      <c r="Y153" s="76">
        <f t="shared" si="5"/>
        <v>1129.94</v>
      </c>
      <c r="Z153" s="69"/>
      <c r="AA153" s="76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</row>
    <row r="154" spans="1:37" s="140" customFormat="1" ht="12">
      <c r="A154" s="139">
        <v>34090</v>
      </c>
      <c r="B154" s="76">
        <v>2346</v>
      </c>
      <c r="C154" s="76">
        <v>18</v>
      </c>
      <c r="D154" s="76"/>
      <c r="E154" s="76"/>
      <c r="F154" s="76">
        <v>267</v>
      </c>
      <c r="G154" s="76"/>
      <c r="H154" s="76"/>
      <c r="I154" s="76">
        <v>2441</v>
      </c>
      <c r="J154" s="76"/>
      <c r="K154" s="76">
        <v>235145</v>
      </c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76">
        <f t="shared" si="4"/>
        <v>75.677419354838705</v>
      </c>
      <c r="X154" s="69"/>
      <c r="Y154" s="76">
        <f t="shared" si="5"/>
        <v>1112.4580645161291</v>
      </c>
      <c r="Z154" s="69"/>
      <c r="AA154" s="76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</row>
    <row r="155" spans="1:37" s="140" customFormat="1" ht="12">
      <c r="A155" s="139">
        <v>34121</v>
      </c>
      <c r="B155" s="76">
        <v>2271</v>
      </c>
      <c r="C155" s="76">
        <v>50</v>
      </c>
      <c r="D155" s="76"/>
      <c r="E155" s="76"/>
      <c r="F155" s="76">
        <v>242</v>
      </c>
      <c r="G155" s="76"/>
      <c r="H155" s="76"/>
      <c r="I155" s="76">
        <v>2627</v>
      </c>
      <c r="J155" s="76"/>
      <c r="K155" s="76">
        <v>231000</v>
      </c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76">
        <f t="shared" si="4"/>
        <v>75.7</v>
      </c>
      <c r="X155" s="69"/>
      <c r="Y155" s="76">
        <f t="shared" si="5"/>
        <v>1112.79</v>
      </c>
      <c r="Z155" s="69"/>
      <c r="AA155" s="76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</row>
    <row r="156" spans="1:37" s="140" customFormat="1" ht="12">
      <c r="A156" s="139">
        <v>34151</v>
      </c>
      <c r="B156" s="76">
        <v>2252</v>
      </c>
      <c r="C156" s="76">
        <v>12</v>
      </c>
      <c r="D156" s="76"/>
      <c r="E156" s="76"/>
      <c r="F156" s="76">
        <v>266</v>
      </c>
      <c r="G156" s="76"/>
      <c r="H156" s="76"/>
      <c r="I156" s="76">
        <v>2706</v>
      </c>
      <c r="J156" s="76"/>
      <c r="K156" s="76">
        <v>241325</v>
      </c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76">
        <f t="shared" si="4"/>
        <v>72.645161290322577</v>
      </c>
      <c r="X156" s="69"/>
      <c r="Y156" s="76">
        <f t="shared" si="5"/>
        <v>1067.8838709677418</v>
      </c>
      <c r="Z156" s="69"/>
      <c r="AA156" s="76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</row>
    <row r="157" spans="1:37" s="140" customFormat="1" ht="12">
      <c r="A157" s="139">
        <v>34182</v>
      </c>
      <c r="B157" s="76">
        <v>1962</v>
      </c>
      <c r="C157" s="76">
        <v>60</v>
      </c>
      <c r="D157" s="76"/>
      <c r="E157" s="76"/>
      <c r="F157" s="76">
        <v>244</v>
      </c>
      <c r="G157" s="76"/>
      <c r="H157" s="76"/>
      <c r="I157" s="76">
        <v>2941</v>
      </c>
      <c r="J157" s="76"/>
      <c r="K157" s="76">
        <v>243778</v>
      </c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76">
        <f t="shared" si="4"/>
        <v>63.29032258064516</v>
      </c>
      <c r="X157" s="69"/>
      <c r="Y157" s="76">
        <f t="shared" si="5"/>
        <v>930.36774193548388</v>
      </c>
      <c r="Z157" s="69"/>
      <c r="AA157" s="76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</row>
    <row r="158" spans="1:37" s="140" customFormat="1" ht="12">
      <c r="A158" s="139">
        <v>34213</v>
      </c>
      <c r="B158" s="76">
        <v>2144</v>
      </c>
      <c r="C158" s="76">
        <v>25</v>
      </c>
      <c r="D158" s="76"/>
      <c r="E158" s="76"/>
      <c r="F158" s="76">
        <v>271</v>
      </c>
      <c r="G158" s="76"/>
      <c r="H158" s="76">
        <v>28.650948833333338</v>
      </c>
      <c r="I158" s="76">
        <v>2805</v>
      </c>
      <c r="J158" s="76"/>
      <c r="K158" s="76">
        <v>228219</v>
      </c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76">
        <f t="shared" si="4"/>
        <v>71.466666666666669</v>
      </c>
      <c r="X158" s="69"/>
      <c r="Y158" s="76">
        <f t="shared" si="5"/>
        <v>1050.56</v>
      </c>
      <c r="Z158" s="69"/>
      <c r="AA158" s="76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</row>
    <row r="159" spans="1:37" s="140" customFormat="1" ht="12">
      <c r="A159" s="139">
        <v>34243</v>
      </c>
      <c r="B159" s="76">
        <v>2347</v>
      </c>
      <c r="C159" s="76">
        <v>24</v>
      </c>
      <c r="D159" s="76"/>
      <c r="E159" s="76"/>
      <c r="F159" s="76">
        <v>241</v>
      </c>
      <c r="G159" s="76"/>
      <c r="H159" s="76">
        <v>232.42791188571428</v>
      </c>
      <c r="I159" s="76">
        <v>2810</v>
      </c>
      <c r="J159" s="76"/>
      <c r="K159" s="76">
        <v>228848</v>
      </c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76">
        <f t="shared" si="4"/>
        <v>75.709677419354833</v>
      </c>
      <c r="X159" s="69"/>
      <c r="Y159" s="76">
        <f t="shared" si="5"/>
        <v>1112.9322580645162</v>
      </c>
      <c r="Z159" s="69"/>
      <c r="AA159" s="76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</row>
    <row r="160" spans="1:37" s="140" customFormat="1" ht="12">
      <c r="A160" s="139">
        <v>34274</v>
      </c>
      <c r="B160" s="76">
        <v>2428</v>
      </c>
      <c r="C160" s="76">
        <v>67</v>
      </c>
      <c r="D160" s="76"/>
      <c r="E160" s="76"/>
      <c r="F160" s="76">
        <v>386</v>
      </c>
      <c r="G160" s="76"/>
      <c r="H160" s="76">
        <v>65.784925623809528</v>
      </c>
      <c r="I160" s="76">
        <v>2335</v>
      </c>
      <c r="J160" s="76"/>
      <c r="K160" s="76">
        <v>225982</v>
      </c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76">
        <f t="shared" si="4"/>
        <v>80.933333333333337</v>
      </c>
      <c r="X160" s="69"/>
      <c r="Y160" s="76">
        <f t="shared" si="5"/>
        <v>1189.72</v>
      </c>
      <c r="Z160" s="69"/>
      <c r="AA160" s="76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</row>
    <row r="161" spans="1:37" s="140" customFormat="1" ht="12">
      <c r="A161" s="139">
        <v>34304</v>
      </c>
      <c r="B161" s="76">
        <v>2592</v>
      </c>
      <c r="C161" s="76">
        <v>47</v>
      </c>
      <c r="D161" s="76"/>
      <c r="E161" s="76"/>
      <c r="F161" s="76">
        <v>326</v>
      </c>
      <c r="G161" s="76"/>
      <c r="H161" s="76">
        <v>356.83477902380957</v>
      </c>
      <c r="I161" s="76">
        <v>2114</v>
      </c>
      <c r="J161" s="76"/>
      <c r="K161" s="76">
        <v>237504</v>
      </c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76">
        <f t="shared" si="4"/>
        <v>83.612903225806448</v>
      </c>
      <c r="X161" s="69"/>
      <c r="Y161" s="76">
        <f t="shared" si="5"/>
        <v>1229.109677419355</v>
      </c>
      <c r="Z161" s="69"/>
      <c r="AA161" s="76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</row>
    <row r="162" spans="1:37" s="140" customFormat="1" ht="12">
      <c r="A162" s="139">
        <v>34335</v>
      </c>
      <c r="B162" s="76">
        <v>2704</v>
      </c>
      <c r="C162" s="76">
        <v>56</v>
      </c>
      <c r="D162" s="76"/>
      <c r="E162" s="76"/>
      <c r="F162" s="76">
        <v>305</v>
      </c>
      <c r="G162" s="76"/>
      <c r="H162" s="76">
        <v>279.99547378095241</v>
      </c>
      <c r="I162" s="76">
        <v>1904</v>
      </c>
      <c r="J162" s="76"/>
      <c r="K162" s="76">
        <v>216382</v>
      </c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76">
        <f t="shared" si="4"/>
        <v>87.225806451612897</v>
      </c>
      <c r="X162" s="69"/>
      <c r="Y162" s="76">
        <f t="shared" si="5"/>
        <v>1282.2193548387095</v>
      </c>
      <c r="Z162" s="69"/>
      <c r="AA162" s="76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</row>
    <row r="163" spans="1:37" s="140" customFormat="1" ht="12">
      <c r="A163" s="139">
        <v>34366</v>
      </c>
      <c r="B163" s="76">
        <v>2162</v>
      </c>
      <c r="C163" s="76">
        <v>40</v>
      </c>
      <c r="D163" s="76"/>
      <c r="E163" s="76"/>
      <c r="F163" s="76">
        <v>284</v>
      </c>
      <c r="G163" s="76"/>
      <c r="H163" s="76">
        <v>211.55570929523813</v>
      </c>
      <c r="I163" s="76">
        <v>1730</v>
      </c>
      <c r="J163" s="76"/>
      <c r="K163" s="76">
        <v>203697</v>
      </c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76">
        <f t="shared" si="4"/>
        <v>77.214285714285708</v>
      </c>
      <c r="X163" s="69"/>
      <c r="Y163" s="76">
        <f t="shared" si="5"/>
        <v>1135.0499999999997</v>
      </c>
      <c r="Z163" s="69"/>
      <c r="AA163" s="76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</row>
    <row r="164" spans="1:37" s="140" customFormat="1" ht="12">
      <c r="A164" s="139">
        <v>34394</v>
      </c>
      <c r="B164" s="76">
        <v>2573</v>
      </c>
      <c r="C164" s="76">
        <v>0</v>
      </c>
      <c r="D164" s="76"/>
      <c r="E164" s="76"/>
      <c r="F164" s="76">
        <v>301</v>
      </c>
      <c r="G164" s="76"/>
      <c r="H164" s="76">
        <v>358.08133752857145</v>
      </c>
      <c r="I164" s="76">
        <v>1672</v>
      </c>
      <c r="J164" s="76"/>
      <c r="K164" s="76">
        <v>229243</v>
      </c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76">
        <f t="shared" si="4"/>
        <v>83</v>
      </c>
      <c r="X164" s="69"/>
      <c r="Y164" s="76">
        <f t="shared" si="5"/>
        <v>1220.0999999999999</v>
      </c>
      <c r="Z164" s="69"/>
      <c r="AA164" s="76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</row>
    <row r="165" spans="1:37" s="140" customFormat="1" ht="12">
      <c r="A165" s="139">
        <v>34425</v>
      </c>
      <c r="B165" s="76">
        <v>2169</v>
      </c>
      <c r="C165" s="76">
        <v>50</v>
      </c>
      <c r="D165" s="76"/>
      <c r="E165" s="76"/>
      <c r="F165" s="76">
        <v>220</v>
      </c>
      <c r="G165" s="76"/>
      <c r="H165" s="76">
        <v>634.75111203333347</v>
      </c>
      <c r="I165" s="76">
        <v>1481</v>
      </c>
      <c r="J165" s="76"/>
      <c r="K165" s="76">
        <v>226908</v>
      </c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76">
        <f t="shared" si="4"/>
        <v>72.3</v>
      </c>
      <c r="X165" s="69"/>
      <c r="Y165" s="76">
        <f t="shared" si="5"/>
        <v>1062.81</v>
      </c>
      <c r="Z165" s="69"/>
      <c r="AA165" s="76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</row>
    <row r="166" spans="1:37" s="140" customFormat="1" ht="12">
      <c r="A166" s="139">
        <v>34455</v>
      </c>
      <c r="B166" s="76">
        <v>2463</v>
      </c>
      <c r="C166" s="76">
        <v>27</v>
      </c>
      <c r="D166" s="76"/>
      <c r="E166" s="76"/>
      <c r="F166" s="76">
        <v>274</v>
      </c>
      <c r="G166" s="76"/>
      <c r="H166" s="76">
        <v>327.62255616190475</v>
      </c>
      <c r="I166" s="76">
        <v>1528</v>
      </c>
      <c r="J166" s="76"/>
      <c r="K166" s="76">
        <v>236977</v>
      </c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76">
        <f t="shared" si="4"/>
        <v>79.451612903225808</v>
      </c>
      <c r="X166" s="69"/>
      <c r="Y166" s="76">
        <f t="shared" si="5"/>
        <v>1167.9387096774194</v>
      </c>
      <c r="Z166" s="69"/>
      <c r="AA166" s="76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</row>
    <row r="167" spans="1:37" s="140" customFormat="1" ht="12">
      <c r="A167" s="139">
        <v>34486</v>
      </c>
      <c r="B167" s="76">
        <v>2323</v>
      </c>
      <c r="C167" s="76">
        <v>28</v>
      </c>
      <c r="D167" s="76"/>
      <c r="E167" s="76"/>
      <c r="F167" s="76">
        <v>246</v>
      </c>
      <c r="G167" s="76"/>
      <c r="H167" s="76">
        <v>465.18950837142859</v>
      </c>
      <c r="I167" s="76">
        <v>1702</v>
      </c>
      <c r="J167" s="76"/>
      <c r="K167" s="76">
        <v>237664</v>
      </c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76">
        <f t="shared" si="4"/>
        <v>77.433333333333337</v>
      </c>
      <c r="X167" s="69"/>
      <c r="Y167" s="76">
        <f t="shared" si="5"/>
        <v>1138.27</v>
      </c>
      <c r="Z167" s="69"/>
      <c r="AA167" s="76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</row>
    <row r="168" spans="1:37" s="140" customFormat="1" ht="12">
      <c r="A168" s="139">
        <v>34516</v>
      </c>
      <c r="B168" s="76">
        <v>2384</v>
      </c>
      <c r="C168" s="76">
        <v>64</v>
      </c>
      <c r="D168" s="76"/>
      <c r="E168" s="76"/>
      <c r="F168" s="76">
        <v>275</v>
      </c>
      <c r="G168" s="76"/>
      <c r="H168" s="76">
        <v>498.36031531904774</v>
      </c>
      <c r="I168" s="76">
        <v>1822</v>
      </c>
      <c r="J168" s="76"/>
      <c r="K168" s="76">
        <v>244419</v>
      </c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76">
        <f t="shared" si="4"/>
        <v>76.903225806451616</v>
      </c>
      <c r="X168" s="69"/>
      <c r="Y168" s="76">
        <f t="shared" si="5"/>
        <v>1130.4774193548387</v>
      </c>
      <c r="Z168" s="69"/>
      <c r="AA168" s="76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</row>
    <row r="169" spans="1:37" s="140" customFormat="1" ht="12">
      <c r="A169" s="139">
        <v>34547</v>
      </c>
      <c r="B169" s="76">
        <v>2474</v>
      </c>
      <c r="C169" s="76">
        <v>55</v>
      </c>
      <c r="D169" s="76"/>
      <c r="E169" s="76"/>
      <c r="F169" s="76">
        <v>292</v>
      </c>
      <c r="G169" s="76"/>
      <c r="H169" s="76">
        <v>572.9736852380953</v>
      </c>
      <c r="I169" s="76">
        <v>1819</v>
      </c>
      <c r="J169" s="76"/>
      <c r="K169" s="76">
        <v>247211</v>
      </c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76">
        <f t="shared" si="4"/>
        <v>79.806451612903231</v>
      </c>
      <c r="X169" s="69"/>
      <c r="Y169" s="76">
        <f t="shared" si="5"/>
        <v>1173.1548387096775</v>
      </c>
      <c r="Z169" s="69"/>
      <c r="AA169" s="76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</row>
    <row r="170" spans="1:37" s="140" customFormat="1" ht="12">
      <c r="A170" s="139">
        <v>34578</v>
      </c>
      <c r="B170" s="76">
        <v>2894</v>
      </c>
      <c r="C170" s="76">
        <v>27</v>
      </c>
      <c r="D170" s="76"/>
      <c r="E170" s="76"/>
      <c r="F170" s="76">
        <v>258</v>
      </c>
      <c r="G170" s="76"/>
      <c r="H170" s="76">
        <v>172.49699147142857</v>
      </c>
      <c r="I170" s="76">
        <v>2688</v>
      </c>
      <c r="J170" s="76"/>
      <c r="K170" s="76">
        <v>228462</v>
      </c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76">
        <f t="shared" si="4"/>
        <v>96.466666666666669</v>
      </c>
      <c r="X170" s="69"/>
      <c r="Y170" s="76">
        <f t="shared" si="5"/>
        <v>1418.06</v>
      </c>
      <c r="Z170" s="69"/>
      <c r="AA170" s="76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</row>
    <row r="171" spans="1:37" s="140" customFormat="1" ht="12">
      <c r="A171" s="139">
        <v>34608</v>
      </c>
      <c r="B171" s="76">
        <v>2625</v>
      </c>
      <c r="C171" s="76">
        <v>0</v>
      </c>
      <c r="D171" s="76"/>
      <c r="E171" s="76"/>
      <c r="F171" s="76">
        <v>285</v>
      </c>
      <c r="G171" s="76"/>
      <c r="H171" s="76">
        <v>143.09389040000002</v>
      </c>
      <c r="I171" s="76">
        <v>2302</v>
      </c>
      <c r="J171" s="76"/>
      <c r="K171" s="76">
        <v>233984</v>
      </c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76">
        <f t="shared" si="4"/>
        <v>84.677419354838705</v>
      </c>
      <c r="X171" s="69"/>
      <c r="Y171" s="76">
        <f t="shared" si="5"/>
        <v>1244.758064516129</v>
      </c>
      <c r="Z171" s="69"/>
      <c r="AA171" s="76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</row>
    <row r="172" spans="1:37" s="140" customFormat="1" ht="12">
      <c r="A172" s="139">
        <v>34639</v>
      </c>
      <c r="B172" s="76">
        <v>2892</v>
      </c>
      <c r="C172" s="76">
        <v>3</v>
      </c>
      <c r="D172" s="76"/>
      <c r="E172" s="76"/>
      <c r="F172" s="76">
        <v>333</v>
      </c>
      <c r="G172" s="76"/>
      <c r="H172" s="76">
        <v>147.19631251428572</v>
      </c>
      <c r="I172" s="76">
        <v>2402</v>
      </c>
      <c r="J172" s="76"/>
      <c r="K172" s="76">
        <v>223924</v>
      </c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76">
        <f t="shared" si="4"/>
        <v>96.4</v>
      </c>
      <c r="X172" s="69"/>
      <c r="Y172" s="76">
        <f t="shared" si="5"/>
        <v>1417.08</v>
      </c>
      <c r="Z172" s="69"/>
      <c r="AA172" s="76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</row>
    <row r="173" spans="1:37" s="140" customFormat="1" ht="12">
      <c r="A173" s="139">
        <v>34669</v>
      </c>
      <c r="B173" s="76">
        <v>3026</v>
      </c>
      <c r="C173" s="76">
        <v>50</v>
      </c>
      <c r="D173" s="76"/>
      <c r="E173" s="76"/>
      <c r="F173" s="76">
        <v>547</v>
      </c>
      <c r="G173" s="76"/>
      <c r="H173" s="76">
        <v>25.23391184285715</v>
      </c>
      <c r="I173" s="76">
        <v>2393</v>
      </c>
      <c r="J173" s="76"/>
      <c r="K173" s="76">
        <v>245630</v>
      </c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76">
        <f t="shared" si="4"/>
        <v>97.612903225806448</v>
      </c>
      <c r="X173" s="69"/>
      <c r="Y173" s="76">
        <f t="shared" si="5"/>
        <v>1434.9096774193549</v>
      </c>
      <c r="Z173" s="69"/>
      <c r="AA173" s="76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</row>
    <row r="174" spans="1:37" s="140" customFormat="1" ht="12">
      <c r="A174" s="139">
        <v>34700</v>
      </c>
      <c r="B174" s="76">
        <v>3017</v>
      </c>
      <c r="C174" s="76">
        <v>43</v>
      </c>
      <c r="D174" s="76"/>
      <c r="E174" s="76"/>
      <c r="F174" s="76">
        <v>668</v>
      </c>
      <c r="G174" s="76"/>
      <c r="H174" s="76">
        <v>86.092186838095245</v>
      </c>
      <c r="I174" s="76">
        <v>2747</v>
      </c>
      <c r="J174" s="76"/>
      <c r="K174" s="76">
        <v>222059</v>
      </c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76">
        <f t="shared" si="4"/>
        <v>97.322580645161295</v>
      </c>
      <c r="X174" s="69"/>
      <c r="Y174" s="76">
        <f t="shared" si="5"/>
        <v>1430.6419354838711</v>
      </c>
      <c r="Z174" s="69"/>
      <c r="AA174" s="76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</row>
    <row r="175" spans="1:37" s="140" customFormat="1" ht="12">
      <c r="A175" s="139">
        <v>34731</v>
      </c>
      <c r="B175" s="76">
        <v>2742</v>
      </c>
      <c r="C175" s="76">
        <v>31</v>
      </c>
      <c r="D175" s="76"/>
      <c r="E175" s="76"/>
      <c r="F175" s="76">
        <v>624</v>
      </c>
      <c r="G175" s="76"/>
      <c r="H175" s="76">
        <v>373.30381812380961</v>
      </c>
      <c r="I175" s="76">
        <v>3025</v>
      </c>
      <c r="J175" s="76"/>
      <c r="K175" s="76">
        <v>209461</v>
      </c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76">
        <f t="shared" si="4"/>
        <v>97.928571428571431</v>
      </c>
      <c r="X175" s="69"/>
      <c r="Y175" s="76">
        <f t="shared" si="5"/>
        <v>1439.55</v>
      </c>
      <c r="Z175" s="69"/>
      <c r="AA175" s="76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</row>
    <row r="176" spans="1:37" s="140" customFormat="1" ht="12">
      <c r="A176" s="139">
        <v>34759</v>
      </c>
      <c r="B176" s="76">
        <v>2969</v>
      </c>
      <c r="C176" s="76">
        <v>24</v>
      </c>
      <c r="D176" s="76"/>
      <c r="E176" s="76"/>
      <c r="F176" s="76">
        <v>592</v>
      </c>
      <c r="G176" s="76"/>
      <c r="H176" s="76">
        <v>528.07380735714298</v>
      </c>
      <c r="I176" s="76">
        <v>3017</v>
      </c>
      <c r="J176" s="76"/>
      <c r="K176" s="76">
        <v>241413</v>
      </c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76">
        <f t="shared" si="4"/>
        <v>95.774193548387103</v>
      </c>
      <c r="X176" s="69"/>
      <c r="Y176" s="76">
        <f t="shared" si="5"/>
        <v>1407.8806451612904</v>
      </c>
      <c r="Z176" s="69"/>
      <c r="AA176" s="76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</row>
    <row r="177" spans="1:37" s="140" customFormat="1" ht="12">
      <c r="A177" s="139">
        <v>34790</v>
      </c>
      <c r="B177" s="76">
        <v>2877</v>
      </c>
      <c r="C177" s="76">
        <v>47</v>
      </c>
      <c r="D177" s="76"/>
      <c r="E177" s="76"/>
      <c r="F177" s="76">
        <v>578</v>
      </c>
      <c r="G177" s="76"/>
      <c r="H177" s="76">
        <v>1024.6462749857144</v>
      </c>
      <c r="I177" s="76">
        <v>3125</v>
      </c>
      <c r="J177" s="76"/>
      <c r="K177" s="76">
        <v>229540</v>
      </c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76">
        <f t="shared" si="4"/>
        <v>95.9</v>
      </c>
      <c r="X177" s="69"/>
      <c r="Y177" s="76">
        <f t="shared" si="5"/>
        <v>1409.73</v>
      </c>
      <c r="Z177" s="69"/>
      <c r="AA177" s="76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</row>
    <row r="178" spans="1:37" s="140" customFormat="1" ht="12">
      <c r="A178" s="139">
        <v>34820</v>
      </c>
      <c r="B178" s="76">
        <v>2807</v>
      </c>
      <c r="C178" s="76">
        <v>28</v>
      </c>
      <c r="D178" s="76"/>
      <c r="E178" s="76"/>
      <c r="F178" s="76">
        <v>552</v>
      </c>
      <c r="G178" s="76"/>
      <c r="H178" s="76">
        <v>92.723053276190484</v>
      </c>
      <c r="I178" s="76">
        <v>3618</v>
      </c>
      <c r="J178" s="76"/>
      <c r="K178" s="76">
        <v>244706</v>
      </c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76">
        <f t="shared" si="4"/>
        <v>90.548387096774192</v>
      </c>
      <c r="X178" s="69"/>
      <c r="Y178" s="76">
        <f t="shared" si="5"/>
        <v>1331.0612903225806</v>
      </c>
      <c r="Z178" s="69"/>
      <c r="AA178" s="76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</row>
    <row r="179" spans="1:37" s="140" customFormat="1" ht="12">
      <c r="A179" s="139">
        <v>34851</v>
      </c>
      <c r="B179" s="76">
        <v>2679</v>
      </c>
      <c r="C179" s="76">
        <v>32</v>
      </c>
      <c r="D179" s="76"/>
      <c r="E179" s="76"/>
      <c r="F179" s="76">
        <v>544</v>
      </c>
      <c r="G179" s="76"/>
      <c r="H179" s="76">
        <v>659.68347731904771</v>
      </c>
      <c r="I179" s="76">
        <v>3387</v>
      </c>
      <c r="J179" s="76"/>
      <c r="K179" s="76">
        <v>246610</v>
      </c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76">
        <f t="shared" si="4"/>
        <v>89.3</v>
      </c>
      <c r="X179" s="69"/>
      <c r="Y179" s="76">
        <f t="shared" si="5"/>
        <v>1312.71</v>
      </c>
      <c r="Z179" s="69"/>
      <c r="AA179" s="76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</row>
    <row r="180" spans="1:37" s="140" customFormat="1" ht="12">
      <c r="A180" s="139">
        <v>34881</v>
      </c>
      <c r="B180" s="76">
        <v>2510</v>
      </c>
      <c r="C180" s="76">
        <v>0</v>
      </c>
      <c r="D180" s="76"/>
      <c r="E180" s="76"/>
      <c r="F180" s="76">
        <v>711</v>
      </c>
      <c r="G180" s="76"/>
      <c r="H180" s="76">
        <v>429.4396439285714</v>
      </c>
      <c r="I180" s="76">
        <v>3734</v>
      </c>
      <c r="J180" s="76"/>
      <c r="K180" s="76">
        <v>244514</v>
      </c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76">
        <f t="shared" si="4"/>
        <v>80.967741935483872</v>
      </c>
      <c r="X180" s="69"/>
      <c r="Y180" s="76">
        <f t="shared" si="5"/>
        <v>1190.2258064516129</v>
      </c>
      <c r="Z180" s="69"/>
      <c r="AA180" s="76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</row>
    <row r="181" spans="1:37" s="140" customFormat="1" ht="12">
      <c r="A181" s="139">
        <v>34912</v>
      </c>
      <c r="B181" s="76">
        <v>2397</v>
      </c>
      <c r="C181" s="76">
        <v>0</v>
      </c>
      <c r="D181" s="76"/>
      <c r="E181" s="76"/>
      <c r="F181" s="76">
        <v>709</v>
      </c>
      <c r="G181" s="76"/>
      <c r="H181" s="76">
        <v>293.03737338571426</v>
      </c>
      <c r="I181" s="76">
        <v>4324</v>
      </c>
      <c r="J181" s="76"/>
      <c r="K181" s="76">
        <v>253801</v>
      </c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76">
        <f t="shared" si="4"/>
        <v>77.322580645161295</v>
      </c>
      <c r="X181" s="69"/>
      <c r="Y181" s="76">
        <f t="shared" si="5"/>
        <v>1136.6419354838711</v>
      </c>
      <c r="Z181" s="69"/>
      <c r="AA181" s="76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</row>
    <row r="182" spans="1:37" s="140" customFormat="1" ht="12">
      <c r="A182" s="139">
        <v>34943</v>
      </c>
      <c r="B182" s="76">
        <v>2464</v>
      </c>
      <c r="C182" s="76">
        <v>58</v>
      </c>
      <c r="D182" s="76"/>
      <c r="E182" s="76"/>
      <c r="F182" s="76">
        <v>773</v>
      </c>
      <c r="G182" s="76"/>
      <c r="H182" s="76">
        <v>214.48197591428575</v>
      </c>
      <c r="I182" s="76">
        <v>4312</v>
      </c>
      <c r="J182" s="76"/>
      <c r="K182" s="76">
        <v>233580</v>
      </c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76">
        <f t="shared" si="4"/>
        <v>82.13333333333334</v>
      </c>
      <c r="X182" s="69"/>
      <c r="Y182" s="76">
        <f t="shared" si="5"/>
        <v>1207.3599999999999</v>
      </c>
      <c r="Z182" s="69"/>
      <c r="AA182" s="76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</row>
    <row r="183" spans="1:37" s="140" customFormat="1" ht="12">
      <c r="A183" s="139">
        <v>34973</v>
      </c>
      <c r="B183" s="76">
        <v>2600</v>
      </c>
      <c r="C183" s="76">
        <v>46</v>
      </c>
      <c r="D183" s="76"/>
      <c r="E183" s="76"/>
      <c r="F183" s="76">
        <v>1052</v>
      </c>
      <c r="G183" s="76"/>
      <c r="H183" s="76">
        <v>232.83220708095237</v>
      </c>
      <c r="I183" s="76">
        <v>3626</v>
      </c>
      <c r="J183" s="76"/>
      <c r="K183" s="76">
        <v>241207</v>
      </c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76">
        <f t="shared" si="4"/>
        <v>83.870967741935488</v>
      </c>
      <c r="X183" s="69"/>
      <c r="Y183" s="76">
        <f t="shared" si="5"/>
        <v>1232.9032258064517</v>
      </c>
      <c r="Z183" s="69"/>
      <c r="AA183" s="76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</row>
    <row r="184" spans="1:37" s="140" customFormat="1" ht="12">
      <c r="A184" s="139">
        <v>35004</v>
      </c>
      <c r="B184" s="76">
        <v>2451</v>
      </c>
      <c r="C184" s="76">
        <v>0</v>
      </c>
      <c r="D184" s="76"/>
      <c r="E184" s="76"/>
      <c r="F184" s="76">
        <v>1104</v>
      </c>
      <c r="G184" s="76"/>
      <c r="H184" s="76">
        <v>622.1523324428573</v>
      </c>
      <c r="I184" s="76">
        <v>2282</v>
      </c>
      <c r="J184" s="76"/>
      <c r="K184" s="76">
        <v>235975</v>
      </c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76">
        <f t="shared" si="4"/>
        <v>81.7</v>
      </c>
      <c r="X184" s="69"/>
      <c r="Y184" s="76">
        <f t="shared" si="5"/>
        <v>1200.99</v>
      </c>
      <c r="Z184" s="69"/>
      <c r="AA184" s="76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</row>
    <row r="185" spans="1:37" s="140" customFormat="1" ht="12">
      <c r="A185" s="139">
        <v>35034</v>
      </c>
      <c r="B185" s="76">
        <v>2812</v>
      </c>
      <c r="C185" s="76">
        <v>0</v>
      </c>
      <c r="D185" s="76"/>
      <c r="E185" s="76"/>
      <c r="F185" s="76">
        <v>1148</v>
      </c>
      <c r="G185" s="76"/>
      <c r="H185" s="76">
        <v>145.65423372857143</v>
      </c>
      <c r="I185" s="76">
        <v>2186</v>
      </c>
      <c r="J185" s="76"/>
      <c r="K185" s="76">
        <v>239990</v>
      </c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76">
        <f t="shared" si="4"/>
        <v>90.709677419354833</v>
      </c>
      <c r="X185" s="69"/>
      <c r="Y185" s="76">
        <f t="shared" si="5"/>
        <v>1333.4322580645162</v>
      </c>
      <c r="Z185" s="69"/>
      <c r="AA185" s="76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</row>
    <row r="186" spans="1:37" s="140" customFormat="1" ht="12">
      <c r="A186" s="139">
        <v>35065</v>
      </c>
      <c r="B186" s="76">
        <v>2640</v>
      </c>
      <c r="C186" s="76">
        <v>47</v>
      </c>
      <c r="D186" s="76"/>
      <c r="E186" s="76"/>
      <c r="F186" s="76">
        <v>1120</v>
      </c>
      <c r="G186" s="76"/>
      <c r="H186" s="76">
        <v>230.62691080952379</v>
      </c>
      <c r="I186" s="76">
        <v>1928</v>
      </c>
      <c r="J186" s="76"/>
      <c r="K186" s="76">
        <v>225398</v>
      </c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76">
        <f t="shared" si="4"/>
        <v>85.161290322580641</v>
      </c>
      <c r="X186" s="69"/>
      <c r="Y186" s="76">
        <f t="shared" si="5"/>
        <v>1251.8709677419354</v>
      </c>
      <c r="Z186" s="69"/>
      <c r="AA186" s="76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</row>
    <row r="187" spans="1:37" s="140" customFormat="1" ht="12">
      <c r="A187" s="139">
        <v>35096</v>
      </c>
      <c r="B187" s="76">
        <v>2104</v>
      </c>
      <c r="C187" s="76">
        <v>0</v>
      </c>
      <c r="D187" s="76"/>
      <c r="E187" s="76"/>
      <c r="F187" s="76">
        <v>1017</v>
      </c>
      <c r="G187" s="76"/>
      <c r="H187" s="76">
        <v>182.88815989523812</v>
      </c>
      <c r="I187" s="76">
        <v>1491</v>
      </c>
      <c r="J187" s="76"/>
      <c r="K187" s="76">
        <v>220377</v>
      </c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76">
        <f t="shared" si="4"/>
        <v>72.551724137931032</v>
      </c>
      <c r="X187" s="69"/>
      <c r="Y187" s="76">
        <f t="shared" si="5"/>
        <v>1066.5103448275863</v>
      </c>
      <c r="Z187" s="69"/>
      <c r="AA187" s="76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</row>
    <row r="188" spans="1:37" s="140" customFormat="1" ht="12">
      <c r="A188" s="139">
        <v>35125</v>
      </c>
      <c r="B188" s="76">
        <v>2318</v>
      </c>
      <c r="C188" s="76">
        <v>0</v>
      </c>
      <c r="D188" s="76"/>
      <c r="E188" s="76"/>
      <c r="F188" s="76">
        <v>994</v>
      </c>
      <c r="G188" s="76"/>
      <c r="H188" s="76">
        <v>320.59628297142859</v>
      </c>
      <c r="I188" s="76">
        <v>1340</v>
      </c>
      <c r="J188" s="76"/>
      <c r="K188" s="76">
        <v>241548</v>
      </c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76">
        <f t="shared" si="4"/>
        <v>74.774193548387103</v>
      </c>
      <c r="X188" s="69"/>
      <c r="Y188" s="76">
        <f t="shared" si="5"/>
        <v>1099.1806451612904</v>
      </c>
      <c r="Z188" s="69"/>
      <c r="AA188" s="76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</row>
    <row r="189" spans="1:37" s="140" customFormat="1" ht="12">
      <c r="A189" s="139">
        <v>35156</v>
      </c>
      <c r="B189" s="76">
        <v>1977</v>
      </c>
      <c r="C189" s="76">
        <v>47</v>
      </c>
      <c r="D189" s="76"/>
      <c r="E189" s="76"/>
      <c r="F189" s="76">
        <v>887</v>
      </c>
      <c r="G189" s="76"/>
      <c r="H189" s="76">
        <v>183.04386176190479</v>
      </c>
      <c r="I189" s="76">
        <v>1353</v>
      </c>
      <c r="J189" s="76"/>
      <c r="K189" s="76">
        <v>236192</v>
      </c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76">
        <f t="shared" si="4"/>
        <v>65.900000000000006</v>
      </c>
      <c r="X189" s="69"/>
      <c r="Y189" s="76">
        <f t="shared" si="5"/>
        <v>968.73000000000013</v>
      </c>
      <c r="Z189" s="69"/>
      <c r="AA189" s="76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</row>
    <row r="190" spans="1:37" s="140" customFormat="1" ht="12">
      <c r="A190" s="139">
        <v>35186</v>
      </c>
      <c r="B190" s="76">
        <v>1478</v>
      </c>
      <c r="C190" s="76">
        <v>0</v>
      </c>
      <c r="D190" s="76"/>
      <c r="E190" s="76"/>
      <c r="F190" s="76">
        <v>898</v>
      </c>
      <c r="G190" s="76"/>
      <c r="H190" s="76">
        <v>278.56884410476192</v>
      </c>
      <c r="I190" s="76">
        <v>1134</v>
      </c>
      <c r="J190" s="76"/>
      <c r="K190" s="76">
        <v>250199</v>
      </c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76">
        <f t="shared" si="4"/>
        <v>47.677419354838712</v>
      </c>
      <c r="X190" s="69"/>
      <c r="Y190" s="76">
        <f t="shared" si="5"/>
        <v>700.85806451612905</v>
      </c>
      <c r="Z190" s="69"/>
      <c r="AA190" s="76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</row>
    <row r="191" spans="1:37" s="140" customFormat="1" ht="12">
      <c r="A191" s="139">
        <v>35217</v>
      </c>
      <c r="B191" s="76">
        <v>1102</v>
      </c>
      <c r="C191" s="76">
        <v>0</v>
      </c>
      <c r="D191" s="76"/>
      <c r="E191" s="76"/>
      <c r="F191" s="76">
        <v>832</v>
      </c>
      <c r="G191" s="76"/>
      <c r="H191" s="76">
        <v>67.358765023809539</v>
      </c>
      <c r="I191" s="76">
        <v>978</v>
      </c>
      <c r="J191" s="76"/>
      <c r="K191" s="76">
        <v>242641</v>
      </c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76">
        <f t="shared" si="4"/>
        <v>36.733333333333334</v>
      </c>
      <c r="X191" s="69"/>
      <c r="Y191" s="76">
        <f t="shared" si="5"/>
        <v>539.98</v>
      </c>
      <c r="Z191" s="69"/>
      <c r="AA191" s="76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</row>
    <row r="192" spans="1:37" s="140" customFormat="1" ht="12">
      <c r="A192" s="139">
        <v>35247</v>
      </c>
      <c r="B192" s="76">
        <v>1235</v>
      </c>
      <c r="C192" s="76">
        <v>21</v>
      </c>
      <c r="D192" s="76"/>
      <c r="E192" s="76"/>
      <c r="F192" s="76">
        <v>916</v>
      </c>
      <c r="G192" s="76"/>
      <c r="H192" s="76">
        <v>28.979053780952384</v>
      </c>
      <c r="I192" s="76">
        <v>1005</v>
      </c>
      <c r="J192" s="76"/>
      <c r="K192" s="76">
        <v>253124</v>
      </c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76">
        <f t="shared" si="4"/>
        <v>39.838709677419352</v>
      </c>
      <c r="X192" s="69"/>
      <c r="Y192" s="76">
        <f t="shared" si="5"/>
        <v>585.62903225806451</v>
      </c>
      <c r="Z192" s="69"/>
      <c r="AA192" s="76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</row>
    <row r="193" spans="1:37" s="140" customFormat="1" ht="12">
      <c r="A193" s="139">
        <v>35278</v>
      </c>
      <c r="B193" s="76">
        <v>1485</v>
      </c>
      <c r="C193" s="76">
        <v>0</v>
      </c>
      <c r="D193" s="76"/>
      <c r="E193" s="76"/>
      <c r="F193" s="76">
        <v>886</v>
      </c>
      <c r="G193" s="76"/>
      <c r="H193" s="76">
        <v>47.220572938095245</v>
      </c>
      <c r="I193" s="76">
        <v>1040</v>
      </c>
      <c r="J193" s="76"/>
      <c r="K193" s="76">
        <v>258643</v>
      </c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76">
        <f t="shared" si="4"/>
        <v>47.903225806451616</v>
      </c>
      <c r="X193" s="69"/>
      <c r="Y193" s="76">
        <f t="shared" si="5"/>
        <v>704.17741935483866</v>
      </c>
      <c r="Z193" s="69"/>
      <c r="AA193" s="76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</row>
    <row r="194" spans="1:37" s="140" customFormat="1" ht="12">
      <c r="A194" s="139">
        <v>35309</v>
      </c>
      <c r="B194" s="76">
        <v>1600</v>
      </c>
      <c r="C194" s="76">
        <v>0</v>
      </c>
      <c r="D194" s="76"/>
      <c r="E194" s="76"/>
      <c r="F194" s="76">
        <v>713</v>
      </c>
      <c r="G194" s="76"/>
      <c r="H194" s="76">
        <v>107.75732282380953</v>
      </c>
      <c r="I194" s="76">
        <v>1287</v>
      </c>
      <c r="J194" s="76"/>
      <c r="K194" s="76">
        <v>229867</v>
      </c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76">
        <f t="shared" si="4"/>
        <v>53.333333333333336</v>
      </c>
      <c r="X194" s="69"/>
      <c r="Y194" s="76">
        <f t="shared" si="5"/>
        <v>784</v>
      </c>
      <c r="Z194" s="69"/>
      <c r="AA194" s="76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</row>
    <row r="195" spans="1:37" s="140" customFormat="1" ht="12">
      <c r="A195" s="139">
        <v>35339</v>
      </c>
      <c r="B195" s="76">
        <v>2458</v>
      </c>
      <c r="C195" s="76">
        <v>0</v>
      </c>
      <c r="D195" s="76"/>
      <c r="E195" s="76"/>
      <c r="F195" s="76">
        <v>898</v>
      </c>
      <c r="G195" s="76"/>
      <c r="H195" s="76">
        <v>88.25208474285715</v>
      </c>
      <c r="I195" s="76">
        <v>1727</v>
      </c>
      <c r="J195" s="76"/>
      <c r="K195" s="76">
        <v>250897</v>
      </c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76">
        <f t="shared" si="4"/>
        <v>79.290322580645167</v>
      </c>
      <c r="X195" s="69"/>
      <c r="Y195" s="76">
        <f t="shared" si="5"/>
        <v>1165.5677419354838</v>
      </c>
      <c r="Z195" s="69"/>
      <c r="AA195" s="76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</row>
    <row r="196" spans="1:37" s="140" customFormat="1" ht="12">
      <c r="A196" s="139">
        <v>35370</v>
      </c>
      <c r="B196" s="76">
        <v>2324</v>
      </c>
      <c r="C196" s="76">
        <v>17</v>
      </c>
      <c r="D196" s="76"/>
      <c r="E196" s="76"/>
      <c r="F196" s="76">
        <v>986</v>
      </c>
      <c r="G196" s="76"/>
      <c r="H196" s="76">
        <v>134.26506238571432</v>
      </c>
      <c r="I196" s="76">
        <v>1754</v>
      </c>
      <c r="J196" s="76"/>
      <c r="K196" s="76">
        <v>237439</v>
      </c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76">
        <f t="shared" si="4"/>
        <v>77.466666666666669</v>
      </c>
      <c r="X196" s="69"/>
      <c r="Y196" s="76">
        <f t="shared" si="5"/>
        <v>1138.76</v>
      </c>
      <c r="Z196" s="69"/>
      <c r="AA196" s="76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</row>
    <row r="197" spans="1:37" s="140" customFormat="1" ht="12">
      <c r="A197" s="139">
        <v>35400</v>
      </c>
      <c r="B197" s="76">
        <v>2457</v>
      </c>
      <c r="C197" s="76">
        <v>0</v>
      </c>
      <c r="D197" s="76"/>
      <c r="E197" s="76"/>
      <c r="F197" s="76">
        <v>1009</v>
      </c>
      <c r="G197" s="76"/>
      <c r="H197" s="76">
        <v>76.655258490476186</v>
      </c>
      <c r="I197" s="76">
        <v>2065</v>
      </c>
      <c r="J197" s="76"/>
      <c r="K197" s="76">
        <v>241629</v>
      </c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76">
        <f t="shared" si="4"/>
        <v>79.258064516129039</v>
      </c>
      <c r="X197" s="69"/>
      <c r="Y197" s="76">
        <f t="shared" si="5"/>
        <v>1165.0935483870967</v>
      </c>
      <c r="Z197" s="69"/>
      <c r="AA197" s="76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</row>
    <row r="198" spans="1:37" s="140" customFormat="1" ht="12">
      <c r="A198" s="139">
        <v>35431</v>
      </c>
      <c r="B198" s="76">
        <v>2396</v>
      </c>
      <c r="C198" s="76">
        <v>0</v>
      </c>
      <c r="D198" s="76"/>
      <c r="E198" s="76"/>
      <c r="F198" s="76">
        <v>1001</v>
      </c>
      <c r="G198" s="76"/>
      <c r="H198" s="76">
        <v>103.46717402857146</v>
      </c>
      <c r="I198" s="76">
        <v>2259</v>
      </c>
      <c r="J198" s="76"/>
      <c r="K198" s="76">
        <v>226340</v>
      </c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76">
        <f t="shared" ref="W198:W261" si="6">B198/(A199-A198)</f>
        <v>77.290322580645167</v>
      </c>
      <c r="X198" s="69"/>
      <c r="Y198" s="76">
        <f t="shared" ref="Y198:Y261" si="7">W198*350*42/1000</f>
        <v>1136.1677419354839</v>
      </c>
      <c r="Z198" s="69"/>
      <c r="AA198" s="76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</row>
    <row r="199" spans="1:37" s="140" customFormat="1" ht="12">
      <c r="A199" s="139">
        <v>35462</v>
      </c>
      <c r="B199" s="76">
        <v>2283</v>
      </c>
      <c r="C199" s="76">
        <v>0</v>
      </c>
      <c r="D199" s="76"/>
      <c r="E199" s="76"/>
      <c r="F199" s="76">
        <v>932</v>
      </c>
      <c r="G199" s="76"/>
      <c r="H199" s="76">
        <v>242.20169523333334</v>
      </c>
      <c r="I199" s="76">
        <v>2215</v>
      </c>
      <c r="J199" s="76"/>
      <c r="K199" s="76">
        <v>214691</v>
      </c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76">
        <f t="shared" si="6"/>
        <v>81.535714285714292</v>
      </c>
      <c r="X199" s="69"/>
      <c r="Y199" s="76">
        <f t="shared" si="7"/>
        <v>1198.5750000000003</v>
      </c>
      <c r="Z199" s="69"/>
      <c r="AA199" s="76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</row>
    <row r="200" spans="1:37" s="140" customFormat="1" ht="12">
      <c r="A200" s="139">
        <v>35490</v>
      </c>
      <c r="B200" s="76">
        <v>2627</v>
      </c>
      <c r="C200" s="76">
        <v>0</v>
      </c>
      <c r="D200" s="76"/>
      <c r="E200" s="76"/>
      <c r="F200" s="76">
        <v>973</v>
      </c>
      <c r="G200" s="76"/>
      <c r="H200" s="76">
        <v>431.0123573333334</v>
      </c>
      <c r="I200" s="76">
        <v>2341</v>
      </c>
      <c r="J200" s="76"/>
      <c r="K200" s="76">
        <v>241671</v>
      </c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76">
        <f t="shared" si="6"/>
        <v>84.741935483870961</v>
      </c>
      <c r="X200" s="69"/>
      <c r="Y200" s="76">
        <f t="shared" si="7"/>
        <v>1245.7064516129033</v>
      </c>
      <c r="Z200" s="69"/>
      <c r="AA200" s="76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</row>
    <row r="201" spans="1:37" s="140" customFormat="1" ht="12">
      <c r="A201" s="139">
        <v>35521</v>
      </c>
      <c r="B201" s="76">
        <v>2337</v>
      </c>
      <c r="C201" s="76">
        <v>39</v>
      </c>
      <c r="D201" s="76"/>
      <c r="E201" s="76"/>
      <c r="F201" s="76">
        <v>907</v>
      </c>
      <c r="G201" s="76"/>
      <c r="H201" s="76">
        <v>193.73418007142857</v>
      </c>
      <c r="I201" s="76">
        <v>2379</v>
      </c>
      <c r="J201" s="76"/>
      <c r="K201" s="76">
        <v>241914</v>
      </c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76">
        <f t="shared" si="6"/>
        <v>77.900000000000006</v>
      </c>
      <c r="X201" s="69"/>
      <c r="Y201" s="76">
        <f t="shared" si="7"/>
        <v>1145.1300000000003</v>
      </c>
      <c r="Z201" s="69"/>
      <c r="AA201" s="76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</row>
    <row r="202" spans="1:37" s="140" customFormat="1" ht="12">
      <c r="A202" s="139">
        <v>35551</v>
      </c>
      <c r="B202" s="76">
        <v>2965</v>
      </c>
      <c r="C202" s="76">
        <v>0</v>
      </c>
      <c r="D202" s="76"/>
      <c r="E202" s="76"/>
      <c r="F202" s="76">
        <v>894</v>
      </c>
      <c r="G202" s="76"/>
      <c r="H202" s="76">
        <v>55.251007423809526</v>
      </c>
      <c r="I202" s="76">
        <v>2964</v>
      </c>
      <c r="J202" s="76"/>
      <c r="K202" s="76">
        <v>252308</v>
      </c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76">
        <f t="shared" si="6"/>
        <v>95.645161290322577</v>
      </c>
      <c r="X202" s="69"/>
      <c r="Y202" s="76">
        <f t="shared" si="7"/>
        <v>1405.9838709677417</v>
      </c>
      <c r="Z202" s="69"/>
      <c r="AA202" s="76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</row>
    <row r="203" spans="1:37" s="140" customFormat="1" ht="12">
      <c r="A203" s="139">
        <v>35582</v>
      </c>
      <c r="B203" s="76">
        <v>2205</v>
      </c>
      <c r="C203" s="76">
        <v>0</v>
      </c>
      <c r="D203" s="76"/>
      <c r="E203" s="76"/>
      <c r="F203" s="76">
        <v>860</v>
      </c>
      <c r="G203" s="76"/>
      <c r="H203" s="76">
        <v>171.03578304761908</v>
      </c>
      <c r="I203" s="76">
        <v>3195</v>
      </c>
      <c r="J203" s="76"/>
      <c r="K203" s="76">
        <v>248636</v>
      </c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76">
        <f t="shared" si="6"/>
        <v>73.5</v>
      </c>
      <c r="X203" s="69"/>
      <c r="Y203" s="76">
        <f t="shared" si="7"/>
        <v>1080.45</v>
      </c>
      <c r="Z203" s="69"/>
      <c r="AA203" s="76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</row>
    <row r="204" spans="1:37" s="140" customFormat="1" ht="12">
      <c r="A204" s="139">
        <v>35612</v>
      </c>
      <c r="B204" s="76">
        <v>2765</v>
      </c>
      <c r="C204" s="76">
        <v>2</v>
      </c>
      <c r="D204" s="76"/>
      <c r="E204" s="76"/>
      <c r="F204" s="76">
        <v>890</v>
      </c>
      <c r="G204" s="76"/>
      <c r="H204" s="76">
        <v>308.12350161904766</v>
      </c>
      <c r="I204" s="76">
        <v>3240</v>
      </c>
      <c r="J204" s="76"/>
      <c r="K204" s="76">
        <v>263361</v>
      </c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76">
        <f t="shared" si="6"/>
        <v>89.193548387096769</v>
      </c>
      <c r="X204" s="69"/>
      <c r="Y204" s="76">
        <f t="shared" si="7"/>
        <v>1311.1451612903224</v>
      </c>
      <c r="Z204" s="69"/>
      <c r="AA204" s="76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</row>
    <row r="205" spans="1:37" s="140" customFormat="1" ht="12">
      <c r="A205" s="139">
        <v>35643</v>
      </c>
      <c r="B205" s="76">
        <v>2044</v>
      </c>
      <c r="C205" s="76">
        <v>5</v>
      </c>
      <c r="D205" s="76"/>
      <c r="E205" s="76"/>
      <c r="F205" s="76">
        <v>907</v>
      </c>
      <c r="G205" s="76"/>
      <c r="H205" s="76">
        <v>91.611821785714298</v>
      </c>
      <c r="I205" s="76">
        <v>3217</v>
      </c>
      <c r="J205" s="76"/>
      <c r="K205" s="76">
        <v>255227</v>
      </c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76">
        <f t="shared" si="6"/>
        <v>65.935483870967744</v>
      </c>
      <c r="X205" s="69"/>
      <c r="Y205" s="76">
        <f t="shared" si="7"/>
        <v>969.25161290322592</v>
      </c>
      <c r="Z205" s="69"/>
      <c r="AA205" s="76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</row>
    <row r="206" spans="1:37" s="140" customFormat="1" ht="12">
      <c r="A206" s="139">
        <v>35674</v>
      </c>
      <c r="B206" s="76">
        <v>2535</v>
      </c>
      <c r="C206" s="76">
        <v>5</v>
      </c>
      <c r="D206" s="76"/>
      <c r="E206" s="76"/>
      <c r="F206" s="76">
        <v>921</v>
      </c>
      <c r="G206" s="76"/>
      <c r="H206" s="76">
        <v>87.439367799999999</v>
      </c>
      <c r="I206" s="76">
        <v>3432</v>
      </c>
      <c r="J206" s="76"/>
      <c r="K206" s="76">
        <v>240676</v>
      </c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76">
        <f t="shared" si="6"/>
        <v>84.5</v>
      </c>
      <c r="X206" s="69"/>
      <c r="Y206" s="76">
        <f t="shared" si="7"/>
        <v>1242.1500000000001</v>
      </c>
      <c r="Z206" s="69"/>
      <c r="AA206" s="76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</row>
    <row r="207" spans="1:37" s="140" customFormat="1" ht="12">
      <c r="A207" s="139">
        <v>35704</v>
      </c>
      <c r="B207" s="76">
        <v>2930</v>
      </c>
      <c r="C207" s="76">
        <v>2</v>
      </c>
      <c r="D207" s="76"/>
      <c r="E207" s="76"/>
      <c r="F207" s="76">
        <v>1082</v>
      </c>
      <c r="G207" s="76"/>
      <c r="H207" s="76">
        <v>105.93583995714287</v>
      </c>
      <c r="I207" s="76">
        <v>3150</v>
      </c>
      <c r="J207" s="76"/>
      <c r="K207" s="76">
        <v>252370</v>
      </c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76">
        <f t="shared" si="6"/>
        <v>94.516129032258064</v>
      </c>
      <c r="X207" s="69"/>
      <c r="Y207" s="76">
        <f t="shared" si="7"/>
        <v>1389.3870967741937</v>
      </c>
      <c r="Z207" s="69"/>
      <c r="AA207" s="76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</row>
    <row r="208" spans="1:37" s="140" customFormat="1" ht="12">
      <c r="A208" s="139">
        <v>35735</v>
      </c>
      <c r="B208" s="76">
        <v>2457</v>
      </c>
      <c r="C208" s="76">
        <v>2</v>
      </c>
      <c r="D208" s="76"/>
      <c r="E208" s="76"/>
      <c r="F208" s="76">
        <v>1030</v>
      </c>
      <c r="G208" s="76"/>
      <c r="H208" s="76">
        <v>88.927059128571429</v>
      </c>
      <c r="I208" s="76">
        <v>3080</v>
      </c>
      <c r="J208" s="76"/>
      <c r="K208" s="76">
        <v>238939</v>
      </c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76">
        <f t="shared" si="6"/>
        <v>81.900000000000006</v>
      </c>
      <c r="X208" s="69"/>
      <c r="Y208" s="76">
        <f t="shared" si="7"/>
        <v>1203.9300000000003</v>
      </c>
      <c r="Z208" s="69"/>
      <c r="AA208" s="76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</row>
    <row r="209" spans="1:37" s="140" customFormat="1" ht="12">
      <c r="A209" s="139">
        <v>35765</v>
      </c>
      <c r="B209" s="76">
        <v>3130</v>
      </c>
      <c r="C209" s="76">
        <v>5</v>
      </c>
      <c r="D209" s="76"/>
      <c r="E209" s="76"/>
      <c r="F209" s="76">
        <v>1406</v>
      </c>
      <c r="G209" s="76"/>
      <c r="H209" s="76">
        <v>133.30985357619051</v>
      </c>
      <c r="I209" s="76">
        <v>2925</v>
      </c>
      <c r="J209" s="76"/>
      <c r="K209" s="76">
        <v>250015</v>
      </c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76">
        <f t="shared" si="6"/>
        <v>100.96774193548387</v>
      </c>
      <c r="X209" s="69"/>
      <c r="Y209" s="76">
        <f t="shared" si="7"/>
        <v>1484.2258064516129</v>
      </c>
      <c r="Z209" s="69"/>
      <c r="AA209" s="76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</row>
    <row r="210" spans="1:37" s="140" customFormat="1" ht="12">
      <c r="A210" s="139">
        <v>35796</v>
      </c>
      <c r="B210" s="76">
        <v>3218</v>
      </c>
      <c r="C210" s="76">
        <v>6</v>
      </c>
      <c r="D210" s="76"/>
      <c r="E210" s="76"/>
      <c r="F210" s="76">
        <v>1041</v>
      </c>
      <c r="G210" s="76"/>
      <c r="H210" s="76">
        <v>75.013324685714281</v>
      </c>
      <c r="I210" s="76">
        <v>3049</v>
      </c>
      <c r="J210" s="76"/>
      <c r="K210" s="76">
        <v>236144</v>
      </c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76">
        <f t="shared" si="6"/>
        <v>103.80645161290323</v>
      </c>
      <c r="X210" s="69"/>
      <c r="Y210" s="76">
        <f t="shared" si="7"/>
        <v>1525.9548387096772</v>
      </c>
      <c r="Z210" s="69"/>
      <c r="AA210" s="76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</row>
    <row r="211" spans="1:37" s="140" customFormat="1" ht="12">
      <c r="A211" s="139">
        <v>35827</v>
      </c>
      <c r="B211" s="76">
        <v>2322</v>
      </c>
      <c r="C211" s="76">
        <v>5</v>
      </c>
      <c r="D211" s="76"/>
      <c r="E211" s="76"/>
      <c r="F211" s="76">
        <v>965</v>
      </c>
      <c r="G211" s="76"/>
      <c r="H211" s="76">
        <v>145.60726903333335</v>
      </c>
      <c r="I211" s="76">
        <v>2872</v>
      </c>
      <c r="J211" s="76"/>
      <c r="K211" s="76">
        <v>215908</v>
      </c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76">
        <f t="shared" si="6"/>
        <v>82.928571428571431</v>
      </c>
      <c r="X211" s="69"/>
      <c r="Y211" s="76">
        <f t="shared" si="7"/>
        <v>1219.05</v>
      </c>
      <c r="Z211" s="69"/>
      <c r="AA211" s="76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</row>
    <row r="212" spans="1:37" s="140" customFormat="1" ht="12">
      <c r="A212" s="139">
        <v>35855</v>
      </c>
      <c r="B212" s="76">
        <v>2529</v>
      </c>
      <c r="C212" s="76">
        <v>6</v>
      </c>
      <c r="D212" s="76"/>
      <c r="E212" s="76"/>
      <c r="F212" s="76">
        <v>983</v>
      </c>
      <c r="G212" s="76"/>
      <c r="H212" s="76">
        <v>67.506949771428566</v>
      </c>
      <c r="I212" s="76">
        <v>2579</v>
      </c>
      <c r="J212" s="76"/>
      <c r="K212" s="76">
        <v>248109</v>
      </c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76">
        <f t="shared" si="6"/>
        <v>81.58064516129032</v>
      </c>
      <c r="X212" s="69"/>
      <c r="Y212" s="76">
        <f t="shared" si="7"/>
        <v>1199.2354838709678</v>
      </c>
      <c r="Z212" s="69"/>
      <c r="AA212" s="76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</row>
    <row r="213" spans="1:37" s="140" customFormat="1" ht="12">
      <c r="A213" s="139">
        <v>35886</v>
      </c>
      <c r="B213" s="76">
        <v>2886</v>
      </c>
      <c r="C213" s="76">
        <v>8</v>
      </c>
      <c r="D213" s="76"/>
      <c r="E213" s="76"/>
      <c r="F213" s="76">
        <v>840</v>
      </c>
      <c r="G213" s="76"/>
      <c r="H213" s="76">
        <v>71.860160590476198</v>
      </c>
      <c r="I213" s="76">
        <v>2982</v>
      </c>
      <c r="J213" s="76"/>
      <c r="K213" s="76">
        <v>249360</v>
      </c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76">
        <f t="shared" si="6"/>
        <v>96.2</v>
      </c>
      <c r="X213" s="69"/>
      <c r="Y213" s="76">
        <f t="shared" si="7"/>
        <v>1414.14</v>
      </c>
      <c r="Z213" s="69"/>
      <c r="AA213" s="76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</row>
    <row r="214" spans="1:37" s="140" customFormat="1" ht="12">
      <c r="A214" s="139">
        <v>35916</v>
      </c>
      <c r="B214" s="76">
        <v>2437</v>
      </c>
      <c r="C214" s="76">
        <v>7</v>
      </c>
      <c r="D214" s="76"/>
      <c r="E214" s="76"/>
      <c r="F214" s="76">
        <v>903</v>
      </c>
      <c r="G214" s="76"/>
      <c r="H214" s="76">
        <v>126.41102543333335</v>
      </c>
      <c r="I214" s="76">
        <v>3205</v>
      </c>
      <c r="J214" s="76"/>
      <c r="K214" s="76">
        <v>256650</v>
      </c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76">
        <f t="shared" si="6"/>
        <v>78.612903225806448</v>
      </c>
      <c r="X214" s="69"/>
      <c r="Y214" s="76">
        <f t="shared" si="7"/>
        <v>1155.609677419355</v>
      </c>
      <c r="Z214" s="69"/>
      <c r="AA214" s="76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</row>
    <row r="215" spans="1:37" s="140" customFormat="1" ht="12">
      <c r="A215" s="139">
        <v>35947</v>
      </c>
      <c r="B215" s="76">
        <v>2649</v>
      </c>
      <c r="C215" s="76">
        <v>7</v>
      </c>
      <c r="D215" s="76"/>
      <c r="E215" s="76"/>
      <c r="F215" s="76">
        <v>880</v>
      </c>
      <c r="G215" s="76"/>
      <c r="H215" s="76">
        <v>105.06487320476191</v>
      </c>
      <c r="I215" s="76">
        <v>3466</v>
      </c>
      <c r="J215" s="76"/>
      <c r="K215" s="76">
        <v>255612</v>
      </c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76">
        <f t="shared" si="6"/>
        <v>88.3</v>
      </c>
      <c r="X215" s="69"/>
      <c r="Y215" s="76">
        <f t="shared" si="7"/>
        <v>1298.01</v>
      </c>
      <c r="Z215" s="69"/>
      <c r="AA215" s="76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</row>
    <row r="216" spans="1:37" s="140" customFormat="1" ht="12">
      <c r="A216" s="139">
        <v>35977</v>
      </c>
      <c r="B216" s="76">
        <v>2584</v>
      </c>
      <c r="C216" s="76">
        <v>9</v>
      </c>
      <c r="D216" s="76"/>
      <c r="E216" s="76"/>
      <c r="F216" s="76">
        <v>995</v>
      </c>
      <c r="G216" s="76"/>
      <c r="H216" s="76">
        <v>49.090995709523817</v>
      </c>
      <c r="I216" s="76">
        <v>3547</v>
      </c>
      <c r="J216" s="76"/>
      <c r="K216" s="76">
        <v>269091</v>
      </c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76">
        <f t="shared" si="6"/>
        <v>83.354838709677423</v>
      </c>
      <c r="X216" s="69"/>
      <c r="Y216" s="76">
        <f t="shared" si="7"/>
        <v>1225.3161290322582</v>
      </c>
      <c r="Z216" s="69"/>
      <c r="AA216" s="76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</row>
    <row r="217" spans="1:37" s="140" customFormat="1" ht="12">
      <c r="A217" s="139">
        <v>36008</v>
      </c>
      <c r="B217" s="76">
        <v>2688</v>
      </c>
      <c r="C217" s="76">
        <v>8</v>
      </c>
      <c r="D217" s="76"/>
      <c r="E217" s="76"/>
      <c r="F217" s="76">
        <v>867</v>
      </c>
      <c r="G217" s="76"/>
      <c r="H217" s="76">
        <v>109.64419519047621</v>
      </c>
      <c r="I217" s="76">
        <v>3566</v>
      </c>
      <c r="J217" s="76"/>
      <c r="K217" s="76">
        <v>265623</v>
      </c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76">
        <f t="shared" si="6"/>
        <v>86.709677419354833</v>
      </c>
      <c r="X217" s="69"/>
      <c r="Y217" s="76">
        <f t="shared" si="7"/>
        <v>1274.632258064516</v>
      </c>
      <c r="Z217" s="69"/>
      <c r="AA217" s="76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</row>
    <row r="218" spans="1:37" s="140" customFormat="1" ht="12">
      <c r="A218" s="139">
        <v>36039</v>
      </c>
      <c r="B218" s="76">
        <v>2852</v>
      </c>
      <c r="C218" s="76">
        <v>7</v>
      </c>
      <c r="D218" s="76"/>
      <c r="E218" s="76"/>
      <c r="F218" s="76">
        <v>876</v>
      </c>
      <c r="G218" s="76"/>
      <c r="H218" s="76">
        <v>30.262034142857146</v>
      </c>
      <c r="I218" s="76">
        <v>3670</v>
      </c>
      <c r="J218" s="76"/>
      <c r="K218" s="76">
        <v>249305</v>
      </c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76">
        <f t="shared" si="6"/>
        <v>95.066666666666663</v>
      </c>
      <c r="X218" s="69"/>
      <c r="Y218" s="76">
        <f t="shared" si="7"/>
        <v>1397.4799999999998</v>
      </c>
      <c r="Z218" s="69"/>
      <c r="AA218" s="76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</row>
    <row r="219" spans="1:37" s="140" customFormat="1" ht="12">
      <c r="A219" s="139">
        <v>36069</v>
      </c>
      <c r="B219" s="76">
        <v>2917</v>
      </c>
      <c r="C219" s="76">
        <v>8</v>
      </c>
      <c r="D219" s="76"/>
      <c r="E219" s="76"/>
      <c r="F219" s="76">
        <v>952</v>
      </c>
      <c r="G219" s="76"/>
      <c r="H219" s="76">
        <v>40.473823347619053</v>
      </c>
      <c r="I219" s="76">
        <v>3433</v>
      </c>
      <c r="J219" s="76"/>
      <c r="K219" s="76">
        <v>259724</v>
      </c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76">
        <f t="shared" si="6"/>
        <v>94.096774193548384</v>
      </c>
      <c r="X219" s="69"/>
      <c r="Y219" s="76">
        <f t="shared" si="7"/>
        <v>1383.2225806451613</v>
      </c>
      <c r="Z219" s="69"/>
      <c r="AA219" s="76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</row>
    <row r="220" spans="1:37" s="140" customFormat="1" ht="12">
      <c r="A220" s="139">
        <v>36100</v>
      </c>
      <c r="B220" s="76">
        <v>2940</v>
      </c>
      <c r="C220" s="76">
        <v>7</v>
      </c>
      <c r="D220" s="76"/>
      <c r="E220" s="76"/>
      <c r="F220" s="76">
        <v>1151</v>
      </c>
      <c r="G220" s="76"/>
      <c r="H220" s="76">
        <v>47.449464495238097</v>
      </c>
      <c r="I220" s="76">
        <v>3566</v>
      </c>
      <c r="J220" s="76"/>
      <c r="K220" s="76">
        <v>245001</v>
      </c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76">
        <f t="shared" si="6"/>
        <v>98</v>
      </c>
      <c r="X220" s="69"/>
      <c r="Y220" s="76">
        <f t="shared" si="7"/>
        <v>1440.6</v>
      </c>
      <c r="Z220" s="69"/>
      <c r="AA220" s="76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</row>
    <row r="221" spans="1:37" s="140" customFormat="1" ht="12">
      <c r="A221" s="139">
        <v>36130</v>
      </c>
      <c r="B221" s="76">
        <v>3431</v>
      </c>
      <c r="C221" s="76">
        <v>8</v>
      </c>
      <c r="D221" s="76"/>
      <c r="E221" s="76"/>
      <c r="F221" s="76">
        <v>1269</v>
      </c>
      <c r="G221" s="76"/>
      <c r="H221" s="76">
        <v>79.459364061904765</v>
      </c>
      <c r="I221" s="76">
        <v>3406</v>
      </c>
      <c r="J221" s="76"/>
      <c r="K221" s="76">
        <v>261969</v>
      </c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76">
        <f t="shared" si="6"/>
        <v>110.6774193548387</v>
      </c>
      <c r="X221" s="69"/>
      <c r="Y221" s="76">
        <f t="shared" si="7"/>
        <v>1626.9580645161291</v>
      </c>
      <c r="Z221" s="69"/>
      <c r="AA221" s="76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</row>
    <row r="222" spans="1:37" s="140" customFormat="1" ht="12">
      <c r="A222" s="139">
        <v>36161</v>
      </c>
      <c r="B222" s="76">
        <v>3170</v>
      </c>
      <c r="C222" s="76">
        <v>7</v>
      </c>
      <c r="D222" s="76"/>
      <c r="E222" s="76"/>
      <c r="F222" s="76">
        <v>1231</v>
      </c>
      <c r="G222" s="76"/>
      <c r="H222" s="76">
        <v>15.323820166666668</v>
      </c>
      <c r="I222" s="76">
        <v>3576</v>
      </c>
      <c r="J222" s="76"/>
      <c r="K222" s="76">
        <v>238740</v>
      </c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76">
        <f t="shared" si="6"/>
        <v>102.25806451612904</v>
      </c>
      <c r="X222" s="69"/>
      <c r="Y222" s="76">
        <f t="shared" si="7"/>
        <v>1503.1935483870971</v>
      </c>
      <c r="Z222" s="69"/>
      <c r="AA222" s="76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</row>
    <row r="223" spans="1:37" s="140" customFormat="1" ht="12">
      <c r="A223" s="139">
        <v>36192</v>
      </c>
      <c r="B223" s="76">
        <v>2551</v>
      </c>
      <c r="C223" s="76">
        <v>7</v>
      </c>
      <c r="D223" s="76"/>
      <c r="E223" s="76"/>
      <c r="F223" s="76">
        <v>1058</v>
      </c>
      <c r="G223" s="76"/>
      <c r="H223" s="76">
        <v>47.682350504761907</v>
      </c>
      <c r="I223" s="76">
        <v>3612</v>
      </c>
      <c r="J223" s="76"/>
      <c r="K223" s="76">
        <v>224868</v>
      </c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76">
        <f t="shared" si="6"/>
        <v>91.107142857142861</v>
      </c>
      <c r="X223" s="69"/>
      <c r="Y223" s="76">
        <f t="shared" si="7"/>
        <v>1339.2750000000001</v>
      </c>
      <c r="Z223" s="69"/>
      <c r="AA223" s="76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</row>
    <row r="224" spans="1:37" s="140" customFormat="1" ht="12">
      <c r="A224" s="139">
        <v>36220</v>
      </c>
      <c r="B224" s="76">
        <v>2928</v>
      </c>
      <c r="C224" s="76">
        <v>7</v>
      </c>
      <c r="D224" s="76"/>
      <c r="E224" s="76"/>
      <c r="F224" s="76">
        <v>1078</v>
      </c>
      <c r="G224" s="76"/>
      <c r="H224" s="76">
        <v>55.506407047619064</v>
      </c>
      <c r="I224" s="76">
        <v>3859</v>
      </c>
      <c r="J224" s="76"/>
      <c r="K224" s="76">
        <v>251957</v>
      </c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76">
        <f t="shared" si="6"/>
        <v>94.451612903225808</v>
      </c>
      <c r="X224" s="69"/>
      <c r="Y224" s="76">
        <f t="shared" si="7"/>
        <v>1388.4387096774192</v>
      </c>
      <c r="Z224" s="69"/>
      <c r="AA224" s="76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</row>
    <row r="225" spans="1:37" s="140" customFormat="1" ht="12">
      <c r="A225" s="139">
        <v>36251</v>
      </c>
      <c r="B225" s="76">
        <v>3169</v>
      </c>
      <c r="C225" s="76">
        <v>10</v>
      </c>
      <c r="D225" s="76"/>
      <c r="E225" s="76"/>
      <c r="F225" s="76">
        <v>899</v>
      </c>
      <c r="G225" s="76"/>
      <c r="H225" s="76">
        <v>26.351584780952383</v>
      </c>
      <c r="I225" s="76">
        <v>4553</v>
      </c>
      <c r="J225" s="76"/>
      <c r="K225" s="76">
        <v>255166</v>
      </c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76">
        <f t="shared" si="6"/>
        <v>105.63333333333334</v>
      </c>
      <c r="X225" s="69"/>
      <c r="Y225" s="76">
        <f t="shared" si="7"/>
        <v>1552.8100000000002</v>
      </c>
      <c r="Z225" s="69"/>
      <c r="AA225" s="76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</row>
    <row r="226" spans="1:37" s="140" customFormat="1" ht="12">
      <c r="A226" s="139">
        <v>36281</v>
      </c>
      <c r="B226" s="76">
        <v>2877</v>
      </c>
      <c r="C226" s="76">
        <v>9</v>
      </c>
      <c r="D226" s="76"/>
      <c r="E226" s="76"/>
      <c r="F226" s="76">
        <v>946</v>
      </c>
      <c r="G226" s="76"/>
      <c r="H226" s="76">
        <v>80.916722714285712</v>
      </c>
      <c r="I226" s="76">
        <v>4938</v>
      </c>
      <c r="J226" s="76"/>
      <c r="K226" s="76">
        <v>261008</v>
      </c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76">
        <f t="shared" si="6"/>
        <v>92.806451612903231</v>
      </c>
      <c r="X226" s="69"/>
      <c r="Y226" s="76">
        <f t="shared" si="7"/>
        <v>1364.2548387096776</v>
      </c>
      <c r="Z226" s="69"/>
      <c r="AA226" s="76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</row>
    <row r="227" spans="1:37" s="140" customFormat="1" ht="12">
      <c r="A227" s="139">
        <v>36312</v>
      </c>
      <c r="B227" s="76">
        <v>2372</v>
      </c>
      <c r="C227" s="76">
        <v>9</v>
      </c>
      <c r="D227" s="76"/>
      <c r="E227" s="76"/>
      <c r="F227" s="76">
        <v>963</v>
      </c>
      <c r="G227" s="76"/>
      <c r="H227" s="76">
        <v>103.99798328095237</v>
      </c>
      <c r="I227" s="76">
        <v>4572</v>
      </c>
      <c r="J227" s="76"/>
      <c r="K227" s="76">
        <v>266579</v>
      </c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76">
        <f t="shared" si="6"/>
        <v>79.066666666666663</v>
      </c>
      <c r="X227" s="69"/>
      <c r="Y227" s="76">
        <f t="shared" si="7"/>
        <v>1162.28</v>
      </c>
      <c r="Z227" s="69"/>
      <c r="AA227" s="76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</row>
    <row r="228" spans="1:37" s="140" customFormat="1" ht="12">
      <c r="A228" s="139">
        <v>36342</v>
      </c>
      <c r="B228" s="76">
        <v>2362</v>
      </c>
      <c r="C228" s="76">
        <v>9</v>
      </c>
      <c r="D228" s="76"/>
      <c r="E228" s="76"/>
      <c r="F228" s="76">
        <v>1016</v>
      </c>
      <c r="G228" s="76"/>
      <c r="H228" s="76">
        <v>80.893649247619067</v>
      </c>
      <c r="I228" s="76">
        <v>4593</v>
      </c>
      <c r="J228" s="76"/>
      <c r="K228" s="76">
        <v>277189</v>
      </c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76">
        <f t="shared" si="6"/>
        <v>76.193548387096769</v>
      </c>
      <c r="X228" s="69"/>
      <c r="Y228" s="76">
        <f t="shared" si="7"/>
        <v>1120.0451612903225</v>
      </c>
      <c r="Z228" s="69"/>
      <c r="AA228" s="76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</row>
    <row r="229" spans="1:37" s="140" customFormat="1" ht="12">
      <c r="A229" s="139">
        <v>36373</v>
      </c>
      <c r="B229" s="76">
        <v>2831</v>
      </c>
      <c r="C229" s="76">
        <v>10</v>
      </c>
      <c r="D229" s="76"/>
      <c r="E229" s="76"/>
      <c r="F229" s="76">
        <v>1027</v>
      </c>
      <c r="G229" s="76"/>
      <c r="H229" s="76">
        <v>113.70806926666667</v>
      </c>
      <c r="I229" s="76">
        <v>4740</v>
      </c>
      <c r="J229" s="76"/>
      <c r="K229" s="76">
        <v>265964</v>
      </c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76">
        <f t="shared" si="6"/>
        <v>91.322580645161295</v>
      </c>
      <c r="X229" s="69"/>
      <c r="Y229" s="76">
        <f t="shared" si="7"/>
        <v>1342.441935483871</v>
      </c>
      <c r="Z229" s="69"/>
      <c r="AA229" s="76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</row>
    <row r="230" spans="1:37" s="140" customFormat="1" ht="12">
      <c r="A230" s="139">
        <v>36404</v>
      </c>
      <c r="B230" s="76">
        <v>2958</v>
      </c>
      <c r="C230" s="76">
        <v>13</v>
      </c>
      <c r="D230" s="76"/>
      <c r="E230" s="76"/>
      <c r="F230" s="76">
        <v>1048</v>
      </c>
      <c r="G230" s="76"/>
      <c r="H230" s="76">
        <v>87.182823309523812</v>
      </c>
      <c r="I230" s="76">
        <v>5009</v>
      </c>
      <c r="J230" s="76"/>
      <c r="K230" s="76">
        <v>249150</v>
      </c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76">
        <f t="shared" si="6"/>
        <v>98.6</v>
      </c>
      <c r="X230" s="69"/>
      <c r="Y230" s="76">
        <f t="shared" si="7"/>
        <v>1449.42</v>
      </c>
      <c r="Z230" s="69"/>
      <c r="AA230" s="76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</row>
    <row r="231" spans="1:37" s="140" customFormat="1" ht="12">
      <c r="A231" s="139">
        <v>36434</v>
      </c>
      <c r="B231" s="76">
        <v>3195</v>
      </c>
      <c r="C231" s="76">
        <v>11</v>
      </c>
      <c r="D231" s="76"/>
      <c r="E231" s="76"/>
      <c r="F231" s="76">
        <v>1361</v>
      </c>
      <c r="G231" s="76"/>
      <c r="H231" s="76">
        <v>72.130814619047626</v>
      </c>
      <c r="I231" s="76">
        <v>4862</v>
      </c>
      <c r="J231" s="76"/>
      <c r="K231" s="76">
        <v>264787</v>
      </c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76">
        <f t="shared" si="6"/>
        <v>103.06451612903226</v>
      </c>
      <c r="X231" s="69"/>
      <c r="Y231" s="76">
        <f t="shared" si="7"/>
        <v>1515.0483870967741</v>
      </c>
      <c r="Z231" s="69"/>
      <c r="AA231" s="76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</row>
    <row r="232" spans="1:37" s="140" customFormat="1" ht="12">
      <c r="A232" s="139">
        <v>36465</v>
      </c>
      <c r="B232" s="76">
        <v>2995</v>
      </c>
      <c r="C232" s="76">
        <v>10</v>
      </c>
      <c r="D232" s="76"/>
      <c r="E232" s="76"/>
      <c r="F232" s="76">
        <v>1457</v>
      </c>
      <c r="G232" s="76"/>
      <c r="H232" s="76">
        <v>75.084067380952391</v>
      </c>
      <c r="I232" s="76">
        <v>4423</v>
      </c>
      <c r="J232" s="76"/>
      <c r="K232" s="76">
        <v>247203</v>
      </c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76">
        <f t="shared" si="6"/>
        <v>99.833333333333329</v>
      </c>
      <c r="X232" s="69"/>
      <c r="Y232" s="76">
        <f t="shared" si="7"/>
        <v>1467.55</v>
      </c>
      <c r="Z232" s="69"/>
      <c r="AA232" s="76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</row>
    <row r="233" spans="1:37" s="140" customFormat="1" ht="12">
      <c r="A233" s="139">
        <v>36495</v>
      </c>
      <c r="B233" s="76">
        <v>3473</v>
      </c>
      <c r="C233" s="76">
        <v>11</v>
      </c>
      <c r="D233" s="76"/>
      <c r="E233" s="76"/>
      <c r="F233" s="76">
        <v>1651</v>
      </c>
      <c r="G233" s="76"/>
      <c r="H233" s="76">
        <v>95.757534957142866</v>
      </c>
      <c r="I233" s="76">
        <v>4024</v>
      </c>
      <c r="J233" s="76"/>
      <c r="K233" s="76">
        <v>274630</v>
      </c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76">
        <f t="shared" si="6"/>
        <v>112.03225806451613</v>
      </c>
      <c r="X233" s="69"/>
      <c r="Y233" s="76">
        <f t="shared" si="7"/>
        <v>1646.8741935483872</v>
      </c>
      <c r="Z233" s="69"/>
      <c r="AA233" s="76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</row>
    <row r="234" spans="1:37" s="140" customFormat="1" ht="12">
      <c r="A234" s="139">
        <v>36526</v>
      </c>
      <c r="B234" s="76">
        <v>3204</v>
      </c>
      <c r="C234" s="76">
        <v>10</v>
      </c>
      <c r="D234" s="76"/>
      <c r="E234" s="76"/>
      <c r="F234" s="76">
        <v>1449</v>
      </c>
      <c r="G234" s="76"/>
      <c r="H234" s="76">
        <v>54.846190119047627</v>
      </c>
      <c r="I234" s="76">
        <v>3923</v>
      </c>
      <c r="J234" s="76"/>
      <c r="K234" s="76">
        <v>237235</v>
      </c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76">
        <f t="shared" si="6"/>
        <v>103.35483870967742</v>
      </c>
      <c r="X234" s="69"/>
      <c r="Y234" s="76">
        <f t="shared" si="7"/>
        <v>1519.3161290322582</v>
      </c>
      <c r="Z234" s="69"/>
      <c r="AA234" s="76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</row>
    <row r="235" spans="1:37" s="140" customFormat="1" ht="12">
      <c r="A235" s="139">
        <v>36557</v>
      </c>
      <c r="B235" s="76">
        <v>3025</v>
      </c>
      <c r="C235" s="76">
        <v>17</v>
      </c>
      <c r="D235" s="76"/>
      <c r="E235" s="76"/>
      <c r="F235" s="76">
        <v>1398</v>
      </c>
      <c r="G235" s="76"/>
      <c r="H235" s="76">
        <v>81.002285771428575</v>
      </c>
      <c r="I235" s="76">
        <v>4208</v>
      </c>
      <c r="J235" s="76"/>
      <c r="K235" s="76">
        <v>240439</v>
      </c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76">
        <f t="shared" si="6"/>
        <v>104.31034482758621</v>
      </c>
      <c r="X235" s="69"/>
      <c r="Y235" s="76">
        <f t="shared" si="7"/>
        <v>1533.3620689655172</v>
      </c>
      <c r="Z235" s="69"/>
      <c r="AA235" s="76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</row>
    <row r="236" spans="1:37" s="140" customFormat="1" ht="12">
      <c r="A236" s="139">
        <v>36586</v>
      </c>
      <c r="B236" s="76">
        <v>3231</v>
      </c>
      <c r="C236" s="76">
        <v>85</v>
      </c>
      <c r="D236" s="76"/>
      <c r="E236" s="76"/>
      <c r="F236" s="76">
        <v>1457</v>
      </c>
      <c r="G236" s="76"/>
      <c r="H236" s="76">
        <v>56.532679366666663</v>
      </c>
      <c r="I236" s="76">
        <v>4082</v>
      </c>
      <c r="J236" s="76"/>
      <c r="K236" s="76">
        <v>257464</v>
      </c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76">
        <f t="shared" si="6"/>
        <v>104.2258064516129</v>
      </c>
      <c r="X236" s="69"/>
      <c r="Y236" s="76">
        <f t="shared" si="7"/>
        <v>1532.1193548387096</v>
      </c>
      <c r="Z236" s="69"/>
      <c r="AA236" s="76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</row>
    <row r="237" spans="1:37" s="140" customFormat="1" ht="12">
      <c r="A237" s="139">
        <v>36617</v>
      </c>
      <c r="B237" s="76">
        <v>3311</v>
      </c>
      <c r="C237" s="76">
        <v>20</v>
      </c>
      <c r="D237" s="76"/>
      <c r="E237" s="76"/>
      <c r="F237" s="76">
        <v>1050</v>
      </c>
      <c r="G237" s="76"/>
      <c r="H237" s="76">
        <v>40.554819519047619</v>
      </c>
      <c r="I237" s="76">
        <v>4487</v>
      </c>
      <c r="J237" s="76"/>
      <c r="K237" s="76">
        <v>251246</v>
      </c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76">
        <f t="shared" si="6"/>
        <v>110.36666666666666</v>
      </c>
      <c r="X237" s="69"/>
      <c r="Y237" s="76">
        <f t="shared" si="7"/>
        <v>1622.3899999999999</v>
      </c>
      <c r="Z237" s="69"/>
      <c r="AA237" s="76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</row>
    <row r="238" spans="1:37" s="140" customFormat="1" ht="12">
      <c r="A238" s="139">
        <v>36647</v>
      </c>
      <c r="B238" s="76">
        <v>3309</v>
      </c>
      <c r="C238" s="76">
        <v>9</v>
      </c>
      <c r="D238" s="76"/>
      <c r="E238" s="76"/>
      <c r="F238" s="76">
        <v>970</v>
      </c>
      <c r="G238" s="76"/>
      <c r="H238" s="76">
        <v>58.781656704761915</v>
      </c>
      <c r="I238" s="76">
        <v>4466</v>
      </c>
      <c r="J238" s="76"/>
      <c r="K238" s="76">
        <v>268482</v>
      </c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76">
        <f t="shared" si="6"/>
        <v>106.74193548387096</v>
      </c>
      <c r="X238" s="69"/>
      <c r="Y238" s="76">
        <f t="shared" si="7"/>
        <v>1569.1064516129031</v>
      </c>
      <c r="Z238" s="69"/>
      <c r="AA238" s="76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</row>
    <row r="239" spans="1:37" s="140" customFormat="1" ht="12">
      <c r="A239" s="139">
        <v>36678</v>
      </c>
      <c r="B239" s="76">
        <v>2928</v>
      </c>
      <c r="C239" s="76">
        <v>50</v>
      </c>
      <c r="D239" s="76"/>
      <c r="E239" s="76"/>
      <c r="F239" s="76">
        <v>966</v>
      </c>
      <c r="G239" s="76"/>
      <c r="H239" s="76">
        <v>95.376678076190487</v>
      </c>
      <c r="I239" s="76">
        <v>4869</v>
      </c>
      <c r="J239" s="76"/>
      <c r="K239" s="76">
        <v>264735</v>
      </c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76">
        <f t="shared" si="6"/>
        <v>97.6</v>
      </c>
      <c r="X239" s="69"/>
      <c r="Y239" s="76">
        <f t="shared" si="7"/>
        <v>1434.72</v>
      </c>
      <c r="Z239" s="69"/>
      <c r="AA239" s="76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</row>
    <row r="240" spans="1:37" s="140" customFormat="1" ht="12">
      <c r="A240" s="139">
        <v>36708</v>
      </c>
      <c r="B240" s="76">
        <v>3299</v>
      </c>
      <c r="C240" s="76">
        <v>12</v>
      </c>
      <c r="D240" s="76"/>
      <c r="E240" s="76"/>
      <c r="F240" s="76">
        <v>1010</v>
      </c>
      <c r="G240" s="76"/>
      <c r="H240" s="76">
        <v>141.97719877619051</v>
      </c>
      <c r="I240" s="76">
        <v>5071</v>
      </c>
      <c r="J240" s="76"/>
      <c r="K240" s="76">
        <v>267906</v>
      </c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76">
        <f t="shared" si="6"/>
        <v>106.41935483870968</v>
      </c>
      <c r="X240" s="69"/>
      <c r="Y240" s="76">
        <f t="shared" si="7"/>
        <v>1564.3645161290322</v>
      </c>
      <c r="Z240" s="69"/>
      <c r="AA240" s="76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</row>
    <row r="241" spans="1:37" s="140" customFormat="1" ht="12">
      <c r="A241" s="139">
        <v>36739</v>
      </c>
      <c r="B241" s="76">
        <v>2926</v>
      </c>
      <c r="C241" s="76">
        <v>19</v>
      </c>
      <c r="D241" s="76"/>
      <c r="E241" s="76"/>
      <c r="F241" s="76">
        <v>1158</v>
      </c>
      <c r="G241" s="76"/>
      <c r="H241" s="76">
        <v>124.08436700476192</v>
      </c>
      <c r="I241" s="76">
        <v>4582</v>
      </c>
      <c r="J241" s="76"/>
      <c r="K241" s="76">
        <v>276540</v>
      </c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76">
        <f t="shared" si="6"/>
        <v>94.387096774193552</v>
      </c>
      <c r="X241" s="69"/>
      <c r="Y241" s="76">
        <f t="shared" si="7"/>
        <v>1387.4903225806452</v>
      </c>
      <c r="Z241" s="69"/>
      <c r="AA241" s="76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</row>
    <row r="242" spans="1:37" s="140" customFormat="1" ht="12">
      <c r="A242" s="139">
        <v>36770</v>
      </c>
      <c r="B242" s="76">
        <v>3103</v>
      </c>
      <c r="C242" s="76">
        <v>48</v>
      </c>
      <c r="D242" s="76"/>
      <c r="E242" s="76"/>
      <c r="F242" s="76">
        <v>1181</v>
      </c>
      <c r="G242" s="76"/>
      <c r="H242" s="76">
        <v>159.3120904714286</v>
      </c>
      <c r="I242" s="76">
        <v>4542</v>
      </c>
      <c r="J242" s="76"/>
      <c r="K242" s="76">
        <v>255526</v>
      </c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76">
        <f t="shared" si="6"/>
        <v>103.43333333333334</v>
      </c>
      <c r="X242" s="69"/>
      <c r="Y242" s="76">
        <f t="shared" si="7"/>
        <v>1520.4700000000003</v>
      </c>
      <c r="Z242" s="69"/>
      <c r="AA242" s="76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</row>
    <row r="243" spans="1:37" s="140" customFormat="1" ht="12">
      <c r="A243" s="139">
        <v>36800</v>
      </c>
      <c r="B243" s="76">
        <v>3429</v>
      </c>
      <c r="C243" s="76">
        <v>17</v>
      </c>
      <c r="D243" s="76"/>
      <c r="E243" s="76"/>
      <c r="F243" s="76">
        <v>1481</v>
      </c>
      <c r="G243" s="76"/>
      <c r="H243" s="76">
        <v>197.95226517142859</v>
      </c>
      <c r="I243" s="76">
        <v>4200</v>
      </c>
      <c r="J243" s="76"/>
      <c r="K243" s="76">
        <v>260918</v>
      </c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76">
        <f t="shared" si="6"/>
        <v>110.61290322580645</v>
      </c>
      <c r="X243" s="69"/>
      <c r="Y243" s="76">
        <f t="shared" si="7"/>
        <v>1626.0096774193548</v>
      </c>
      <c r="Z243" s="69"/>
      <c r="AA243" s="76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</row>
    <row r="244" spans="1:37" s="140" customFormat="1" ht="12">
      <c r="A244" s="139">
        <v>36831</v>
      </c>
      <c r="B244" s="76">
        <v>3297</v>
      </c>
      <c r="C244" s="76">
        <v>9</v>
      </c>
      <c r="D244" s="76"/>
      <c r="E244" s="76"/>
      <c r="F244" s="76">
        <v>1558</v>
      </c>
      <c r="G244" s="76"/>
      <c r="H244" s="76">
        <v>147.91257129523811</v>
      </c>
      <c r="I244" s="76">
        <v>3760</v>
      </c>
      <c r="J244" s="76"/>
      <c r="K244" s="76">
        <v>251518</v>
      </c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76">
        <f t="shared" si="6"/>
        <v>109.9</v>
      </c>
      <c r="X244" s="69"/>
      <c r="Y244" s="76">
        <f t="shared" si="7"/>
        <v>1615.53</v>
      </c>
      <c r="Z244" s="69"/>
      <c r="AA244" s="76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</row>
    <row r="245" spans="1:37" s="140" customFormat="1" ht="12">
      <c r="A245" s="139">
        <v>36861</v>
      </c>
      <c r="B245" s="76">
        <v>3565</v>
      </c>
      <c r="C245" s="76">
        <v>13</v>
      </c>
      <c r="D245" s="76"/>
      <c r="E245" s="76"/>
      <c r="F245" s="76">
        <v>1590</v>
      </c>
      <c r="G245" s="76"/>
      <c r="H245" s="76">
        <v>140.97532721428573</v>
      </c>
      <c r="I245" s="76">
        <v>3400</v>
      </c>
      <c r="J245" s="76"/>
      <c r="K245" s="76">
        <v>268765</v>
      </c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76">
        <f t="shared" si="6"/>
        <v>115</v>
      </c>
      <c r="X245" s="69"/>
      <c r="Y245" s="76">
        <f t="shared" si="7"/>
        <v>1690.5</v>
      </c>
      <c r="Z245" s="69"/>
      <c r="AA245" s="76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</row>
    <row r="246" spans="1:37" s="140" customFormat="1" ht="12">
      <c r="A246" s="139">
        <v>36892</v>
      </c>
      <c r="B246" s="76">
        <v>3574</v>
      </c>
      <c r="C246" s="76">
        <v>16</v>
      </c>
      <c r="D246" s="76"/>
      <c r="E246" s="76"/>
      <c r="F246" s="76">
        <v>1689</v>
      </c>
      <c r="G246" s="76"/>
      <c r="H246" s="76">
        <v>404.45641385238093</v>
      </c>
      <c r="I246" s="76">
        <v>2811</v>
      </c>
      <c r="J246" s="76"/>
      <c r="K246" s="76">
        <v>251077</v>
      </c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76">
        <f t="shared" si="6"/>
        <v>115.29032258064517</v>
      </c>
      <c r="X246" s="69"/>
      <c r="Y246" s="76">
        <f t="shared" si="7"/>
        <v>1694.7677419354841</v>
      </c>
      <c r="Z246" s="69"/>
      <c r="AA246" s="76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</row>
    <row r="247" spans="1:37" s="140" customFormat="1" ht="12">
      <c r="A247" s="139">
        <v>36923</v>
      </c>
      <c r="B247" s="76">
        <v>3249</v>
      </c>
      <c r="C247" s="76">
        <v>69</v>
      </c>
      <c r="D247" s="76"/>
      <c r="E247" s="76"/>
      <c r="F247" s="76">
        <v>1548</v>
      </c>
      <c r="G247" s="76"/>
      <c r="H247" s="76">
        <v>65.514938385714288</v>
      </c>
      <c r="I247" s="76">
        <v>2771</v>
      </c>
      <c r="J247" s="76"/>
      <c r="K247" s="76">
        <v>230538</v>
      </c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76">
        <f t="shared" si="6"/>
        <v>116.03571428571429</v>
      </c>
      <c r="X247" s="69"/>
      <c r="Y247" s="76">
        <f t="shared" si="7"/>
        <v>1705.7249999999999</v>
      </c>
      <c r="Z247" s="69"/>
      <c r="AA247" s="76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</row>
    <row r="248" spans="1:37" s="140" customFormat="1" ht="12">
      <c r="A248" s="139">
        <v>36951</v>
      </c>
      <c r="B248" s="76">
        <v>3500</v>
      </c>
      <c r="C248" s="76">
        <v>17</v>
      </c>
      <c r="D248" s="76"/>
      <c r="E248" s="76"/>
      <c r="F248" s="76">
        <v>1694</v>
      </c>
      <c r="G248" s="76"/>
      <c r="H248" s="76">
        <v>260.8600968285715</v>
      </c>
      <c r="I248" s="76">
        <v>2691</v>
      </c>
      <c r="J248" s="76"/>
      <c r="K248" s="76">
        <v>264496</v>
      </c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76">
        <f t="shared" si="6"/>
        <v>112.90322580645162</v>
      </c>
      <c r="X248" s="69"/>
      <c r="Y248" s="76">
        <f t="shared" si="7"/>
        <v>1659.6774193548388</v>
      </c>
      <c r="Z248" s="69"/>
      <c r="AA248" s="76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</row>
    <row r="249" spans="1:37" s="140" customFormat="1" ht="12">
      <c r="A249" s="139">
        <v>36982</v>
      </c>
      <c r="B249" s="76">
        <v>3226</v>
      </c>
      <c r="C249" s="76">
        <v>19</v>
      </c>
      <c r="D249" s="76"/>
      <c r="E249" s="76"/>
      <c r="F249" s="76">
        <v>1216</v>
      </c>
      <c r="G249" s="76"/>
      <c r="H249" s="76">
        <v>84.811653471428571</v>
      </c>
      <c r="I249" s="76">
        <v>2936</v>
      </c>
      <c r="J249" s="76"/>
      <c r="K249" s="76">
        <v>257252</v>
      </c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76">
        <f t="shared" si="6"/>
        <v>107.53333333333333</v>
      </c>
      <c r="X249" s="69"/>
      <c r="Y249" s="76">
        <f t="shared" si="7"/>
        <v>1580.74</v>
      </c>
      <c r="Z249" s="69"/>
      <c r="AA249" s="76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</row>
    <row r="250" spans="1:37" s="140" customFormat="1" ht="12">
      <c r="A250" s="139">
        <v>37012</v>
      </c>
      <c r="B250" s="76">
        <v>3339</v>
      </c>
      <c r="C250" s="76">
        <v>14</v>
      </c>
      <c r="D250" s="76"/>
      <c r="E250" s="76"/>
      <c r="F250" s="76">
        <v>1162</v>
      </c>
      <c r="G250" s="76"/>
      <c r="H250" s="76">
        <v>160.54457089047622</v>
      </c>
      <c r="I250" s="76">
        <v>3172</v>
      </c>
      <c r="J250" s="76"/>
      <c r="K250" s="76">
        <v>269882</v>
      </c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76">
        <f t="shared" si="6"/>
        <v>107.70967741935483</v>
      </c>
      <c r="X250" s="69"/>
      <c r="Y250" s="76">
        <f t="shared" si="7"/>
        <v>1583.3322580645158</v>
      </c>
      <c r="Z250" s="69"/>
      <c r="AA250" s="76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</row>
    <row r="251" spans="1:37" s="140" customFormat="1" ht="12">
      <c r="A251" s="139">
        <v>37043</v>
      </c>
      <c r="B251" s="76">
        <v>3310</v>
      </c>
      <c r="C251" s="76">
        <v>10</v>
      </c>
      <c r="D251" s="76"/>
      <c r="E251" s="76"/>
      <c r="F251" s="76">
        <v>1128</v>
      </c>
      <c r="G251" s="76"/>
      <c r="H251" s="76">
        <v>112.56279371904763</v>
      </c>
      <c r="I251" s="76">
        <v>4152</v>
      </c>
      <c r="J251" s="76"/>
      <c r="K251" s="76">
        <v>260694</v>
      </c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76">
        <f t="shared" si="6"/>
        <v>110.33333333333333</v>
      </c>
      <c r="X251" s="69"/>
      <c r="Y251" s="76">
        <f t="shared" si="7"/>
        <v>1621.9</v>
      </c>
      <c r="Z251" s="69"/>
      <c r="AA251" s="76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</row>
    <row r="252" spans="1:37" s="140" customFormat="1" ht="12">
      <c r="A252" s="139">
        <v>37073</v>
      </c>
      <c r="B252" s="76">
        <v>3472</v>
      </c>
      <c r="C252" s="76">
        <v>11</v>
      </c>
      <c r="D252" s="76"/>
      <c r="E252" s="76"/>
      <c r="F252" s="76">
        <v>1173</v>
      </c>
      <c r="G252" s="76"/>
      <c r="H252" s="76">
        <v>131.25486194285716</v>
      </c>
      <c r="I252" s="76">
        <v>3503</v>
      </c>
      <c r="J252" s="76"/>
      <c r="K252" s="76">
        <v>279714</v>
      </c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76">
        <f t="shared" si="6"/>
        <v>112</v>
      </c>
      <c r="X252" s="69"/>
      <c r="Y252" s="76">
        <f t="shared" si="7"/>
        <v>1646.4</v>
      </c>
      <c r="Z252" s="69"/>
      <c r="AA252" s="76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</row>
    <row r="253" spans="1:37" s="140" customFormat="1" ht="12">
      <c r="A253" s="139">
        <v>37104</v>
      </c>
      <c r="B253" s="76">
        <v>3515</v>
      </c>
      <c r="C253" s="76">
        <v>13</v>
      </c>
      <c r="D253" s="76"/>
      <c r="E253" s="76"/>
      <c r="F253" s="76">
        <v>1220</v>
      </c>
      <c r="G253" s="76"/>
      <c r="H253" s="76">
        <v>116.0141955809524</v>
      </c>
      <c r="I253" s="76">
        <v>4226</v>
      </c>
      <c r="J253" s="76"/>
      <c r="K253" s="76">
        <v>277552</v>
      </c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76">
        <f t="shared" si="6"/>
        <v>113.38709677419355</v>
      </c>
      <c r="X253" s="69"/>
      <c r="Y253" s="76">
        <f t="shared" si="7"/>
        <v>1666.7903225806451</v>
      </c>
      <c r="Z253" s="69"/>
      <c r="AA253" s="76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</row>
    <row r="254" spans="1:37" s="140" customFormat="1" ht="12">
      <c r="A254" s="139">
        <v>37135</v>
      </c>
      <c r="B254" s="76">
        <v>3470</v>
      </c>
      <c r="C254" s="76">
        <v>12</v>
      </c>
      <c r="D254" s="76"/>
      <c r="E254" s="76"/>
      <c r="F254" s="76">
        <v>1144</v>
      </c>
      <c r="G254" s="76"/>
      <c r="H254" s="76">
        <v>104.03269412857144</v>
      </c>
      <c r="I254" s="76">
        <v>4438</v>
      </c>
      <c r="J254" s="76"/>
      <c r="K254" s="76">
        <v>256718</v>
      </c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76">
        <f t="shared" si="6"/>
        <v>115.66666666666667</v>
      </c>
      <c r="X254" s="69"/>
      <c r="Y254" s="76">
        <f t="shared" si="7"/>
        <v>1700.3</v>
      </c>
      <c r="Z254" s="69"/>
      <c r="AA254" s="76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</row>
    <row r="255" spans="1:37" s="140" customFormat="1" ht="12">
      <c r="A255" s="139">
        <v>37165</v>
      </c>
      <c r="B255" s="76">
        <v>3743</v>
      </c>
      <c r="C255" s="76">
        <v>13</v>
      </c>
      <c r="D255" s="76"/>
      <c r="E255" s="76"/>
      <c r="F255" s="76">
        <v>1512</v>
      </c>
      <c r="G255" s="76"/>
      <c r="H255" s="76">
        <v>100.1071790761905</v>
      </c>
      <c r="I255" s="76">
        <v>3783</v>
      </c>
      <c r="J255" s="76"/>
      <c r="K255" s="76">
        <v>268294</v>
      </c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76">
        <f t="shared" si="6"/>
        <v>120.74193548387096</v>
      </c>
      <c r="X255" s="69"/>
      <c r="Y255" s="76">
        <f t="shared" si="7"/>
        <v>1774.9064516129031</v>
      </c>
      <c r="Z255" s="69"/>
      <c r="AA255" s="76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</row>
    <row r="256" spans="1:37" s="140" customFormat="1" ht="12">
      <c r="A256" s="139">
        <v>37196</v>
      </c>
      <c r="B256" s="76">
        <v>3794</v>
      </c>
      <c r="C256" s="76">
        <v>12</v>
      </c>
      <c r="D256" s="76"/>
      <c r="E256" s="76"/>
      <c r="F256" s="76">
        <v>1657</v>
      </c>
      <c r="G256" s="76"/>
      <c r="H256" s="76">
        <v>147.2467306809524</v>
      </c>
      <c r="I256" s="76">
        <v>4038</v>
      </c>
      <c r="J256" s="76"/>
      <c r="K256" s="76">
        <v>260304</v>
      </c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76">
        <f t="shared" si="6"/>
        <v>126.46666666666667</v>
      </c>
      <c r="X256" s="69"/>
      <c r="Y256" s="76">
        <f t="shared" si="7"/>
        <v>1859.06</v>
      </c>
      <c r="Z256" s="69"/>
      <c r="AA256" s="76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</row>
    <row r="257" spans="1:37" s="140" customFormat="1" ht="12">
      <c r="A257" s="139">
        <v>37226</v>
      </c>
      <c r="B257" s="76">
        <v>3836</v>
      </c>
      <c r="C257" s="76">
        <v>105</v>
      </c>
      <c r="D257" s="76"/>
      <c r="E257" s="76"/>
      <c r="F257" s="76">
        <v>1786</v>
      </c>
      <c r="G257" s="76"/>
      <c r="H257" s="76">
        <v>88.576113461904782</v>
      </c>
      <c r="I257" s="76">
        <v>4298</v>
      </c>
      <c r="J257" s="76"/>
      <c r="K257" s="76">
        <v>266139</v>
      </c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76">
        <f t="shared" si="6"/>
        <v>123.74193548387096</v>
      </c>
      <c r="X257" s="69"/>
      <c r="Y257" s="76">
        <f t="shared" si="7"/>
        <v>1819.006451612903</v>
      </c>
      <c r="Z257" s="69"/>
      <c r="AA257" s="76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</row>
    <row r="258" spans="1:37" s="140" customFormat="1" ht="12">
      <c r="A258" s="139">
        <v>37257</v>
      </c>
      <c r="B258" s="76">
        <v>4189</v>
      </c>
      <c r="C258" s="76">
        <v>11</v>
      </c>
      <c r="D258" s="76"/>
      <c r="E258" s="76"/>
      <c r="F258" s="76">
        <v>1857</v>
      </c>
      <c r="G258" s="76"/>
      <c r="H258" s="76">
        <v>97.16706711904763</v>
      </c>
      <c r="I258" s="76">
        <v>4828</v>
      </c>
      <c r="J258" s="76"/>
      <c r="K258" s="76">
        <v>255039</v>
      </c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76">
        <f t="shared" si="6"/>
        <v>135.12903225806451</v>
      </c>
      <c r="X258" s="69"/>
      <c r="Y258" s="76">
        <f t="shared" si="7"/>
        <v>1986.396774193548</v>
      </c>
      <c r="Z258" s="69"/>
      <c r="AA258" s="76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</row>
    <row r="259" spans="1:37" s="140" customFormat="1" ht="12">
      <c r="A259" s="139">
        <v>37288</v>
      </c>
      <c r="B259" s="76">
        <v>3429</v>
      </c>
      <c r="C259" s="76">
        <v>54</v>
      </c>
      <c r="D259" s="76"/>
      <c r="E259" s="76"/>
      <c r="F259" s="76">
        <v>1621</v>
      </c>
      <c r="G259" s="76"/>
      <c r="H259" s="76">
        <v>39.893426271428567</v>
      </c>
      <c r="I259" s="76">
        <v>4757</v>
      </c>
      <c r="J259" s="76"/>
      <c r="K259" s="76">
        <v>240991</v>
      </c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76">
        <f t="shared" si="6"/>
        <v>122.46428571428571</v>
      </c>
      <c r="X259" s="69"/>
      <c r="Y259" s="76">
        <f t="shared" si="7"/>
        <v>1800.2249999999999</v>
      </c>
      <c r="Z259" s="69"/>
      <c r="AA259" s="76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</row>
    <row r="260" spans="1:37" s="140" customFormat="1" ht="12">
      <c r="A260" s="139">
        <v>37316</v>
      </c>
      <c r="B260" s="76">
        <v>3968</v>
      </c>
      <c r="C260" s="76">
        <v>8</v>
      </c>
      <c r="D260" s="76"/>
      <c r="E260" s="76"/>
      <c r="F260" s="76">
        <v>1799</v>
      </c>
      <c r="G260" s="76"/>
      <c r="H260" s="76">
        <v>113.99984042380954</v>
      </c>
      <c r="I260" s="76">
        <v>5691</v>
      </c>
      <c r="J260" s="76"/>
      <c r="K260" s="76">
        <v>268320</v>
      </c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76">
        <f t="shared" si="6"/>
        <v>128</v>
      </c>
      <c r="X260" s="69"/>
      <c r="Y260" s="76">
        <f t="shared" si="7"/>
        <v>1881.6</v>
      </c>
      <c r="Z260" s="69"/>
      <c r="AA260" s="76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</row>
    <row r="261" spans="1:37" s="140" customFormat="1" ht="12">
      <c r="A261" s="139">
        <v>37347</v>
      </c>
      <c r="B261" s="76">
        <v>3788</v>
      </c>
      <c r="C261" s="76">
        <v>9</v>
      </c>
      <c r="D261" s="76"/>
      <c r="E261" s="76"/>
      <c r="F261" s="76">
        <v>1380</v>
      </c>
      <c r="G261" s="76"/>
      <c r="H261" s="76">
        <v>142.79092219523812</v>
      </c>
      <c r="I261" s="76">
        <v>5853</v>
      </c>
      <c r="J261" s="76"/>
      <c r="K261" s="76">
        <v>262971</v>
      </c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76">
        <f t="shared" si="6"/>
        <v>126.26666666666667</v>
      </c>
      <c r="X261" s="69"/>
      <c r="Y261" s="76">
        <f t="shared" si="7"/>
        <v>1856.12</v>
      </c>
      <c r="Z261" s="69"/>
      <c r="AA261" s="76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</row>
    <row r="262" spans="1:37" s="140" customFormat="1" ht="12">
      <c r="A262" s="139">
        <v>37377</v>
      </c>
      <c r="B262" s="76">
        <v>4007</v>
      </c>
      <c r="C262" s="76">
        <v>54</v>
      </c>
      <c r="D262" s="76"/>
      <c r="E262" s="76"/>
      <c r="F262" s="76">
        <v>1447</v>
      </c>
      <c r="G262" s="76"/>
      <c r="H262" s="76">
        <v>54.678083433333335</v>
      </c>
      <c r="I262" s="76">
        <v>5994</v>
      </c>
      <c r="J262" s="76"/>
      <c r="K262" s="76">
        <v>281433</v>
      </c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76">
        <f t="shared" ref="W262:W325" si="8">B262/(A263-A262)</f>
        <v>129.25806451612902</v>
      </c>
      <c r="X262" s="69"/>
      <c r="Y262" s="76">
        <f t="shared" ref="Y262:Y325" si="9">W262*350*42/1000</f>
        <v>1900.0935483870967</v>
      </c>
      <c r="Z262" s="69"/>
      <c r="AA262" s="76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</row>
    <row r="263" spans="1:37" s="140" customFormat="1" ht="12">
      <c r="A263" s="139">
        <v>37408</v>
      </c>
      <c r="B263" s="76">
        <v>3705</v>
      </c>
      <c r="C263" s="76">
        <v>11</v>
      </c>
      <c r="D263" s="76"/>
      <c r="E263" s="76"/>
      <c r="F263" s="76">
        <v>1535</v>
      </c>
      <c r="G263" s="76"/>
      <c r="H263" s="76">
        <v>82.553454295238112</v>
      </c>
      <c r="I263" s="76">
        <v>6188</v>
      </c>
      <c r="J263" s="76"/>
      <c r="K263" s="76">
        <v>274204</v>
      </c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76">
        <f t="shared" si="8"/>
        <v>123.5</v>
      </c>
      <c r="X263" s="69"/>
      <c r="Y263" s="76">
        <f t="shared" si="9"/>
        <v>1815.45</v>
      </c>
      <c r="Z263" s="69"/>
      <c r="AA263" s="76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</row>
    <row r="264" spans="1:37" s="140" customFormat="1" ht="12">
      <c r="A264" s="139">
        <v>37438</v>
      </c>
      <c r="B264" s="76">
        <v>3970</v>
      </c>
      <c r="C264" s="76">
        <v>8</v>
      </c>
      <c r="D264" s="76"/>
      <c r="E264" s="76"/>
      <c r="F264" s="76">
        <v>2049</v>
      </c>
      <c r="G264" s="76"/>
      <c r="H264" s="76">
        <v>99.48161009047621</v>
      </c>
      <c r="I264" s="76">
        <v>6070</v>
      </c>
      <c r="J264" s="76"/>
      <c r="K264" s="76">
        <v>283440</v>
      </c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76">
        <f t="shared" si="8"/>
        <v>128.06451612903226</v>
      </c>
      <c r="X264" s="69"/>
      <c r="Y264" s="76">
        <f t="shared" si="9"/>
        <v>1882.5483870967741</v>
      </c>
      <c r="Z264" s="69"/>
      <c r="AA264" s="76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</row>
    <row r="265" spans="1:37" s="140" customFormat="1" ht="12">
      <c r="A265" s="139">
        <v>37469</v>
      </c>
      <c r="B265" s="76">
        <v>4203</v>
      </c>
      <c r="C265" s="76">
        <v>10</v>
      </c>
      <c r="D265" s="76"/>
      <c r="E265" s="76"/>
      <c r="F265" s="76">
        <v>2594</v>
      </c>
      <c r="G265" s="76"/>
      <c r="H265" s="76">
        <v>71.258495414285719</v>
      </c>
      <c r="I265" s="76">
        <v>6212</v>
      </c>
      <c r="J265" s="76"/>
      <c r="K265" s="76">
        <v>288688</v>
      </c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76">
        <f t="shared" si="8"/>
        <v>135.58064516129033</v>
      </c>
      <c r="X265" s="69"/>
      <c r="Y265" s="76">
        <f t="shared" si="9"/>
        <v>1993.0354838709677</v>
      </c>
      <c r="Z265" s="69"/>
      <c r="AA265" s="76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</row>
    <row r="266" spans="1:37" s="140" customFormat="1" ht="12">
      <c r="A266" s="139">
        <v>37500</v>
      </c>
      <c r="B266" s="76">
        <v>4342</v>
      </c>
      <c r="C266" s="76">
        <v>12</v>
      </c>
      <c r="D266" s="76"/>
      <c r="E266" s="76"/>
      <c r="F266" s="76">
        <v>2409</v>
      </c>
      <c r="G266" s="76"/>
      <c r="H266" s="76">
        <v>101.63417959047619</v>
      </c>
      <c r="I266" s="76">
        <v>6485</v>
      </c>
      <c r="J266" s="76"/>
      <c r="K266" s="76">
        <v>260596</v>
      </c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76">
        <f t="shared" si="8"/>
        <v>144.73333333333332</v>
      </c>
      <c r="X266" s="69"/>
      <c r="Y266" s="76">
        <f t="shared" si="9"/>
        <v>2127.58</v>
      </c>
      <c r="Z266" s="69"/>
      <c r="AA266" s="76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</row>
    <row r="267" spans="1:37" s="140" customFormat="1" ht="12">
      <c r="A267" s="139">
        <v>37530</v>
      </c>
      <c r="B267" s="76">
        <v>4939</v>
      </c>
      <c r="C267" s="76">
        <v>11</v>
      </c>
      <c r="D267" s="76"/>
      <c r="E267" s="76"/>
      <c r="F267" s="76">
        <v>3102</v>
      </c>
      <c r="G267" s="76"/>
      <c r="H267" s="76">
        <v>111.08582765238098</v>
      </c>
      <c r="I267" s="76">
        <v>6530</v>
      </c>
      <c r="J267" s="76"/>
      <c r="K267" s="76">
        <v>273226</v>
      </c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76">
        <f t="shared" si="8"/>
        <v>159.32258064516128</v>
      </c>
      <c r="X267" s="69"/>
      <c r="Y267" s="76">
        <f t="shared" si="9"/>
        <v>2342.0419354838705</v>
      </c>
      <c r="Z267" s="69"/>
      <c r="AA267" s="76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</row>
    <row r="268" spans="1:37" s="140" customFormat="1" ht="12">
      <c r="A268" s="139">
        <v>37561</v>
      </c>
      <c r="B268" s="76">
        <v>4965</v>
      </c>
      <c r="C268" s="76">
        <v>9</v>
      </c>
      <c r="D268" s="76"/>
      <c r="E268" s="76"/>
      <c r="F268" s="76">
        <v>3188</v>
      </c>
      <c r="G268" s="76"/>
      <c r="H268" s="76">
        <v>84.147574190476206</v>
      </c>
      <c r="I268" s="76">
        <v>6009</v>
      </c>
      <c r="J268" s="76"/>
      <c r="K268" s="76">
        <v>264858</v>
      </c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76">
        <f t="shared" si="8"/>
        <v>165.5</v>
      </c>
      <c r="X268" s="69"/>
      <c r="Y268" s="76">
        <f t="shared" si="9"/>
        <v>2432.85</v>
      </c>
      <c r="Z268" s="69"/>
      <c r="AA268" s="76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</row>
    <row r="269" spans="1:37" s="140" customFormat="1" ht="12">
      <c r="A269" s="139">
        <v>37591</v>
      </c>
      <c r="B269" s="76">
        <v>5451</v>
      </c>
      <c r="C269" s="76">
        <v>101</v>
      </c>
      <c r="D269" s="76"/>
      <c r="E269" s="76"/>
      <c r="F269" s="76">
        <v>3339</v>
      </c>
      <c r="G269" s="76"/>
      <c r="H269" s="76">
        <v>115.32816253809526</v>
      </c>
      <c r="I269" s="76">
        <v>6200</v>
      </c>
      <c r="J269" s="76"/>
      <c r="K269" s="76">
        <v>275695</v>
      </c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76">
        <f t="shared" si="8"/>
        <v>175.83870967741936</v>
      </c>
      <c r="X269" s="69"/>
      <c r="Y269" s="76">
        <f t="shared" si="9"/>
        <v>2584.8290322580647</v>
      </c>
      <c r="Z269" s="69"/>
      <c r="AA269" s="76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</row>
    <row r="270" spans="1:37" s="140" customFormat="1" ht="12">
      <c r="A270" s="139">
        <v>37622</v>
      </c>
      <c r="B270" s="76">
        <v>5497</v>
      </c>
      <c r="C270" s="76">
        <v>5</v>
      </c>
      <c r="D270" s="76"/>
      <c r="E270" s="76"/>
      <c r="F270" s="76">
        <v>4426</v>
      </c>
      <c r="G270" s="76"/>
      <c r="H270" s="76">
        <v>102.79361499999999</v>
      </c>
      <c r="I270" s="76">
        <v>6933</v>
      </c>
      <c r="J270" s="76"/>
      <c r="K270" s="76">
        <v>260819</v>
      </c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76">
        <f t="shared" si="8"/>
        <v>177.32258064516128</v>
      </c>
      <c r="X270" s="69"/>
      <c r="Y270" s="76">
        <f t="shared" si="9"/>
        <v>2606.6419354838704</v>
      </c>
      <c r="Z270" s="69"/>
      <c r="AA270" s="76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</row>
    <row r="271" spans="1:37" s="140" customFormat="1" ht="12">
      <c r="A271" s="139">
        <v>37653</v>
      </c>
      <c r="B271" s="76">
        <v>4734</v>
      </c>
      <c r="C271" s="76">
        <v>109</v>
      </c>
      <c r="D271" s="76"/>
      <c r="E271" s="76"/>
      <c r="F271" s="76">
        <v>4361</v>
      </c>
      <c r="G271" s="76"/>
      <c r="H271" s="76">
        <v>103.14290627142857</v>
      </c>
      <c r="I271" s="76">
        <v>5943</v>
      </c>
      <c r="J271" s="76"/>
      <c r="K271" s="76">
        <v>238713</v>
      </c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76">
        <f t="shared" si="8"/>
        <v>169.07142857142858</v>
      </c>
      <c r="X271" s="69"/>
      <c r="Y271" s="76">
        <f t="shared" si="9"/>
        <v>2485.3500000000004</v>
      </c>
      <c r="Z271" s="69"/>
      <c r="AA271" s="76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</row>
    <row r="272" spans="1:37" s="140" customFormat="1" ht="12">
      <c r="A272" s="139">
        <v>37681</v>
      </c>
      <c r="B272" s="76">
        <v>5430</v>
      </c>
      <c r="C272" s="76">
        <v>157</v>
      </c>
      <c r="D272" s="76"/>
      <c r="E272" s="76"/>
      <c r="F272" s="76">
        <v>4574</v>
      </c>
      <c r="G272" s="76"/>
      <c r="H272" s="76">
        <v>95.39515949523809</v>
      </c>
      <c r="I272" s="76">
        <v>6549</v>
      </c>
      <c r="J272" s="76"/>
      <c r="K272" s="76">
        <v>266652</v>
      </c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76">
        <f t="shared" si="8"/>
        <v>175.16129032258064</v>
      </c>
      <c r="X272" s="69"/>
      <c r="Y272" s="76">
        <f t="shared" si="9"/>
        <v>2574.8709677419356</v>
      </c>
      <c r="Z272" s="69"/>
      <c r="AA272" s="76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</row>
    <row r="273" spans="1:37" s="140" customFormat="1" ht="12">
      <c r="A273" s="139">
        <v>37712</v>
      </c>
      <c r="B273" s="76">
        <v>5384</v>
      </c>
      <c r="C273" s="76">
        <v>143</v>
      </c>
      <c r="D273" s="76"/>
      <c r="E273" s="76"/>
      <c r="F273" s="76">
        <v>4119</v>
      </c>
      <c r="G273" s="76"/>
      <c r="H273" s="76">
        <v>112.3332982761905</v>
      </c>
      <c r="I273" s="76">
        <v>6528</v>
      </c>
      <c r="J273" s="76"/>
      <c r="K273" s="76">
        <v>265141</v>
      </c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76">
        <f t="shared" si="8"/>
        <v>179.46666666666667</v>
      </c>
      <c r="X273" s="69"/>
      <c r="Y273" s="76">
        <f t="shared" si="9"/>
        <v>2638.16</v>
      </c>
      <c r="Z273" s="69"/>
      <c r="AA273" s="76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</row>
    <row r="274" spans="1:37" s="140" customFormat="1" ht="12">
      <c r="A274" s="139">
        <v>37742</v>
      </c>
      <c r="B274" s="76">
        <v>5426</v>
      </c>
      <c r="C274" s="76">
        <v>181</v>
      </c>
      <c r="D274" s="76"/>
      <c r="E274" s="76"/>
      <c r="F274" s="76">
        <v>4290</v>
      </c>
      <c r="G274" s="76"/>
      <c r="H274" s="76">
        <v>139.93682620952382</v>
      </c>
      <c r="I274" s="76">
        <v>6507</v>
      </c>
      <c r="J274" s="76"/>
      <c r="K274" s="76">
        <v>280294</v>
      </c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76">
        <f t="shared" si="8"/>
        <v>175.03225806451613</v>
      </c>
      <c r="X274" s="69"/>
      <c r="Y274" s="76">
        <f t="shared" si="9"/>
        <v>2572.9741935483871</v>
      </c>
      <c r="Z274" s="69"/>
      <c r="AA274" s="76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</row>
    <row r="275" spans="1:37" s="140" customFormat="1" ht="12">
      <c r="A275" s="139">
        <v>37773</v>
      </c>
      <c r="B275" s="76">
        <v>5440</v>
      </c>
      <c r="C275" s="76">
        <v>545</v>
      </c>
      <c r="D275" s="76"/>
      <c r="E275" s="76"/>
      <c r="F275" s="76">
        <v>4266</v>
      </c>
      <c r="G275" s="76"/>
      <c r="H275" s="76">
        <v>137.64591026666668</v>
      </c>
      <c r="I275" s="76">
        <v>6753</v>
      </c>
      <c r="J275" s="76"/>
      <c r="K275" s="76">
        <v>275105</v>
      </c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76">
        <f t="shared" si="8"/>
        <v>181.33333333333334</v>
      </c>
      <c r="X275" s="69"/>
      <c r="Y275" s="76">
        <f t="shared" si="9"/>
        <v>2665.6</v>
      </c>
      <c r="Z275" s="69"/>
      <c r="AA275" s="76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</row>
    <row r="276" spans="1:37" s="140" customFormat="1" ht="12">
      <c r="A276" s="139">
        <v>37803</v>
      </c>
      <c r="B276" s="76">
        <v>5529</v>
      </c>
      <c r="C276" s="76">
        <v>337</v>
      </c>
      <c r="D276" s="76"/>
      <c r="E276" s="76"/>
      <c r="F276" s="76">
        <v>4421</v>
      </c>
      <c r="G276" s="76"/>
      <c r="H276" s="76">
        <v>108.4338949904762</v>
      </c>
      <c r="I276" s="76">
        <v>6975</v>
      </c>
      <c r="J276" s="76"/>
      <c r="K276" s="76">
        <v>284942</v>
      </c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76">
        <f t="shared" si="8"/>
        <v>178.35483870967741</v>
      </c>
      <c r="X276" s="69"/>
      <c r="Y276" s="76">
        <f t="shared" si="9"/>
        <v>2621.8161290322578</v>
      </c>
      <c r="Z276" s="69"/>
      <c r="AA276" s="76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</row>
    <row r="277" spans="1:37" s="140" customFormat="1" ht="12">
      <c r="A277" s="139">
        <v>37834</v>
      </c>
      <c r="B277" s="76">
        <v>5589</v>
      </c>
      <c r="C277" s="76">
        <v>681</v>
      </c>
      <c r="D277" s="76"/>
      <c r="E277" s="76"/>
      <c r="F277" s="76">
        <v>4454</v>
      </c>
      <c r="G277" s="76"/>
      <c r="H277" s="76">
        <v>127.56493780476191</v>
      </c>
      <c r="I277" s="76">
        <v>6744</v>
      </c>
      <c r="J277" s="76"/>
      <c r="K277" s="76">
        <v>291755</v>
      </c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76">
        <f t="shared" si="8"/>
        <v>180.29032258064515</v>
      </c>
      <c r="X277" s="69"/>
      <c r="Y277" s="76">
        <f t="shared" si="9"/>
        <v>2650.2677419354836</v>
      </c>
      <c r="Z277" s="69"/>
      <c r="AA277" s="76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</row>
    <row r="278" spans="1:37" s="140" customFormat="1" ht="12">
      <c r="A278" s="139">
        <v>37865</v>
      </c>
      <c r="B278" s="76">
        <v>5685</v>
      </c>
      <c r="C278" s="76">
        <v>398</v>
      </c>
      <c r="D278" s="76"/>
      <c r="E278" s="76"/>
      <c r="F278" s="76">
        <v>4269</v>
      </c>
      <c r="G278" s="76"/>
      <c r="H278" s="76">
        <v>206.73591498571432</v>
      </c>
      <c r="I278" s="76">
        <v>7256</v>
      </c>
      <c r="J278" s="76"/>
      <c r="K278" s="76">
        <v>267775</v>
      </c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76">
        <f t="shared" si="8"/>
        <v>189.5</v>
      </c>
      <c r="X278" s="69"/>
      <c r="Y278" s="76">
        <f t="shared" si="9"/>
        <v>2785.65</v>
      </c>
      <c r="Z278" s="69"/>
      <c r="AA278" s="76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</row>
    <row r="279" spans="1:37" s="140" customFormat="1" ht="12">
      <c r="A279" s="139">
        <v>37895</v>
      </c>
      <c r="B279" s="76">
        <v>5829</v>
      </c>
      <c r="C279" s="76">
        <v>518</v>
      </c>
      <c r="D279" s="76"/>
      <c r="E279" s="76"/>
      <c r="F279" s="76">
        <v>4795</v>
      </c>
      <c r="G279" s="76"/>
      <c r="H279" s="76">
        <v>137.58659107619047</v>
      </c>
      <c r="I279" s="76">
        <v>7201</v>
      </c>
      <c r="J279" s="76"/>
      <c r="K279" s="76">
        <v>282336</v>
      </c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76">
        <f t="shared" si="8"/>
        <v>188.03225806451613</v>
      </c>
      <c r="X279" s="69"/>
      <c r="Y279" s="76">
        <f t="shared" si="9"/>
        <v>2764.0741935483875</v>
      </c>
      <c r="Z279" s="69"/>
      <c r="AA279" s="76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</row>
    <row r="280" spans="1:37" s="140" customFormat="1" ht="12">
      <c r="A280" s="139">
        <v>37926</v>
      </c>
      <c r="B280" s="76">
        <v>5806</v>
      </c>
      <c r="C280" s="76">
        <v>380</v>
      </c>
      <c r="D280" s="76"/>
      <c r="E280" s="76"/>
      <c r="F280" s="76">
        <v>5411</v>
      </c>
      <c r="G280" s="76"/>
      <c r="H280" s="76">
        <v>127.55813780000003</v>
      </c>
      <c r="I280" s="76">
        <v>6472</v>
      </c>
      <c r="J280" s="76"/>
      <c r="K280" s="76">
        <v>268366</v>
      </c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76">
        <f t="shared" si="8"/>
        <v>193.53333333333333</v>
      </c>
      <c r="X280" s="69"/>
      <c r="Y280" s="76">
        <f t="shared" si="9"/>
        <v>2844.94</v>
      </c>
      <c r="Z280" s="69"/>
      <c r="AA280" s="76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</row>
    <row r="281" spans="1:37" s="140" customFormat="1" ht="12">
      <c r="A281" s="139">
        <v>37956</v>
      </c>
      <c r="B281" s="76">
        <v>6423</v>
      </c>
      <c r="C281" s="76">
        <v>12</v>
      </c>
      <c r="D281" s="76"/>
      <c r="E281" s="76"/>
      <c r="F281" s="76">
        <v>6240</v>
      </c>
      <c r="G281" s="76"/>
      <c r="H281" s="76">
        <v>110.23210309523809</v>
      </c>
      <c r="I281" s="76">
        <v>5978</v>
      </c>
      <c r="J281" s="76"/>
      <c r="K281" s="76">
        <v>279339</v>
      </c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76">
        <f t="shared" si="8"/>
        <v>207.19354838709677</v>
      </c>
      <c r="X281" s="69"/>
      <c r="Y281" s="76">
        <f t="shared" si="9"/>
        <v>3045.7451612903224</v>
      </c>
      <c r="Z281" s="69"/>
      <c r="AA281" s="76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</row>
    <row r="282" spans="1:37" s="140" customFormat="1" ht="12">
      <c r="A282" s="139">
        <v>37987</v>
      </c>
      <c r="B282" s="76">
        <v>6551</v>
      </c>
      <c r="C282" s="76">
        <v>81</v>
      </c>
      <c r="D282" s="76"/>
      <c r="E282" s="76"/>
      <c r="F282" s="76">
        <v>6278</v>
      </c>
      <c r="G282" s="76"/>
      <c r="H282" s="76">
        <v>133.51993031904763</v>
      </c>
      <c r="I282" s="76">
        <v>5830</v>
      </c>
      <c r="J282" s="76"/>
      <c r="K282" s="76">
        <v>269855</v>
      </c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76">
        <f t="shared" si="8"/>
        <v>211.32258064516128</v>
      </c>
      <c r="X282" s="69"/>
      <c r="Y282" s="76">
        <f t="shared" si="9"/>
        <v>3106.441935483871</v>
      </c>
      <c r="Z282" s="69"/>
      <c r="AA282" s="76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</row>
    <row r="283" spans="1:37" s="140" customFormat="1" ht="12">
      <c r="A283" s="139">
        <v>38018</v>
      </c>
      <c r="B283" s="76">
        <v>6155</v>
      </c>
      <c r="C283" s="76">
        <v>392</v>
      </c>
      <c r="D283" s="76"/>
      <c r="E283" s="76"/>
      <c r="F283" s="76">
        <v>6067</v>
      </c>
      <c r="G283" s="76"/>
      <c r="H283" s="76">
        <v>87.363492076190482</v>
      </c>
      <c r="I283" s="76">
        <v>5469</v>
      </c>
      <c r="J283" s="76"/>
      <c r="K283" s="76">
        <v>256288</v>
      </c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76">
        <f t="shared" si="8"/>
        <v>212.24137931034483</v>
      </c>
      <c r="X283" s="69"/>
      <c r="Y283" s="76">
        <f t="shared" si="9"/>
        <v>3119.9482758620693</v>
      </c>
      <c r="Z283" s="69"/>
      <c r="AA283" s="76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</row>
    <row r="284" spans="1:37" s="140" customFormat="1" ht="12">
      <c r="A284" s="139">
        <v>38047</v>
      </c>
      <c r="B284" s="76">
        <v>6648</v>
      </c>
      <c r="C284" s="76">
        <v>13</v>
      </c>
      <c r="D284" s="76"/>
      <c r="E284" s="76"/>
      <c r="F284" s="76">
        <v>6469</v>
      </c>
      <c r="G284" s="76"/>
      <c r="H284" s="76">
        <v>99.120266266666675</v>
      </c>
      <c r="I284" s="76">
        <v>5578</v>
      </c>
      <c r="J284" s="76"/>
      <c r="K284" s="76">
        <v>279745</v>
      </c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76">
        <f t="shared" si="8"/>
        <v>214.45161290322579</v>
      </c>
      <c r="X284" s="69"/>
      <c r="Y284" s="76">
        <f t="shared" si="9"/>
        <v>3152.438709677419</v>
      </c>
      <c r="Z284" s="69"/>
      <c r="AA284" s="76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</row>
    <row r="285" spans="1:37" s="140" customFormat="1" ht="12">
      <c r="A285" s="139">
        <v>38078</v>
      </c>
      <c r="B285" s="76">
        <v>6525</v>
      </c>
      <c r="C285" s="76">
        <v>206</v>
      </c>
      <c r="D285" s="76"/>
      <c r="E285" s="76"/>
      <c r="F285" s="76">
        <v>5781</v>
      </c>
      <c r="G285" s="76"/>
      <c r="H285" s="76">
        <v>94.660809304761912</v>
      </c>
      <c r="I285" s="76">
        <v>5433</v>
      </c>
      <c r="J285" s="76"/>
      <c r="K285" s="76">
        <v>273777</v>
      </c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76">
        <f t="shared" si="8"/>
        <v>217.5</v>
      </c>
      <c r="X285" s="69"/>
      <c r="Y285" s="76">
        <f t="shared" si="9"/>
        <v>3197.25</v>
      </c>
      <c r="Z285" s="69"/>
      <c r="AA285" s="76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</row>
    <row r="286" spans="1:37" s="140" customFormat="1" ht="12">
      <c r="A286" s="139">
        <v>38108</v>
      </c>
      <c r="B286" s="76">
        <v>6857</v>
      </c>
      <c r="C286" s="76">
        <v>81</v>
      </c>
      <c r="D286" s="76"/>
      <c r="E286" s="76"/>
      <c r="F286" s="76">
        <v>5936</v>
      </c>
      <c r="G286" s="76"/>
      <c r="H286" s="76">
        <v>96.022206742857151</v>
      </c>
      <c r="I286" s="76">
        <v>5796</v>
      </c>
      <c r="J286" s="76"/>
      <c r="K286" s="76">
        <v>284562</v>
      </c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76">
        <f t="shared" si="8"/>
        <v>221.19354838709677</v>
      </c>
      <c r="X286" s="69"/>
      <c r="Y286" s="76">
        <f t="shared" si="9"/>
        <v>3251.5451612903225</v>
      </c>
      <c r="Z286" s="69"/>
      <c r="AA286" s="76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</row>
    <row r="287" spans="1:37" s="140" customFormat="1" ht="12">
      <c r="A287" s="139">
        <v>38139</v>
      </c>
      <c r="B287" s="76">
        <v>6648</v>
      </c>
      <c r="C287" s="76">
        <v>211</v>
      </c>
      <c r="D287" s="76"/>
      <c r="E287" s="76"/>
      <c r="F287" s="76">
        <v>5860</v>
      </c>
      <c r="G287" s="76"/>
      <c r="H287" s="76">
        <v>95.874871209523832</v>
      </c>
      <c r="I287" s="76">
        <v>5345</v>
      </c>
      <c r="J287" s="76"/>
      <c r="K287" s="76">
        <v>279654</v>
      </c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76">
        <f t="shared" si="8"/>
        <v>221.6</v>
      </c>
      <c r="X287" s="69"/>
      <c r="Y287" s="76">
        <f t="shared" si="9"/>
        <v>3257.52</v>
      </c>
      <c r="Z287" s="69"/>
      <c r="AA287" s="76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</row>
    <row r="288" spans="1:37" s="140" customFormat="1" ht="12">
      <c r="A288" s="139">
        <v>38169</v>
      </c>
      <c r="B288" s="76">
        <v>6749</v>
      </c>
      <c r="C288" s="76">
        <v>86</v>
      </c>
      <c r="D288" s="76"/>
      <c r="E288" s="76"/>
      <c r="F288" s="76">
        <v>6035</v>
      </c>
      <c r="G288" s="76"/>
      <c r="H288" s="76">
        <v>79.042330652380969</v>
      </c>
      <c r="I288" s="76">
        <v>5971</v>
      </c>
      <c r="J288" s="76"/>
      <c r="K288" s="76">
        <v>290081</v>
      </c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76">
        <f t="shared" si="8"/>
        <v>217.70967741935485</v>
      </c>
      <c r="X288" s="69"/>
      <c r="Y288" s="76">
        <f t="shared" si="9"/>
        <v>3200.3322580645163</v>
      </c>
      <c r="Z288" s="69"/>
      <c r="AA288" s="76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</row>
    <row r="289" spans="1:37" s="140" customFormat="1" ht="12">
      <c r="A289" s="139">
        <v>38200</v>
      </c>
      <c r="B289" s="76">
        <v>6977</v>
      </c>
      <c r="C289" s="76">
        <v>201</v>
      </c>
      <c r="D289" s="76"/>
      <c r="E289" s="76"/>
      <c r="F289" s="76">
        <v>5997</v>
      </c>
      <c r="G289" s="76"/>
      <c r="H289" s="76">
        <v>97.26270122857143</v>
      </c>
      <c r="I289" s="76">
        <v>6367</v>
      </c>
      <c r="J289" s="76"/>
      <c r="K289" s="76">
        <v>289125</v>
      </c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76">
        <f t="shared" si="8"/>
        <v>225.06451612903226</v>
      </c>
      <c r="X289" s="69"/>
      <c r="Y289" s="76">
        <f t="shared" si="9"/>
        <v>3308.4483870967742</v>
      </c>
      <c r="Z289" s="69"/>
      <c r="AA289" s="76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</row>
    <row r="290" spans="1:37" s="140" customFormat="1" ht="12">
      <c r="A290" s="139">
        <v>38231</v>
      </c>
      <c r="B290" s="76">
        <v>6766</v>
      </c>
      <c r="C290" s="76">
        <v>61</v>
      </c>
      <c r="D290" s="76"/>
      <c r="E290" s="76"/>
      <c r="F290" s="76">
        <v>5895</v>
      </c>
      <c r="G290" s="76"/>
      <c r="H290" s="76">
        <v>84.324544157142867</v>
      </c>
      <c r="I290" s="76">
        <v>6641</v>
      </c>
      <c r="J290" s="76"/>
      <c r="K290" s="76">
        <v>270464</v>
      </c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76">
        <f t="shared" si="8"/>
        <v>225.53333333333333</v>
      </c>
      <c r="X290" s="69"/>
      <c r="Y290" s="76">
        <f t="shared" si="9"/>
        <v>3315.34</v>
      </c>
      <c r="Z290" s="69"/>
      <c r="AA290" s="76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</row>
    <row r="291" spans="1:37" s="140" customFormat="1" ht="12">
      <c r="A291" s="139">
        <v>38261</v>
      </c>
      <c r="B291" s="76">
        <v>7007</v>
      </c>
      <c r="C291" s="76">
        <v>690</v>
      </c>
      <c r="D291" s="76"/>
      <c r="E291" s="76"/>
      <c r="F291" s="76">
        <v>6457</v>
      </c>
      <c r="G291" s="76"/>
      <c r="H291" s="76">
        <v>83.185206819047622</v>
      </c>
      <c r="I291" s="76">
        <v>6664</v>
      </c>
      <c r="J291" s="76"/>
      <c r="K291" s="76">
        <v>282002</v>
      </c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76">
        <f t="shared" si="8"/>
        <v>226.03225806451613</v>
      </c>
      <c r="X291" s="69"/>
      <c r="Y291" s="76">
        <f t="shared" si="9"/>
        <v>3322.6741935483874</v>
      </c>
      <c r="Z291" s="69"/>
      <c r="AA291" s="76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</row>
    <row r="292" spans="1:37" s="140" customFormat="1" ht="12">
      <c r="A292" s="139">
        <v>38292</v>
      </c>
      <c r="B292" s="76">
        <v>6946</v>
      </c>
      <c r="C292" s="76">
        <v>702</v>
      </c>
      <c r="D292" s="76"/>
      <c r="E292" s="76"/>
      <c r="F292" s="76">
        <v>6447</v>
      </c>
      <c r="G292" s="76"/>
      <c r="H292" s="76">
        <v>96.868055623809525</v>
      </c>
      <c r="I292" s="76">
        <v>6414</v>
      </c>
      <c r="J292" s="76"/>
      <c r="K292" s="76">
        <v>271654</v>
      </c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76">
        <f t="shared" si="8"/>
        <v>231.53333333333333</v>
      </c>
      <c r="X292" s="69"/>
      <c r="Y292" s="76">
        <f t="shared" si="9"/>
        <v>3403.54</v>
      </c>
      <c r="Z292" s="69"/>
      <c r="AA292" s="76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</row>
    <row r="293" spans="1:37" s="140" customFormat="1" ht="12">
      <c r="A293" s="139">
        <v>38322</v>
      </c>
      <c r="B293" s="76">
        <v>7229</v>
      </c>
      <c r="C293" s="76">
        <v>591</v>
      </c>
      <c r="D293" s="76"/>
      <c r="E293" s="76"/>
      <c r="F293" s="76">
        <v>6873</v>
      </c>
      <c r="G293" s="76"/>
      <c r="H293" s="76">
        <v>78.985257161904769</v>
      </c>
      <c r="I293" s="76">
        <v>6002</v>
      </c>
      <c r="J293" s="76"/>
      <c r="K293" s="76">
        <v>285372</v>
      </c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76">
        <f t="shared" si="8"/>
        <v>233.19354838709677</v>
      </c>
      <c r="X293" s="69"/>
      <c r="Y293" s="76">
        <f t="shared" si="9"/>
        <v>3427.9451612903226</v>
      </c>
      <c r="Z293" s="69"/>
      <c r="AA293" s="76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</row>
    <row r="294" spans="1:37" s="140" customFormat="1" ht="12">
      <c r="A294" s="139">
        <v>38353</v>
      </c>
      <c r="B294" s="76">
        <v>7461</v>
      </c>
      <c r="C294" s="76">
        <v>132</v>
      </c>
      <c r="D294" s="76"/>
      <c r="E294" s="76">
        <v>6379</v>
      </c>
      <c r="F294" s="76">
        <v>6631</v>
      </c>
      <c r="G294" s="76"/>
      <c r="H294" s="76">
        <v>74.415502990476213</v>
      </c>
      <c r="I294" s="76">
        <v>6142</v>
      </c>
      <c r="J294" s="76"/>
      <c r="K294" s="76">
        <v>273190</v>
      </c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76">
        <f t="shared" si="8"/>
        <v>240.67741935483872</v>
      </c>
      <c r="X294" s="69"/>
      <c r="Y294" s="76">
        <f t="shared" si="9"/>
        <v>3537.9580645161291</v>
      </c>
      <c r="Z294" s="69"/>
      <c r="AA294" s="76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</row>
    <row r="295" spans="1:37" s="140" customFormat="1" ht="12">
      <c r="A295" s="139">
        <v>38384</v>
      </c>
      <c r="B295" s="76">
        <v>6847</v>
      </c>
      <c r="C295" s="76">
        <v>610</v>
      </c>
      <c r="D295" s="76"/>
      <c r="E295" s="76">
        <v>6302</v>
      </c>
      <c r="F295" s="76">
        <v>6196</v>
      </c>
      <c r="G295" s="76"/>
      <c r="H295" s="76">
        <v>75.535717280952383</v>
      </c>
      <c r="I295" s="76">
        <v>6261</v>
      </c>
      <c r="J295" s="76"/>
      <c r="K295" s="76">
        <v>248120</v>
      </c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76">
        <f t="shared" si="8"/>
        <v>244.53571428571428</v>
      </c>
      <c r="X295" s="69"/>
      <c r="Y295" s="76">
        <f t="shared" si="9"/>
        <v>3594.6750000000002</v>
      </c>
      <c r="Z295" s="69"/>
      <c r="AA295" s="76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</row>
    <row r="296" spans="1:37" s="140" customFormat="1" ht="12">
      <c r="A296" s="139">
        <v>38412</v>
      </c>
      <c r="B296" s="76">
        <v>7530</v>
      </c>
      <c r="C296" s="76">
        <v>894</v>
      </c>
      <c r="D296" s="76"/>
      <c r="E296" s="76">
        <v>7020</v>
      </c>
      <c r="F296" s="76">
        <v>6882</v>
      </c>
      <c r="G296" s="76"/>
      <c r="H296" s="76">
        <v>82.185474019047632</v>
      </c>
      <c r="I296" s="76">
        <v>6605</v>
      </c>
      <c r="J296" s="76"/>
      <c r="K296" s="76">
        <v>278801</v>
      </c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76">
        <f t="shared" si="8"/>
        <v>242.90322580645162</v>
      </c>
      <c r="X296" s="69"/>
      <c r="Y296" s="76">
        <f t="shared" si="9"/>
        <v>3570.6774193548381</v>
      </c>
      <c r="Z296" s="69"/>
      <c r="AA296" s="76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</row>
    <row r="297" spans="1:37" s="140" customFormat="1" ht="12">
      <c r="A297" s="139">
        <v>38443</v>
      </c>
      <c r="B297" s="76">
        <v>7135</v>
      </c>
      <c r="C297" s="76">
        <v>905</v>
      </c>
      <c r="D297" s="76"/>
      <c r="E297" s="76">
        <v>6493</v>
      </c>
      <c r="F297" s="76">
        <v>6318</v>
      </c>
      <c r="G297" s="76"/>
      <c r="H297" s="76">
        <v>72.980834085714292</v>
      </c>
      <c r="I297" s="76">
        <v>6861</v>
      </c>
      <c r="J297" s="76"/>
      <c r="K297" s="76">
        <v>273827</v>
      </c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76">
        <f t="shared" si="8"/>
        <v>237.83333333333334</v>
      </c>
      <c r="X297" s="69"/>
      <c r="Y297" s="76">
        <f t="shared" si="9"/>
        <v>3496.15</v>
      </c>
      <c r="Z297" s="69"/>
      <c r="AA297" s="76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</row>
    <row r="298" spans="1:37" s="140" customFormat="1" ht="12">
      <c r="A298" s="139">
        <v>38473</v>
      </c>
      <c r="B298" s="76">
        <v>7357</v>
      </c>
      <c r="C298" s="76">
        <v>682</v>
      </c>
      <c r="D298" s="76"/>
      <c r="E298" s="76">
        <v>6486</v>
      </c>
      <c r="F298" s="76">
        <v>6748</v>
      </c>
      <c r="G298" s="76"/>
      <c r="H298" s="76">
        <v>219.52598166666664</v>
      </c>
      <c r="I298" s="76">
        <v>6810</v>
      </c>
      <c r="J298" s="76"/>
      <c r="K298" s="76">
        <v>287628</v>
      </c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76">
        <f t="shared" si="8"/>
        <v>237.32258064516128</v>
      </c>
      <c r="X298" s="69"/>
      <c r="Y298" s="76">
        <f t="shared" si="9"/>
        <v>3488.6419354838708</v>
      </c>
      <c r="Z298" s="69"/>
      <c r="AA298" s="76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</row>
    <row r="299" spans="1:37" s="140" customFormat="1" ht="12">
      <c r="A299" s="139">
        <v>38504</v>
      </c>
      <c r="B299" s="76">
        <v>7463</v>
      </c>
      <c r="C299" s="76">
        <v>1550</v>
      </c>
      <c r="D299" s="76"/>
      <c r="E299" s="76">
        <v>6171</v>
      </c>
      <c r="F299" s="76">
        <v>6917</v>
      </c>
      <c r="G299" s="76"/>
      <c r="H299" s="76">
        <v>182.83573506666667</v>
      </c>
      <c r="I299" s="76">
        <v>6064</v>
      </c>
      <c r="J299" s="76"/>
      <c r="K299" s="76">
        <v>281178</v>
      </c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76">
        <f t="shared" si="8"/>
        <v>248.76666666666668</v>
      </c>
      <c r="X299" s="69"/>
      <c r="Y299" s="76">
        <f t="shared" si="9"/>
        <v>3656.8700000000003</v>
      </c>
      <c r="Z299" s="69"/>
      <c r="AA299" s="76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</row>
    <row r="300" spans="1:37" s="140" customFormat="1" ht="12">
      <c r="A300" s="139">
        <v>38534</v>
      </c>
      <c r="B300" s="76">
        <v>8007</v>
      </c>
      <c r="C300" s="76">
        <v>2637</v>
      </c>
      <c r="D300" s="76"/>
      <c r="E300" s="76">
        <v>6975</v>
      </c>
      <c r="F300" s="76">
        <v>7199</v>
      </c>
      <c r="G300" s="76"/>
      <c r="H300" s="76">
        <v>168.30912581904761</v>
      </c>
      <c r="I300" s="76">
        <v>5926</v>
      </c>
      <c r="J300" s="76"/>
      <c r="K300" s="76">
        <v>295548</v>
      </c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76">
        <f t="shared" si="8"/>
        <v>258.29032258064518</v>
      </c>
      <c r="X300" s="69"/>
      <c r="Y300" s="76">
        <f t="shared" si="9"/>
        <v>3796.867741935484</v>
      </c>
      <c r="Z300" s="69"/>
      <c r="AA300" s="76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</row>
    <row r="301" spans="1:37" s="140" customFormat="1" ht="12">
      <c r="A301" s="139">
        <v>38565</v>
      </c>
      <c r="B301" s="76">
        <v>8050</v>
      </c>
      <c r="C301" s="76">
        <v>3102</v>
      </c>
      <c r="D301" s="76"/>
      <c r="E301" s="76">
        <v>6602</v>
      </c>
      <c r="F301" s="76">
        <v>7331</v>
      </c>
      <c r="G301" s="76"/>
      <c r="H301" s="76">
        <v>136.81931653333334</v>
      </c>
      <c r="I301" s="76">
        <v>5398</v>
      </c>
      <c r="J301" s="76"/>
      <c r="K301" s="76">
        <v>295651</v>
      </c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76">
        <f t="shared" si="8"/>
        <v>259.67741935483872</v>
      </c>
      <c r="X301" s="69"/>
      <c r="Y301" s="76">
        <f t="shared" si="9"/>
        <v>3817.2580645161288</v>
      </c>
      <c r="Z301" s="69"/>
      <c r="AA301" s="76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</row>
    <row r="302" spans="1:37" s="140" customFormat="1" ht="12">
      <c r="A302" s="139">
        <v>38596</v>
      </c>
      <c r="B302" s="76">
        <v>7841</v>
      </c>
      <c r="C302" s="76">
        <v>2268</v>
      </c>
      <c r="D302" s="76"/>
      <c r="E302" s="76">
        <v>6621</v>
      </c>
      <c r="F302" s="76">
        <v>6763</v>
      </c>
      <c r="G302" s="76"/>
      <c r="H302" s="76">
        <v>102.74318425238097</v>
      </c>
      <c r="I302" s="76">
        <v>5317</v>
      </c>
      <c r="J302" s="76"/>
      <c r="K302" s="76">
        <v>267454</v>
      </c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76">
        <f t="shared" si="8"/>
        <v>261.36666666666667</v>
      </c>
      <c r="X302" s="69"/>
      <c r="Y302" s="76">
        <f t="shared" si="9"/>
        <v>3842.0900000000006</v>
      </c>
      <c r="Z302" s="69"/>
      <c r="AA302" s="76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</row>
    <row r="303" spans="1:37" s="140" customFormat="1" ht="12">
      <c r="A303" s="139">
        <v>38626</v>
      </c>
      <c r="B303" s="76">
        <v>8335</v>
      </c>
      <c r="C303" s="76">
        <v>2044</v>
      </c>
      <c r="D303" s="76"/>
      <c r="E303" s="76">
        <v>7130</v>
      </c>
      <c r="F303" s="76">
        <v>7546</v>
      </c>
      <c r="G303" s="76"/>
      <c r="H303" s="76">
        <v>163.18679734761906</v>
      </c>
      <c r="I303" s="76">
        <v>5591</v>
      </c>
      <c r="J303" s="76"/>
      <c r="K303" s="76">
        <v>280121</v>
      </c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76">
        <f t="shared" si="8"/>
        <v>268.87096774193549</v>
      </c>
      <c r="X303" s="69"/>
      <c r="Y303" s="76">
        <f t="shared" si="9"/>
        <v>3952.4032258064517</v>
      </c>
      <c r="Z303" s="69"/>
      <c r="AA303" s="76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</row>
    <row r="304" spans="1:37" s="140" customFormat="1" ht="12">
      <c r="A304" s="139">
        <v>38657</v>
      </c>
      <c r="B304" s="76">
        <v>8259</v>
      </c>
      <c r="C304" s="76">
        <v>1376</v>
      </c>
      <c r="D304" s="76"/>
      <c r="E304" s="76">
        <v>6978</v>
      </c>
      <c r="F304" s="76">
        <v>7548</v>
      </c>
      <c r="G304" s="76"/>
      <c r="H304" s="76">
        <v>104.58624974285715</v>
      </c>
      <c r="I304" s="76">
        <v>5723</v>
      </c>
      <c r="J304" s="76"/>
      <c r="K304" s="76">
        <v>273452</v>
      </c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76">
        <f t="shared" si="8"/>
        <v>275.3</v>
      </c>
      <c r="X304" s="69"/>
      <c r="Y304" s="76">
        <f t="shared" si="9"/>
        <v>4046.91</v>
      </c>
      <c r="Z304" s="69"/>
      <c r="AA304" s="76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</row>
    <row r="305" spans="1:37" s="140" customFormat="1" ht="12">
      <c r="A305" s="139">
        <v>38687</v>
      </c>
      <c r="B305" s="76">
        <v>8676</v>
      </c>
      <c r="C305" s="76">
        <v>1208</v>
      </c>
      <c r="D305" s="76"/>
      <c r="E305" s="76">
        <v>7258</v>
      </c>
      <c r="F305" s="76">
        <v>8009</v>
      </c>
      <c r="G305" s="76"/>
      <c r="H305" s="76">
        <v>110.12006971428575</v>
      </c>
      <c r="I305" s="76">
        <v>5563</v>
      </c>
      <c r="J305" s="76"/>
      <c r="K305" s="76">
        <v>288161</v>
      </c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76">
        <f t="shared" si="8"/>
        <v>279.87096774193549</v>
      </c>
      <c r="X305" s="69"/>
      <c r="Y305" s="76">
        <f t="shared" si="9"/>
        <v>4114.1032258064515</v>
      </c>
      <c r="Z305" s="69"/>
      <c r="AA305" s="76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</row>
    <row r="306" spans="1:37" s="140" customFormat="1" ht="12">
      <c r="A306" s="139">
        <v>38718</v>
      </c>
      <c r="B306" s="76">
        <v>8935</v>
      </c>
      <c r="C306" s="76">
        <v>1077</v>
      </c>
      <c r="D306" s="76"/>
      <c r="E306" s="76">
        <v>7897</v>
      </c>
      <c r="F306" s="76">
        <v>7493</v>
      </c>
      <c r="G306" s="76"/>
      <c r="H306" s="76">
        <v>96.858550714285727</v>
      </c>
      <c r="I306" s="76">
        <v>6099</v>
      </c>
      <c r="J306" s="76"/>
      <c r="K306" s="76">
        <v>274021</v>
      </c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76">
        <f t="shared" si="8"/>
        <v>288.22580645161293</v>
      </c>
      <c r="X306" s="69"/>
      <c r="Y306" s="76">
        <f t="shared" si="9"/>
        <v>4236.9193548387102</v>
      </c>
      <c r="Z306" s="69"/>
      <c r="AA306" s="76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</row>
    <row r="307" spans="1:37" s="140" customFormat="1" ht="12">
      <c r="A307" s="139">
        <v>38749</v>
      </c>
      <c r="B307" s="76">
        <v>8463</v>
      </c>
      <c r="C307" s="76">
        <v>1010</v>
      </c>
      <c r="D307" s="76"/>
      <c r="E307" s="76">
        <v>7512</v>
      </c>
      <c r="F307" s="76">
        <v>6953</v>
      </c>
      <c r="G307" s="76"/>
      <c r="H307" s="76">
        <v>108.62455932380954</v>
      </c>
      <c r="I307" s="76">
        <v>7268</v>
      </c>
      <c r="J307" s="76"/>
      <c r="K307" s="76">
        <v>249517</v>
      </c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76">
        <f t="shared" si="8"/>
        <v>302.25</v>
      </c>
      <c r="X307" s="69"/>
      <c r="Y307" s="76">
        <f t="shared" si="9"/>
        <v>4443.0749999999998</v>
      </c>
      <c r="Z307" s="69"/>
      <c r="AA307" s="76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</row>
    <row r="308" spans="1:37" s="140" customFormat="1" ht="12">
      <c r="A308" s="139">
        <v>38777</v>
      </c>
      <c r="B308" s="76">
        <v>9333</v>
      </c>
      <c r="C308" s="76">
        <v>720</v>
      </c>
      <c r="D308" s="76"/>
      <c r="E308" s="76">
        <v>8031</v>
      </c>
      <c r="F308" s="76">
        <v>7567</v>
      </c>
      <c r="G308" s="76"/>
      <c r="H308" s="76">
        <v>136.09393656190477</v>
      </c>
      <c r="I308" s="76">
        <v>8626</v>
      </c>
      <c r="J308" s="76"/>
      <c r="K308" s="76">
        <v>280689</v>
      </c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76">
        <f t="shared" si="8"/>
        <v>301.06451612903226</v>
      </c>
      <c r="X308" s="69"/>
      <c r="Y308" s="76">
        <f t="shared" si="9"/>
        <v>4425.6483870967741</v>
      </c>
      <c r="Z308" s="69"/>
      <c r="AA308" s="76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</row>
    <row r="309" spans="1:37" s="140" customFormat="1" ht="12">
      <c r="A309" s="139">
        <v>38808</v>
      </c>
      <c r="B309" s="76">
        <v>8663</v>
      </c>
      <c r="C309" s="76">
        <v>733</v>
      </c>
      <c r="D309" s="76"/>
      <c r="E309" s="76">
        <v>7761</v>
      </c>
      <c r="F309" s="76">
        <v>8302</v>
      </c>
      <c r="G309" s="76"/>
      <c r="H309" s="76">
        <v>139.28057857142858</v>
      </c>
      <c r="I309" s="76">
        <v>8990</v>
      </c>
      <c r="J309" s="76"/>
      <c r="K309" s="76">
        <v>274619</v>
      </c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76">
        <f t="shared" si="8"/>
        <v>288.76666666666665</v>
      </c>
      <c r="X309" s="69"/>
      <c r="Y309" s="76">
        <f t="shared" si="9"/>
        <v>4244.87</v>
      </c>
      <c r="Z309" s="69"/>
      <c r="AA309" s="76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</row>
    <row r="310" spans="1:37" s="140" customFormat="1" ht="12">
      <c r="A310" s="139">
        <v>38838</v>
      </c>
      <c r="B310" s="76">
        <v>9086</v>
      </c>
      <c r="C310" s="76">
        <v>663</v>
      </c>
      <c r="D310" s="76"/>
      <c r="E310" s="76">
        <v>8625</v>
      </c>
      <c r="F310" s="76">
        <v>10530</v>
      </c>
      <c r="G310" s="76"/>
      <c r="H310" s="76">
        <v>66.766063776190492</v>
      </c>
      <c r="I310" s="76">
        <v>7767</v>
      </c>
      <c r="J310" s="76"/>
      <c r="K310" s="76">
        <v>288535</v>
      </c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76">
        <f t="shared" si="8"/>
        <v>293.09677419354841</v>
      </c>
      <c r="X310" s="69"/>
      <c r="Y310" s="76">
        <f t="shared" si="9"/>
        <v>4308.5225806451617</v>
      </c>
      <c r="Z310" s="69"/>
      <c r="AA310" s="76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</row>
    <row r="311" spans="1:37" s="140" customFormat="1" ht="12">
      <c r="A311" s="139">
        <v>38869</v>
      </c>
      <c r="B311" s="76">
        <v>9531</v>
      </c>
      <c r="C311" s="76">
        <v>922</v>
      </c>
      <c r="D311" s="76"/>
      <c r="E311" s="76">
        <v>8500</v>
      </c>
      <c r="F311" s="76">
        <v>11142</v>
      </c>
      <c r="G311" s="76"/>
      <c r="H311" s="76">
        <v>43.409066476190482</v>
      </c>
      <c r="I311" s="76">
        <v>6675</v>
      </c>
      <c r="J311" s="76"/>
      <c r="K311" s="76">
        <v>284350</v>
      </c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76">
        <f t="shared" si="8"/>
        <v>317.7</v>
      </c>
      <c r="X311" s="69"/>
      <c r="Y311" s="76">
        <f t="shared" si="9"/>
        <v>4670.1899999999996</v>
      </c>
      <c r="Z311" s="69"/>
      <c r="AA311" s="76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</row>
    <row r="312" spans="1:37" s="140" customFormat="1" ht="12">
      <c r="A312" s="139">
        <v>38899</v>
      </c>
      <c r="B312" s="76">
        <v>9791</v>
      </c>
      <c r="C312" s="76">
        <v>1533</v>
      </c>
      <c r="D312" s="76"/>
      <c r="E312" s="76">
        <v>9023</v>
      </c>
      <c r="F312" s="76">
        <v>10629</v>
      </c>
      <c r="G312" s="76"/>
      <c r="H312" s="76">
        <v>57.708117747619063</v>
      </c>
      <c r="I312" s="76">
        <v>7706</v>
      </c>
      <c r="J312" s="76"/>
      <c r="K312" s="76">
        <v>297822</v>
      </c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76">
        <f t="shared" si="8"/>
        <v>315.83870967741933</v>
      </c>
      <c r="X312" s="69"/>
      <c r="Y312" s="76">
        <f t="shared" si="9"/>
        <v>4642.8290322580642</v>
      </c>
      <c r="Z312" s="69"/>
      <c r="AA312" s="76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</row>
    <row r="313" spans="1:37" s="140" customFormat="1" ht="12">
      <c r="A313" s="139">
        <v>38930</v>
      </c>
      <c r="B313" s="76">
        <v>10235</v>
      </c>
      <c r="C313" s="76">
        <v>1586</v>
      </c>
      <c r="D313" s="76"/>
      <c r="E313" s="76">
        <v>8993</v>
      </c>
      <c r="F313" s="76">
        <v>10668</v>
      </c>
      <c r="G313" s="76"/>
      <c r="H313" s="76">
        <v>49.010332933333331</v>
      </c>
      <c r="I313" s="76">
        <v>9133</v>
      </c>
      <c r="J313" s="76"/>
      <c r="K313" s="76">
        <v>296476</v>
      </c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76">
        <f t="shared" si="8"/>
        <v>330.16129032258067</v>
      </c>
      <c r="X313" s="69"/>
      <c r="Y313" s="76">
        <f t="shared" si="9"/>
        <v>4853.3709677419356</v>
      </c>
      <c r="Z313" s="69"/>
      <c r="AA313" s="76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</row>
    <row r="314" spans="1:37" s="140" customFormat="1" ht="12">
      <c r="A314" s="139">
        <v>38961</v>
      </c>
      <c r="B314" s="76">
        <v>10088</v>
      </c>
      <c r="C314" s="76">
        <v>610</v>
      </c>
      <c r="D314" s="76"/>
      <c r="E314" s="76">
        <v>8505</v>
      </c>
      <c r="F314" s="76">
        <v>10181</v>
      </c>
      <c r="G314" s="76"/>
      <c r="H314" s="76">
        <v>52.888229080952392</v>
      </c>
      <c r="I314" s="76">
        <v>9725</v>
      </c>
      <c r="J314" s="76"/>
      <c r="K314" s="76">
        <v>277072</v>
      </c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76">
        <f t="shared" si="8"/>
        <v>336.26666666666665</v>
      </c>
      <c r="X314" s="69"/>
      <c r="Y314" s="76">
        <f t="shared" si="9"/>
        <v>4943.12</v>
      </c>
      <c r="Z314" s="69"/>
      <c r="AA314" s="76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</row>
    <row r="315" spans="1:37" s="140" customFormat="1" ht="12">
      <c r="A315" s="139">
        <v>38991</v>
      </c>
      <c r="B315" s="76">
        <v>10512</v>
      </c>
      <c r="C315" s="76">
        <v>998</v>
      </c>
      <c r="D315" s="76"/>
      <c r="E315" s="76">
        <v>9289</v>
      </c>
      <c r="F315" s="76">
        <v>11335</v>
      </c>
      <c r="G315" s="76"/>
      <c r="H315" s="76">
        <v>58.242393052380947</v>
      </c>
      <c r="I315" s="76">
        <v>9723</v>
      </c>
      <c r="J315" s="76"/>
      <c r="K315" s="76">
        <v>287265</v>
      </c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76">
        <f t="shared" si="8"/>
        <v>339.09677419354841</v>
      </c>
      <c r="X315" s="69"/>
      <c r="Y315" s="76">
        <f t="shared" si="9"/>
        <v>4984.7225806451615</v>
      </c>
      <c r="Z315" s="69"/>
      <c r="AA315" s="76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</row>
    <row r="316" spans="1:37" s="140" customFormat="1" ht="12">
      <c r="A316" s="139">
        <v>39022</v>
      </c>
      <c r="B316" s="76">
        <v>10442</v>
      </c>
      <c r="C316" s="76">
        <v>393</v>
      </c>
      <c r="D316" s="76"/>
      <c r="E316" s="76">
        <v>9046</v>
      </c>
      <c r="F316" s="76">
        <v>10913</v>
      </c>
      <c r="G316" s="76"/>
      <c r="H316" s="76">
        <v>28.679564209523814</v>
      </c>
      <c r="I316" s="76">
        <v>9232</v>
      </c>
      <c r="J316" s="76"/>
      <c r="K316" s="76">
        <v>277331</v>
      </c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76">
        <f t="shared" si="8"/>
        <v>348.06666666666666</v>
      </c>
      <c r="X316" s="69"/>
      <c r="Y316" s="76">
        <f t="shared" si="9"/>
        <v>5116.58</v>
      </c>
      <c r="Z316" s="69"/>
      <c r="AA316" s="76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</row>
    <row r="317" spans="1:37" s="140" customFormat="1" ht="12">
      <c r="A317" s="139">
        <v>39052</v>
      </c>
      <c r="B317" s="76">
        <v>11215</v>
      </c>
      <c r="C317" s="76">
        <v>212</v>
      </c>
      <c r="D317" s="76"/>
      <c r="E317" s="76">
        <v>9805</v>
      </c>
      <c r="F317" s="76">
        <v>11485</v>
      </c>
      <c r="G317" s="76"/>
      <c r="H317" s="76">
        <v>40.429110642857147</v>
      </c>
      <c r="I317" s="76">
        <v>8760</v>
      </c>
      <c r="J317" s="76"/>
      <c r="K317" s="76">
        <v>289478</v>
      </c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76">
        <f t="shared" si="8"/>
        <v>361.77419354838707</v>
      </c>
      <c r="X317" s="69"/>
      <c r="Y317" s="76">
        <f t="shared" si="9"/>
        <v>5318.0806451612898</v>
      </c>
      <c r="Z317" s="69"/>
      <c r="AA317" s="76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</row>
    <row r="318" spans="1:37" s="140" customFormat="1" ht="12">
      <c r="A318" s="139">
        <v>39083</v>
      </c>
      <c r="B318" s="76">
        <v>11621</v>
      </c>
      <c r="C318" s="76">
        <v>510</v>
      </c>
      <c r="D318" s="76"/>
      <c r="E318" s="76">
        <v>9900</v>
      </c>
      <c r="F318" s="76">
        <v>11081</v>
      </c>
      <c r="G318" s="76"/>
      <c r="H318" s="76">
        <v>159.32620630000002</v>
      </c>
      <c r="I318" s="76">
        <v>8656</v>
      </c>
      <c r="J318" s="76"/>
      <c r="K318" s="76">
        <v>275451</v>
      </c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76">
        <f t="shared" si="8"/>
        <v>374.87096774193549</v>
      </c>
      <c r="X318" s="69"/>
      <c r="Y318" s="76">
        <f t="shared" si="9"/>
        <v>5510.6032258064515</v>
      </c>
      <c r="Z318" s="69"/>
      <c r="AA318" s="76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</row>
    <row r="319" spans="1:37" s="140" customFormat="1" ht="12">
      <c r="A319" s="139">
        <v>39114</v>
      </c>
      <c r="B319" s="76">
        <v>10795</v>
      </c>
      <c r="C319" s="76">
        <v>505</v>
      </c>
      <c r="D319" s="76"/>
      <c r="E319" s="76">
        <v>9407</v>
      </c>
      <c r="F319" s="76">
        <v>10308</v>
      </c>
      <c r="G319" s="76"/>
      <c r="H319" s="76">
        <v>91.474054066666682</v>
      </c>
      <c r="I319" s="76">
        <v>8765</v>
      </c>
      <c r="J319" s="76"/>
      <c r="K319" s="76">
        <v>252180</v>
      </c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76">
        <f t="shared" si="8"/>
        <v>385.53571428571428</v>
      </c>
      <c r="X319" s="69"/>
      <c r="Y319" s="76">
        <f t="shared" si="9"/>
        <v>5667.375</v>
      </c>
      <c r="Z319" s="69"/>
      <c r="AA319" s="76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</row>
    <row r="320" spans="1:37" s="140" customFormat="1" ht="12">
      <c r="A320" s="139">
        <v>39142</v>
      </c>
      <c r="B320" s="76">
        <v>11892</v>
      </c>
      <c r="C320" s="76">
        <v>368</v>
      </c>
      <c r="D320" s="76"/>
      <c r="E320" s="76">
        <v>10194</v>
      </c>
      <c r="F320" s="76">
        <v>11140</v>
      </c>
      <c r="G320" s="76"/>
      <c r="H320" s="76">
        <v>184.13962497142859</v>
      </c>
      <c r="I320" s="76">
        <v>8539</v>
      </c>
      <c r="J320" s="76"/>
      <c r="K320" s="76">
        <v>284506</v>
      </c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76">
        <f t="shared" si="8"/>
        <v>383.61290322580646</v>
      </c>
      <c r="X320" s="69"/>
      <c r="Y320" s="76">
        <f t="shared" si="9"/>
        <v>5639.1096774193547</v>
      </c>
      <c r="Z320" s="69"/>
      <c r="AA320" s="76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</row>
    <row r="321" spans="1:37" s="140" customFormat="1" ht="12">
      <c r="A321" s="139">
        <v>39173</v>
      </c>
      <c r="B321" s="76">
        <v>11716</v>
      </c>
      <c r="C321" s="76">
        <v>1491</v>
      </c>
      <c r="D321" s="76"/>
      <c r="E321" s="76">
        <v>9972</v>
      </c>
      <c r="F321" s="76">
        <v>10437</v>
      </c>
      <c r="G321" s="76"/>
      <c r="H321" s="76">
        <v>277.60325600952382</v>
      </c>
      <c r="I321" s="76">
        <v>8807</v>
      </c>
      <c r="J321" s="76"/>
      <c r="K321" s="76">
        <v>276463</v>
      </c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76">
        <f t="shared" si="8"/>
        <v>390.53333333333336</v>
      </c>
      <c r="X321" s="69"/>
      <c r="Y321" s="76">
        <f t="shared" si="9"/>
        <v>5740.8400000000011</v>
      </c>
      <c r="Z321" s="69"/>
      <c r="AA321" s="76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</row>
    <row r="322" spans="1:37" s="140" customFormat="1" ht="12">
      <c r="A322" s="139">
        <v>39203</v>
      </c>
      <c r="B322" s="76">
        <v>12573</v>
      </c>
      <c r="C322" s="76">
        <v>962</v>
      </c>
      <c r="D322" s="76"/>
      <c r="E322" s="76">
        <v>10639</v>
      </c>
      <c r="F322" s="76">
        <v>11143</v>
      </c>
      <c r="G322" s="76"/>
      <c r="H322" s="76">
        <v>392.48293904761908</v>
      </c>
      <c r="I322" s="76">
        <v>8966</v>
      </c>
      <c r="J322" s="76"/>
      <c r="K322" s="76">
        <v>292463</v>
      </c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76">
        <f t="shared" si="8"/>
        <v>405.58064516129031</v>
      </c>
      <c r="X322" s="69"/>
      <c r="Y322" s="76">
        <f t="shared" si="9"/>
        <v>5962.0354838709673</v>
      </c>
      <c r="Z322" s="69"/>
      <c r="AA322" s="76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</row>
    <row r="323" spans="1:37" s="140" customFormat="1" ht="12">
      <c r="A323" s="139">
        <v>39234</v>
      </c>
      <c r="B323" s="76">
        <v>12553</v>
      </c>
      <c r="C323" s="76">
        <v>1571</v>
      </c>
      <c r="D323" s="76"/>
      <c r="E323" s="76">
        <v>10469</v>
      </c>
      <c r="F323" s="76">
        <v>11186</v>
      </c>
      <c r="G323" s="76"/>
      <c r="H323" s="76">
        <v>380.03398601904763</v>
      </c>
      <c r="I323" s="76">
        <v>9171</v>
      </c>
      <c r="J323" s="76"/>
      <c r="K323" s="76">
        <v>284741</v>
      </c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76">
        <f t="shared" si="8"/>
        <v>418.43333333333334</v>
      </c>
      <c r="X323" s="69"/>
      <c r="Y323" s="76">
        <f t="shared" si="9"/>
        <v>6150.97</v>
      </c>
      <c r="Z323" s="69"/>
      <c r="AA323" s="76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</row>
    <row r="324" spans="1:37" s="140" customFormat="1" ht="12">
      <c r="A324" s="139">
        <v>39264</v>
      </c>
      <c r="B324" s="76">
        <v>13083</v>
      </c>
      <c r="C324" s="76">
        <v>1459</v>
      </c>
      <c r="D324" s="76"/>
      <c r="E324" s="76">
        <v>10642</v>
      </c>
      <c r="F324" s="76">
        <v>11480</v>
      </c>
      <c r="G324" s="76"/>
      <c r="H324" s="76">
        <v>313.06391580952385</v>
      </c>
      <c r="I324" s="76">
        <v>9866</v>
      </c>
      <c r="J324" s="76"/>
      <c r="K324" s="76">
        <v>298827</v>
      </c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76">
        <f t="shared" si="8"/>
        <v>422.03225806451616</v>
      </c>
      <c r="X324" s="69"/>
      <c r="Y324" s="76">
        <f t="shared" si="9"/>
        <v>6203.8741935483877</v>
      </c>
      <c r="Z324" s="69"/>
      <c r="AA324" s="76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</row>
    <row r="325" spans="1:37" s="140" customFormat="1" ht="12">
      <c r="A325" s="139">
        <v>39295</v>
      </c>
      <c r="B325" s="76">
        <v>13581</v>
      </c>
      <c r="C325" s="76">
        <v>1931</v>
      </c>
      <c r="D325" s="76"/>
      <c r="E325" s="76">
        <v>11119</v>
      </c>
      <c r="F325" s="76">
        <v>11560</v>
      </c>
      <c r="G325" s="76"/>
      <c r="H325" s="76">
        <v>383.33564938571436</v>
      </c>
      <c r="I325" s="76">
        <v>11011</v>
      </c>
      <c r="J325" s="76"/>
      <c r="K325" s="76">
        <v>297041</v>
      </c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76">
        <f t="shared" si="8"/>
        <v>438.09677419354841</v>
      </c>
      <c r="X325" s="69"/>
      <c r="Y325" s="76">
        <f t="shared" si="9"/>
        <v>6440.0225806451617</v>
      </c>
      <c r="Z325" s="69"/>
      <c r="AA325" s="76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</row>
    <row r="326" spans="1:37" s="140" customFormat="1" ht="12">
      <c r="A326" s="139">
        <v>39326</v>
      </c>
      <c r="B326" s="76">
        <v>13402</v>
      </c>
      <c r="C326" s="76">
        <v>2466</v>
      </c>
      <c r="D326" s="76"/>
      <c r="E326" s="76">
        <v>11150</v>
      </c>
      <c r="F326" s="76">
        <v>11216</v>
      </c>
      <c r="G326" s="76"/>
      <c r="H326" s="76">
        <v>242.9325542095238</v>
      </c>
      <c r="I326" s="76">
        <v>11555</v>
      </c>
      <c r="J326" s="76"/>
      <c r="K326" s="76">
        <v>277627</v>
      </c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76">
        <f t="shared" ref="W326:W389" si="10">B326/(A327-A326)</f>
        <v>446.73333333333335</v>
      </c>
      <c r="X326" s="69"/>
      <c r="Y326" s="76">
        <f t="shared" ref="Y326:Y389" si="11">W326*350*42/1000</f>
        <v>6566.9800000000014</v>
      </c>
      <c r="Z326" s="69"/>
      <c r="AA326" s="76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</row>
    <row r="327" spans="1:37" s="140" customFormat="1" ht="12">
      <c r="A327" s="139">
        <v>39356</v>
      </c>
      <c r="B327" s="76">
        <v>14221</v>
      </c>
      <c r="C327" s="76">
        <v>606</v>
      </c>
      <c r="D327" s="76"/>
      <c r="E327" s="76">
        <v>11213</v>
      </c>
      <c r="F327" s="76">
        <v>12317</v>
      </c>
      <c r="G327" s="76"/>
      <c r="H327" s="76">
        <v>346.94577302380952</v>
      </c>
      <c r="I327" s="76">
        <v>11449</v>
      </c>
      <c r="J327" s="76"/>
      <c r="K327" s="76">
        <v>286318</v>
      </c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76">
        <f t="shared" si="10"/>
        <v>458.74193548387098</v>
      </c>
      <c r="X327" s="69"/>
      <c r="Y327" s="76">
        <f t="shared" si="11"/>
        <v>6743.5064516129041</v>
      </c>
      <c r="Z327" s="69"/>
      <c r="AA327" s="76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</row>
    <row r="328" spans="1:37" s="140" customFormat="1" ht="12">
      <c r="A328" s="139">
        <v>39387</v>
      </c>
      <c r="B328" s="76">
        <v>14568</v>
      </c>
      <c r="C328" s="76">
        <v>278</v>
      </c>
      <c r="D328" s="76"/>
      <c r="E328" s="76">
        <v>11464</v>
      </c>
      <c r="F328" s="76">
        <v>12088</v>
      </c>
      <c r="G328" s="76"/>
      <c r="H328" s="76">
        <v>397.42519005714291</v>
      </c>
      <c r="I328" s="76">
        <v>11218</v>
      </c>
      <c r="J328" s="76"/>
      <c r="K328" s="76">
        <v>276876</v>
      </c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76">
        <f t="shared" si="10"/>
        <v>485.6</v>
      </c>
      <c r="X328" s="69"/>
      <c r="Y328" s="76">
        <f t="shared" si="11"/>
        <v>7138.32</v>
      </c>
      <c r="Z328" s="69"/>
      <c r="AA328" s="76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</row>
    <row r="329" spans="1:37" s="140" customFormat="1" ht="12">
      <c r="A329" s="139">
        <v>39417</v>
      </c>
      <c r="B329" s="76">
        <v>15258</v>
      </c>
      <c r="C329" s="76">
        <v>463</v>
      </c>
      <c r="D329" s="76"/>
      <c r="E329" s="76">
        <v>11752</v>
      </c>
      <c r="F329" s="76">
        <v>12647</v>
      </c>
      <c r="G329" s="76"/>
      <c r="H329" s="76">
        <v>408.60523451904766</v>
      </c>
      <c r="I329" s="76">
        <v>10535</v>
      </c>
      <c r="J329" s="76"/>
      <c r="K329" s="76">
        <v>286777</v>
      </c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76">
        <f t="shared" si="10"/>
        <v>492.19354838709677</v>
      </c>
      <c r="X329" s="69"/>
      <c r="Y329" s="76">
        <f t="shared" si="11"/>
        <v>7235.2451612903233</v>
      </c>
      <c r="Z329" s="69"/>
      <c r="AA329" s="76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</row>
    <row r="330" spans="1:37" s="140" customFormat="1" ht="12">
      <c r="A330" s="139">
        <v>39448</v>
      </c>
      <c r="B330" s="76">
        <v>16058</v>
      </c>
      <c r="C330" s="76">
        <v>388</v>
      </c>
      <c r="D330" s="76"/>
      <c r="E330" s="76">
        <v>13294</v>
      </c>
      <c r="F330" s="76">
        <v>12956</v>
      </c>
      <c r="G330" s="76"/>
      <c r="H330" s="76">
        <v>435.13429879523812</v>
      </c>
      <c r="I330" s="76">
        <v>11383</v>
      </c>
      <c r="J330" s="76"/>
      <c r="K330" s="76">
        <v>273106</v>
      </c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76">
        <f t="shared" si="10"/>
        <v>518</v>
      </c>
      <c r="X330" s="69"/>
      <c r="Y330" s="76">
        <f t="shared" si="11"/>
        <v>7614.6</v>
      </c>
      <c r="Z330" s="69"/>
      <c r="AA330" s="76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</row>
    <row r="331" spans="1:37" s="140" customFormat="1" ht="12">
      <c r="A331" s="139">
        <v>39479</v>
      </c>
      <c r="B331" s="76">
        <v>15527</v>
      </c>
      <c r="C331" s="76">
        <v>56</v>
      </c>
      <c r="D331" s="76"/>
      <c r="E331" s="76">
        <v>12035</v>
      </c>
      <c r="F331" s="76">
        <v>12750</v>
      </c>
      <c r="G331" s="76"/>
      <c r="H331" s="76">
        <v>348.68364288095245</v>
      </c>
      <c r="I331" s="76">
        <v>11173</v>
      </c>
      <c r="J331" s="76"/>
      <c r="K331" s="76">
        <v>257120</v>
      </c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76">
        <f t="shared" si="10"/>
        <v>535.41379310344826</v>
      </c>
      <c r="X331" s="69"/>
      <c r="Y331" s="76">
        <f t="shared" si="11"/>
        <v>7870.5827586206897</v>
      </c>
      <c r="Z331" s="69"/>
      <c r="AA331" s="76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</row>
    <row r="332" spans="1:37" s="140" customFormat="1" ht="12">
      <c r="A332" s="139">
        <v>39508</v>
      </c>
      <c r="B332" s="76">
        <v>17527</v>
      </c>
      <c r="C332" s="76">
        <v>79</v>
      </c>
      <c r="D332" s="76"/>
      <c r="E332" s="76">
        <v>14426</v>
      </c>
      <c r="F332" s="76">
        <v>13679</v>
      </c>
      <c r="G332" s="76"/>
      <c r="H332" s="76">
        <v>513.26195017619045</v>
      </c>
      <c r="I332" s="76">
        <v>12288</v>
      </c>
      <c r="J332" s="76"/>
      <c r="K332" s="76">
        <v>281053</v>
      </c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76">
        <f t="shared" si="10"/>
        <v>565.38709677419354</v>
      </c>
      <c r="X332" s="69"/>
      <c r="Y332" s="76">
        <f t="shared" si="11"/>
        <v>8311.1903225806454</v>
      </c>
      <c r="Z332" s="69"/>
      <c r="AA332" s="76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</row>
    <row r="333" spans="1:37" s="140" customFormat="1" ht="12">
      <c r="A333" s="139">
        <v>39539</v>
      </c>
      <c r="B333" s="76">
        <v>17152</v>
      </c>
      <c r="C333" s="76">
        <v>166</v>
      </c>
      <c r="D333" s="76"/>
      <c r="E333" s="76">
        <v>12509</v>
      </c>
      <c r="F333" s="76">
        <v>13716</v>
      </c>
      <c r="G333" s="76"/>
      <c r="H333" s="76">
        <v>265.07012382857141</v>
      </c>
      <c r="I333" s="76">
        <v>12572</v>
      </c>
      <c r="J333" s="76"/>
      <c r="K333" s="76">
        <v>273367</v>
      </c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76">
        <f t="shared" si="10"/>
        <v>571.73333333333335</v>
      </c>
      <c r="X333" s="69"/>
      <c r="Y333" s="76">
        <f t="shared" si="11"/>
        <v>8404.48</v>
      </c>
      <c r="Z333" s="69"/>
      <c r="AA333" s="76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</row>
    <row r="334" spans="1:37" s="140" customFormat="1" ht="12">
      <c r="A334" s="139">
        <v>39569</v>
      </c>
      <c r="B334" s="76">
        <v>18756</v>
      </c>
      <c r="C334" s="76">
        <v>507</v>
      </c>
      <c r="D334" s="76"/>
      <c r="E334" s="76">
        <v>15320</v>
      </c>
      <c r="F334" s="76">
        <v>15557</v>
      </c>
      <c r="G334" s="76"/>
      <c r="H334" s="76">
        <v>352.80769794285715</v>
      </c>
      <c r="I334" s="76">
        <v>13297</v>
      </c>
      <c r="J334" s="76"/>
      <c r="K334" s="76">
        <v>286784</v>
      </c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76">
        <f t="shared" si="10"/>
        <v>605.0322580645161</v>
      </c>
      <c r="X334" s="69"/>
      <c r="Y334" s="76">
        <f t="shared" si="11"/>
        <v>8893.9741935483871</v>
      </c>
      <c r="Z334" s="69"/>
      <c r="AA334" s="76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</row>
    <row r="335" spans="1:37" s="140" customFormat="1" ht="12">
      <c r="A335" s="139">
        <v>39600</v>
      </c>
      <c r="B335" s="76">
        <v>17651</v>
      </c>
      <c r="C335" s="76">
        <v>705</v>
      </c>
      <c r="D335" s="76"/>
      <c r="E335" s="76">
        <v>14274</v>
      </c>
      <c r="F335" s="76">
        <v>15819</v>
      </c>
      <c r="G335" s="76"/>
      <c r="H335" s="76">
        <v>335.36900710000003</v>
      </c>
      <c r="I335" s="76">
        <v>13323</v>
      </c>
      <c r="J335" s="76"/>
      <c r="K335" s="76">
        <v>273291</v>
      </c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76">
        <f t="shared" si="10"/>
        <v>588.36666666666667</v>
      </c>
      <c r="X335" s="69"/>
      <c r="Y335" s="76">
        <f t="shared" si="11"/>
        <v>8648.99</v>
      </c>
      <c r="Z335" s="69"/>
      <c r="AA335" s="76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</row>
    <row r="336" spans="1:37" s="140" customFormat="1" ht="12">
      <c r="A336" s="139">
        <v>39630</v>
      </c>
      <c r="B336" s="76">
        <v>19040</v>
      </c>
      <c r="C336" s="76">
        <v>960</v>
      </c>
      <c r="D336" s="76"/>
      <c r="E336" s="76">
        <v>15214</v>
      </c>
      <c r="F336" s="76">
        <v>16548</v>
      </c>
      <c r="G336" s="76"/>
      <c r="H336" s="76">
        <v>316.44555629047619</v>
      </c>
      <c r="I336" s="76">
        <v>13448</v>
      </c>
      <c r="J336" s="76"/>
      <c r="K336" s="76">
        <v>283643</v>
      </c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76">
        <f t="shared" si="10"/>
        <v>614.19354838709683</v>
      </c>
      <c r="X336" s="69"/>
      <c r="Y336" s="76">
        <f t="shared" si="11"/>
        <v>9028.6451612903238</v>
      </c>
      <c r="Z336" s="69"/>
      <c r="AA336" s="76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</row>
    <row r="337" spans="1:37" s="140" customFormat="1" ht="12">
      <c r="A337" s="139">
        <v>39661</v>
      </c>
      <c r="B337" s="76">
        <v>20059</v>
      </c>
      <c r="C337" s="76">
        <v>983</v>
      </c>
      <c r="D337" s="76"/>
      <c r="E337" s="76">
        <v>16490</v>
      </c>
      <c r="F337" s="76">
        <v>17098</v>
      </c>
      <c r="G337" s="76"/>
      <c r="H337" s="76">
        <v>218.91681195238101</v>
      </c>
      <c r="I337" s="76">
        <v>14771</v>
      </c>
      <c r="J337" s="76"/>
      <c r="K337" s="76">
        <v>283161</v>
      </c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76">
        <f t="shared" si="10"/>
        <v>647.06451612903231</v>
      </c>
      <c r="X337" s="69"/>
      <c r="Y337" s="76">
        <f t="shared" si="11"/>
        <v>9511.8483870967739</v>
      </c>
      <c r="Z337" s="69"/>
      <c r="AA337" s="76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</row>
    <row r="338" spans="1:37" s="140" customFormat="1" ht="12">
      <c r="A338" s="139">
        <v>39692</v>
      </c>
      <c r="B338" s="76">
        <v>19338</v>
      </c>
      <c r="C338" s="76">
        <v>310</v>
      </c>
      <c r="D338" s="76"/>
      <c r="E338" s="76">
        <v>15260</v>
      </c>
      <c r="F338" s="76">
        <v>16387</v>
      </c>
      <c r="G338" s="76"/>
      <c r="H338" s="76">
        <v>294.18539787142862</v>
      </c>
      <c r="I338" s="76">
        <v>16110</v>
      </c>
      <c r="J338" s="76"/>
      <c r="K338" s="76">
        <v>254916</v>
      </c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76">
        <f t="shared" si="10"/>
        <v>644.6</v>
      </c>
      <c r="X338" s="69"/>
      <c r="Y338" s="76">
        <f t="shared" si="11"/>
        <v>9475.6200000000008</v>
      </c>
      <c r="Z338" s="69"/>
      <c r="AA338" s="76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</row>
    <row r="339" spans="1:37" s="140" customFormat="1" ht="12">
      <c r="A339" s="139">
        <v>39722</v>
      </c>
      <c r="B339" s="76">
        <v>20048</v>
      </c>
      <c r="C339" s="76">
        <v>269</v>
      </c>
      <c r="D339" s="76"/>
      <c r="E339" s="76">
        <v>17267</v>
      </c>
      <c r="F339" s="76">
        <v>18769</v>
      </c>
      <c r="G339" s="76"/>
      <c r="H339" s="76">
        <v>273.96736077142856</v>
      </c>
      <c r="I339" s="76">
        <v>15214</v>
      </c>
      <c r="J339" s="76"/>
      <c r="K339" s="76">
        <v>279751</v>
      </c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76">
        <f t="shared" si="10"/>
        <v>646.70967741935488</v>
      </c>
      <c r="X339" s="69"/>
      <c r="Y339" s="76">
        <f t="shared" si="11"/>
        <v>9506.6322580645174</v>
      </c>
      <c r="Z339" s="69"/>
      <c r="AA339" s="76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</row>
    <row r="340" spans="1:37" s="140" customFormat="1" ht="12">
      <c r="A340" s="139">
        <v>39753</v>
      </c>
      <c r="B340" s="76">
        <v>20139</v>
      </c>
      <c r="C340" s="76">
        <v>285</v>
      </c>
      <c r="D340" s="76"/>
      <c r="E340" s="76">
        <v>18006</v>
      </c>
      <c r="F340" s="76">
        <v>18212</v>
      </c>
      <c r="G340" s="76"/>
      <c r="H340" s="76">
        <v>294.41844743333331</v>
      </c>
      <c r="I340" s="76">
        <v>15286</v>
      </c>
      <c r="J340" s="76"/>
      <c r="K340" s="76">
        <v>267115</v>
      </c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76">
        <f t="shared" si="10"/>
        <v>671.3</v>
      </c>
      <c r="X340" s="69"/>
      <c r="Y340" s="76">
        <f t="shared" si="11"/>
        <v>9868.1099999999988</v>
      </c>
      <c r="Z340" s="69"/>
      <c r="AA340" s="76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</row>
    <row r="341" spans="1:37" s="140" customFormat="1" ht="12">
      <c r="A341" s="139">
        <v>39783</v>
      </c>
      <c r="B341" s="76">
        <v>20342</v>
      </c>
      <c r="C341" s="76">
        <v>12</v>
      </c>
      <c r="D341" s="76"/>
      <c r="E341" s="76">
        <v>17070</v>
      </c>
      <c r="F341" s="76">
        <v>18593</v>
      </c>
      <c r="G341" s="76"/>
      <c r="H341" s="76">
        <v>108.30029156666667</v>
      </c>
      <c r="I341" s="76">
        <v>14226</v>
      </c>
      <c r="J341" s="76"/>
      <c r="K341" s="76">
        <v>276748</v>
      </c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76">
        <f t="shared" si="10"/>
        <v>656.19354838709683</v>
      </c>
      <c r="X341" s="69"/>
      <c r="Y341" s="76">
        <f t="shared" si="11"/>
        <v>9646.0451612903234</v>
      </c>
      <c r="Z341" s="69"/>
      <c r="AA341" s="76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</row>
    <row r="342" spans="1:37" s="140" customFormat="1" ht="12">
      <c r="A342" s="139">
        <v>39814</v>
      </c>
      <c r="B342" s="76">
        <v>19561</v>
      </c>
      <c r="C342" s="76">
        <v>90</v>
      </c>
      <c r="D342" s="76"/>
      <c r="E342" s="76">
        <v>-1588</v>
      </c>
      <c r="F342" s="76">
        <v>18073</v>
      </c>
      <c r="G342" s="76">
        <v>0</v>
      </c>
      <c r="H342" s="76">
        <v>103.31217819628574</v>
      </c>
      <c r="I342" s="76">
        <v>14514</v>
      </c>
      <c r="J342" s="76">
        <f t="shared" ref="J342:J405" si="12">I341+B342+C342+E342-F342-G342-I342</f>
        <v>-298</v>
      </c>
      <c r="K342" s="76">
        <v>267311</v>
      </c>
      <c r="L342" s="103">
        <f>K342/K330-1</f>
        <v>-2.121886739947132E-2</v>
      </c>
      <c r="M342" s="103">
        <f t="shared" ref="M342:M405" si="13">F342/K342</f>
        <v>6.7610386403851697E-2</v>
      </c>
      <c r="N342" s="103">
        <f t="shared" ref="N342:N405" si="14">I342/F342</f>
        <v>0.80307641232778182</v>
      </c>
      <c r="O342" s="69"/>
      <c r="P342" s="69"/>
      <c r="Q342" s="69"/>
      <c r="R342" s="69"/>
      <c r="S342" s="69"/>
      <c r="T342" s="69"/>
      <c r="U342" s="69"/>
      <c r="V342" s="69"/>
      <c r="W342" s="76">
        <f t="shared" si="10"/>
        <v>631</v>
      </c>
      <c r="X342" s="69"/>
      <c r="Y342" s="76">
        <f t="shared" si="11"/>
        <v>9275.7000000000007</v>
      </c>
      <c r="Z342" s="69"/>
      <c r="AA342" s="76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</row>
    <row r="343" spans="1:37" s="140" customFormat="1" ht="12">
      <c r="A343" s="139">
        <v>39845</v>
      </c>
      <c r="B343" s="76">
        <v>18255</v>
      </c>
      <c r="C343" s="76">
        <v>37</v>
      </c>
      <c r="D343" s="76"/>
      <c r="E343" s="76">
        <v>114</v>
      </c>
      <c r="F343" s="76">
        <v>17105</v>
      </c>
      <c r="G343" s="76">
        <v>0</v>
      </c>
      <c r="H343" s="76">
        <v>110.23236501019048</v>
      </c>
      <c r="I343" s="76">
        <v>15834</v>
      </c>
      <c r="J343" s="76">
        <f t="shared" si="12"/>
        <v>-19</v>
      </c>
      <c r="K343" s="76">
        <v>247422</v>
      </c>
      <c r="L343" s="103">
        <f t="shared" ref="L343:L406" si="15">K343/K331-1</f>
        <v>-3.7717797137523323E-2</v>
      </c>
      <c r="M343" s="103">
        <f t="shared" si="13"/>
        <v>6.9132898448804062E-2</v>
      </c>
      <c r="N343" s="103">
        <f t="shared" si="14"/>
        <v>0.92569424144986845</v>
      </c>
      <c r="O343" s="69"/>
      <c r="P343" s="69"/>
      <c r="Q343" s="69"/>
      <c r="R343" s="69"/>
      <c r="S343" s="69"/>
      <c r="T343" s="69"/>
      <c r="U343" s="69"/>
      <c r="V343" s="69"/>
      <c r="W343" s="76">
        <f t="shared" si="10"/>
        <v>651.96428571428567</v>
      </c>
      <c r="X343" s="69"/>
      <c r="Y343" s="76">
        <f t="shared" si="11"/>
        <v>9583.8749999999982</v>
      </c>
      <c r="Z343" s="69"/>
      <c r="AA343" s="76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</row>
    <row r="344" spans="1:37" s="140" customFormat="1" ht="12">
      <c r="A344" s="139">
        <v>39873</v>
      </c>
      <c r="B344" s="76">
        <v>20121</v>
      </c>
      <c r="C344" s="76">
        <v>49</v>
      </c>
      <c r="D344" s="76"/>
      <c r="E344" s="76">
        <v>-486</v>
      </c>
      <c r="F344" s="76">
        <v>19137</v>
      </c>
      <c r="G344" s="76">
        <v>0</v>
      </c>
      <c r="H344" s="76">
        <v>125.40216535857138</v>
      </c>
      <c r="I344" s="76">
        <v>16411</v>
      </c>
      <c r="J344" s="76">
        <f t="shared" si="12"/>
        <v>-30</v>
      </c>
      <c r="K344" s="76">
        <v>275985</v>
      </c>
      <c r="L344" s="103">
        <f t="shared" si="15"/>
        <v>-1.8032186100130576E-2</v>
      </c>
      <c r="M344" s="103">
        <f t="shared" si="13"/>
        <v>6.9340725039404319E-2</v>
      </c>
      <c r="N344" s="103">
        <f t="shared" si="14"/>
        <v>0.85755343052725086</v>
      </c>
      <c r="O344" s="69"/>
      <c r="P344" s="69"/>
      <c r="Q344" s="69"/>
      <c r="R344" s="69"/>
      <c r="S344" s="69"/>
      <c r="T344" s="69"/>
      <c r="U344" s="69"/>
      <c r="V344" s="69"/>
      <c r="W344" s="76">
        <f t="shared" si="10"/>
        <v>649.06451612903231</v>
      </c>
      <c r="X344" s="69"/>
      <c r="Y344" s="76">
        <f t="shared" si="11"/>
        <v>9541.2483870967735</v>
      </c>
      <c r="Z344" s="69"/>
      <c r="AA344" s="76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</row>
    <row r="345" spans="1:37" s="140" customFormat="1" ht="12">
      <c r="A345" s="139">
        <v>39904</v>
      </c>
      <c r="B345" s="76">
        <v>19374</v>
      </c>
      <c r="C345" s="76">
        <v>46</v>
      </c>
      <c r="D345" s="76"/>
      <c r="E345" s="76">
        <v>-1377</v>
      </c>
      <c r="F345" s="76">
        <v>19252</v>
      </c>
      <c r="G345" s="76">
        <v>0</v>
      </c>
      <c r="H345" s="76">
        <v>131.17529218923818</v>
      </c>
      <c r="I345" s="76">
        <v>15322</v>
      </c>
      <c r="J345" s="76">
        <f t="shared" si="12"/>
        <v>-120</v>
      </c>
      <c r="K345" s="76">
        <v>270873</v>
      </c>
      <c r="L345" s="103">
        <f t="shared" si="15"/>
        <v>-9.1232665244890265E-3</v>
      </c>
      <c r="M345" s="103">
        <f t="shared" si="13"/>
        <v>7.1073898099847529E-2</v>
      </c>
      <c r="N345" s="103">
        <f t="shared" si="14"/>
        <v>0.79586536463744029</v>
      </c>
      <c r="O345" s="69"/>
      <c r="P345" s="69"/>
      <c r="Q345" s="69"/>
      <c r="R345" s="69"/>
      <c r="S345" s="69"/>
      <c r="T345" s="69"/>
      <c r="U345" s="69"/>
      <c r="V345" s="69"/>
      <c r="W345" s="76">
        <f t="shared" si="10"/>
        <v>645.79999999999995</v>
      </c>
      <c r="X345" s="69"/>
      <c r="Y345" s="76">
        <f t="shared" si="11"/>
        <v>9493.2599999999984</v>
      </c>
      <c r="Z345" s="69"/>
      <c r="AA345" s="76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</row>
    <row r="346" spans="1:37" s="140" customFormat="1" ht="12">
      <c r="A346" s="139">
        <v>39934</v>
      </c>
      <c r="B346" s="76">
        <v>21024</v>
      </c>
      <c r="C346" s="76">
        <v>46</v>
      </c>
      <c r="D346" s="76"/>
      <c r="E346" s="76">
        <v>-2672</v>
      </c>
      <c r="F346" s="76">
        <v>20008</v>
      </c>
      <c r="G346" s="76">
        <v>0</v>
      </c>
      <c r="H346" s="76">
        <v>251.66699696276186</v>
      </c>
      <c r="I346" s="76">
        <v>14173</v>
      </c>
      <c r="J346" s="76">
        <f t="shared" si="12"/>
        <v>-461</v>
      </c>
      <c r="K346" s="76">
        <v>281603</v>
      </c>
      <c r="L346" s="103">
        <f t="shared" si="15"/>
        <v>-1.8065861414862772E-2</v>
      </c>
      <c r="M346" s="103">
        <f t="shared" si="13"/>
        <v>7.1050379434878186E-2</v>
      </c>
      <c r="N346" s="103">
        <f t="shared" si="14"/>
        <v>0.70836665333866455</v>
      </c>
      <c r="O346" s="69"/>
      <c r="P346" s="69"/>
      <c r="Q346" s="69"/>
      <c r="R346" s="69"/>
      <c r="S346" s="69"/>
      <c r="T346" s="69"/>
      <c r="U346" s="69"/>
      <c r="V346" s="69"/>
      <c r="W346" s="76">
        <f t="shared" si="10"/>
        <v>678.19354838709683</v>
      </c>
      <c r="X346" s="69"/>
      <c r="Y346" s="76">
        <f t="shared" si="11"/>
        <v>9969.4451612903231</v>
      </c>
      <c r="Z346" s="69"/>
      <c r="AA346" s="76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</row>
    <row r="347" spans="1:37" s="140" customFormat="1" ht="12">
      <c r="A347" s="139">
        <v>39965</v>
      </c>
      <c r="B347" s="76">
        <v>21125</v>
      </c>
      <c r="C347" s="76">
        <v>46</v>
      </c>
      <c r="D347" s="76"/>
      <c r="E347" s="76">
        <v>-1870</v>
      </c>
      <c r="F347" s="76">
        <v>20159</v>
      </c>
      <c r="G347" s="76">
        <v>0</v>
      </c>
      <c r="H347" s="76">
        <v>351.15231666895249</v>
      </c>
      <c r="I347" s="76">
        <v>13974</v>
      </c>
      <c r="J347" s="76">
        <f t="shared" si="12"/>
        <v>-659</v>
      </c>
      <c r="K347" s="76">
        <v>275395</v>
      </c>
      <c r="L347" s="103">
        <f t="shared" si="15"/>
        <v>7.69875334350556E-3</v>
      </c>
      <c r="M347" s="103">
        <f t="shared" si="13"/>
        <v>7.320031227872692E-2</v>
      </c>
      <c r="N347" s="103">
        <f t="shared" si="14"/>
        <v>0.69318914628701822</v>
      </c>
      <c r="O347" s="69"/>
      <c r="P347" s="69"/>
      <c r="Q347" s="69"/>
      <c r="R347" s="69"/>
      <c r="S347" s="69"/>
      <c r="T347" s="69"/>
      <c r="U347" s="69"/>
      <c r="V347" s="69"/>
      <c r="W347" s="76">
        <f t="shared" si="10"/>
        <v>704.16666666666663</v>
      </c>
      <c r="X347" s="69"/>
      <c r="Y347" s="76">
        <f t="shared" si="11"/>
        <v>10351.25</v>
      </c>
      <c r="Z347" s="69"/>
      <c r="AA347" s="76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</row>
    <row r="348" spans="1:37" s="140" customFormat="1" ht="12">
      <c r="A348" s="139">
        <v>39995</v>
      </c>
      <c r="B348" s="76">
        <v>22887</v>
      </c>
      <c r="C348" s="76">
        <v>25</v>
      </c>
      <c r="D348" s="76"/>
      <c r="E348" s="76">
        <v>-2636</v>
      </c>
      <c r="F348" s="76">
        <v>20962</v>
      </c>
      <c r="G348" s="76">
        <v>0</v>
      </c>
      <c r="H348" s="76">
        <v>136.84575045904759</v>
      </c>
      <c r="I348" s="76">
        <v>14223</v>
      </c>
      <c r="J348" s="76">
        <f t="shared" si="12"/>
        <v>-935</v>
      </c>
      <c r="K348" s="76">
        <v>287073</v>
      </c>
      <c r="L348" s="103">
        <f t="shared" si="15"/>
        <v>1.2092665780576217E-2</v>
      </c>
      <c r="M348" s="103">
        <f t="shared" si="13"/>
        <v>7.301975455720322E-2</v>
      </c>
      <c r="N348" s="103">
        <f t="shared" si="14"/>
        <v>0.6785135006201698</v>
      </c>
      <c r="O348" s="69"/>
      <c r="P348" s="69"/>
      <c r="Q348" s="69"/>
      <c r="R348" s="69"/>
      <c r="S348" s="69"/>
      <c r="T348" s="69"/>
      <c r="U348" s="69"/>
      <c r="V348" s="69"/>
      <c r="W348" s="76">
        <f t="shared" si="10"/>
        <v>738.29032258064512</v>
      </c>
      <c r="X348" s="69"/>
      <c r="Y348" s="76">
        <f t="shared" si="11"/>
        <v>10852.867741935483</v>
      </c>
      <c r="Z348" s="69"/>
      <c r="AA348" s="76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</row>
    <row r="349" spans="1:37" s="140" customFormat="1" ht="12">
      <c r="A349" s="139">
        <v>40026</v>
      </c>
      <c r="B349" s="76">
        <v>23136</v>
      </c>
      <c r="C349" s="76">
        <v>12</v>
      </c>
      <c r="D349" s="76"/>
      <c r="E349" s="76">
        <v>-2704</v>
      </c>
      <c r="F349" s="76">
        <v>20967</v>
      </c>
      <c r="G349" s="76">
        <v>0</v>
      </c>
      <c r="H349" s="76">
        <v>285.43390228942854</v>
      </c>
      <c r="I349" s="76">
        <v>14671</v>
      </c>
      <c r="J349" s="76">
        <f t="shared" si="12"/>
        <v>-971</v>
      </c>
      <c r="K349" s="76">
        <v>288139</v>
      </c>
      <c r="L349" s="103">
        <f t="shared" si="15"/>
        <v>1.758010460480075E-2</v>
      </c>
      <c r="M349" s="103">
        <f t="shared" si="13"/>
        <v>7.276696316708256E-2</v>
      </c>
      <c r="N349" s="103">
        <f t="shared" si="14"/>
        <v>0.69971860542757669</v>
      </c>
      <c r="O349" s="69"/>
      <c r="P349" s="69"/>
      <c r="Q349" s="69"/>
      <c r="R349" s="69"/>
      <c r="S349" s="69"/>
      <c r="T349" s="69"/>
      <c r="U349" s="69"/>
      <c r="V349" s="69"/>
      <c r="W349" s="76">
        <f t="shared" si="10"/>
        <v>746.32258064516134</v>
      </c>
      <c r="X349" s="69"/>
      <c r="Y349" s="76">
        <f t="shared" si="11"/>
        <v>10970.941935483872</v>
      </c>
      <c r="Z349" s="69"/>
      <c r="AA349" s="76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</row>
    <row r="350" spans="1:37" s="140" customFormat="1" ht="12">
      <c r="A350" s="139">
        <v>40057</v>
      </c>
      <c r="B350" s="76">
        <v>22218</v>
      </c>
      <c r="C350" s="76">
        <v>5</v>
      </c>
      <c r="D350" s="76"/>
      <c r="E350" s="76">
        <v>-1721</v>
      </c>
      <c r="F350" s="76">
        <v>20195</v>
      </c>
      <c r="G350" s="76">
        <v>0</v>
      </c>
      <c r="H350" s="76">
        <v>302.30422812028587</v>
      </c>
      <c r="I350" s="76">
        <v>15283</v>
      </c>
      <c r="J350" s="76">
        <f t="shared" si="12"/>
        <v>-305</v>
      </c>
      <c r="K350" s="76">
        <v>267318</v>
      </c>
      <c r="L350" s="103">
        <f t="shared" si="15"/>
        <v>4.8651320434966783E-2</v>
      </c>
      <c r="M350" s="103">
        <f t="shared" si="13"/>
        <v>7.5546727119011808E-2</v>
      </c>
      <c r="N350" s="103">
        <f t="shared" si="14"/>
        <v>0.75677147808863576</v>
      </c>
      <c r="O350" s="69"/>
      <c r="P350" s="69"/>
      <c r="Q350" s="69"/>
      <c r="R350" s="69"/>
      <c r="S350" s="69"/>
      <c r="T350" s="69"/>
      <c r="U350" s="69"/>
      <c r="V350" s="69"/>
      <c r="W350" s="76">
        <f t="shared" si="10"/>
        <v>740.6</v>
      </c>
      <c r="X350" s="69"/>
      <c r="Y350" s="76">
        <f t="shared" si="11"/>
        <v>10886.82</v>
      </c>
      <c r="Z350" s="69"/>
      <c r="AA350" s="76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</row>
    <row r="351" spans="1:37" s="140" customFormat="1" ht="12">
      <c r="A351" s="139">
        <v>40087</v>
      </c>
      <c r="B351" s="76">
        <v>23467</v>
      </c>
      <c r="C351" s="76">
        <v>4</v>
      </c>
      <c r="D351" s="76"/>
      <c r="E351" s="76">
        <v>-2224</v>
      </c>
      <c r="F351" s="76">
        <v>21862</v>
      </c>
      <c r="G351" s="76">
        <v>0</v>
      </c>
      <c r="H351" s="76">
        <v>126.45479643142853</v>
      </c>
      <c r="I351" s="76">
        <v>14933</v>
      </c>
      <c r="J351" s="76">
        <f t="shared" si="12"/>
        <v>-265</v>
      </c>
      <c r="K351" s="76">
        <v>278577</v>
      </c>
      <c r="L351" s="103">
        <f t="shared" si="15"/>
        <v>-4.1965891096010788E-3</v>
      </c>
      <c r="M351" s="103">
        <f t="shared" si="13"/>
        <v>7.8477404810878143E-2</v>
      </c>
      <c r="N351" s="103">
        <f t="shared" si="14"/>
        <v>0.6830573598023969</v>
      </c>
      <c r="O351" s="69"/>
      <c r="P351" s="69"/>
      <c r="Q351" s="69"/>
      <c r="R351" s="69"/>
      <c r="S351" s="69"/>
      <c r="T351" s="69"/>
      <c r="U351" s="69"/>
      <c r="V351" s="69"/>
      <c r="W351" s="76">
        <f t="shared" si="10"/>
        <v>757</v>
      </c>
      <c r="X351" s="69"/>
      <c r="Y351" s="76">
        <f t="shared" si="11"/>
        <v>11127.9</v>
      </c>
      <c r="Z351" s="69"/>
      <c r="AA351" s="76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</row>
    <row r="352" spans="1:37" s="140" customFormat="1" ht="12">
      <c r="A352" s="139">
        <v>40118</v>
      </c>
      <c r="B352" s="76">
        <v>24122</v>
      </c>
      <c r="C352" s="76">
        <v>7</v>
      </c>
      <c r="D352" s="76"/>
      <c r="E352" s="76">
        <v>-2839</v>
      </c>
      <c r="F352" s="76">
        <v>20923</v>
      </c>
      <c r="G352" s="76">
        <v>0</v>
      </c>
      <c r="H352" s="76">
        <v>351.88372716942848</v>
      </c>
      <c r="I352" s="76">
        <v>15578</v>
      </c>
      <c r="J352" s="76">
        <f t="shared" si="12"/>
        <v>-278</v>
      </c>
      <c r="K352" s="76">
        <v>267169</v>
      </c>
      <c r="L352" s="103">
        <f t="shared" si="15"/>
        <v>2.0216011830109792E-4</v>
      </c>
      <c r="M352" s="103">
        <f t="shared" si="13"/>
        <v>7.8313726517672336E-2</v>
      </c>
      <c r="N352" s="103">
        <f t="shared" si="14"/>
        <v>0.74453950198346319</v>
      </c>
      <c r="O352" s="69"/>
      <c r="P352" s="69"/>
      <c r="Q352" s="69"/>
      <c r="R352" s="69"/>
      <c r="S352" s="69"/>
      <c r="T352" s="69"/>
      <c r="U352" s="69"/>
      <c r="V352" s="69"/>
      <c r="W352" s="76">
        <f t="shared" si="10"/>
        <v>804.06666666666672</v>
      </c>
      <c r="X352" s="69"/>
      <c r="Y352" s="76">
        <f t="shared" si="11"/>
        <v>11819.780000000002</v>
      </c>
      <c r="Z352" s="69"/>
      <c r="AA352" s="76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</row>
    <row r="353" spans="1:37" s="140" customFormat="1" ht="12">
      <c r="A353" s="139">
        <v>40148</v>
      </c>
      <c r="B353" s="76">
        <v>25134</v>
      </c>
      <c r="C353" s="76">
        <v>6</v>
      </c>
      <c r="D353" s="76"/>
      <c r="E353" s="76">
        <v>-1818</v>
      </c>
      <c r="F353" s="76">
        <v>22312</v>
      </c>
      <c r="G353" s="76">
        <v>0</v>
      </c>
      <c r="H353" s="76">
        <v>421.71779035352375</v>
      </c>
      <c r="I353" s="76">
        <v>16594</v>
      </c>
      <c r="J353" s="76">
        <f t="shared" si="12"/>
        <v>-6</v>
      </c>
      <c r="K353" s="76">
        <v>276866</v>
      </c>
      <c r="L353" s="103">
        <f t="shared" si="15"/>
        <v>4.2638067845124361E-4</v>
      </c>
      <c r="M353" s="103">
        <f t="shared" si="13"/>
        <v>8.0587721135856341E-2</v>
      </c>
      <c r="N353" s="103">
        <f t="shared" si="14"/>
        <v>0.74372534958766578</v>
      </c>
      <c r="O353" s="76">
        <f>SUM(K342:K353)*42/1000</f>
        <v>137916.70199999999</v>
      </c>
      <c r="P353" s="69"/>
      <c r="Q353" s="69"/>
      <c r="R353" s="69"/>
      <c r="S353" s="69"/>
      <c r="T353" s="69"/>
      <c r="U353" s="69"/>
      <c r="V353" s="69"/>
      <c r="W353" s="76">
        <f t="shared" si="10"/>
        <v>810.77419354838707</v>
      </c>
      <c r="X353" s="69"/>
      <c r="Y353" s="76">
        <f t="shared" si="11"/>
        <v>11918.380645161289</v>
      </c>
      <c r="Z353" s="69"/>
      <c r="AA353" s="76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</row>
    <row r="354" spans="1:37" s="140" customFormat="1" ht="12">
      <c r="A354" s="139">
        <v>40179</v>
      </c>
      <c r="B354" s="76">
        <v>25625</v>
      </c>
      <c r="C354" s="76">
        <v>5</v>
      </c>
      <c r="D354" s="76">
        <v>509.04180222787721</v>
      </c>
      <c r="E354" s="76">
        <v>-2103</v>
      </c>
      <c r="F354" s="76">
        <v>21631</v>
      </c>
      <c r="G354" s="76">
        <v>324</v>
      </c>
      <c r="H354" s="76">
        <v>322.24988901623664</v>
      </c>
      <c r="I354" s="76">
        <v>18251</v>
      </c>
      <c r="J354" s="76">
        <f t="shared" si="12"/>
        <v>-85</v>
      </c>
      <c r="K354" s="76">
        <v>264106</v>
      </c>
      <c r="L354" s="103">
        <f t="shared" si="15"/>
        <v>-1.1989779694812408E-2</v>
      </c>
      <c r="M354" s="103">
        <f t="shared" si="13"/>
        <v>8.1902720877223542E-2</v>
      </c>
      <c r="N354" s="103">
        <f t="shared" si="14"/>
        <v>0.84374277657066243</v>
      </c>
      <c r="O354" s="76">
        <f t="shared" ref="O354:O417" si="16">SUM(K343:K354)*42/1000</f>
        <v>137782.092</v>
      </c>
      <c r="P354" s="69"/>
      <c r="Q354" s="69"/>
      <c r="R354" s="69"/>
      <c r="S354" s="69"/>
      <c r="T354" s="69"/>
      <c r="U354" s="69"/>
      <c r="V354" s="69"/>
      <c r="W354" s="76">
        <f t="shared" si="10"/>
        <v>826.61290322580646</v>
      </c>
      <c r="X354" s="69"/>
      <c r="Y354" s="76">
        <f t="shared" si="11"/>
        <v>12151.209677419352</v>
      </c>
      <c r="Z354" s="69"/>
      <c r="AA354" s="76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</row>
    <row r="355" spans="1:37" s="140" customFormat="1" ht="12">
      <c r="A355" s="139">
        <v>40210</v>
      </c>
      <c r="B355" s="76">
        <v>23802</v>
      </c>
      <c r="C355" s="76">
        <v>71</v>
      </c>
      <c r="D355" s="76">
        <v>91.425153543787985</v>
      </c>
      <c r="E355" s="76">
        <v>-1709</v>
      </c>
      <c r="F355" s="76">
        <v>20565</v>
      </c>
      <c r="G355" s="76">
        <v>519</v>
      </c>
      <c r="H355" s="76">
        <v>516.87451356153031</v>
      </c>
      <c r="I355" s="76">
        <v>19297</v>
      </c>
      <c r="J355" s="76">
        <f t="shared" si="12"/>
        <v>34</v>
      </c>
      <c r="K355" s="76">
        <v>240222</v>
      </c>
      <c r="L355" s="103">
        <f t="shared" si="15"/>
        <v>-2.9100080025220021E-2</v>
      </c>
      <c r="M355" s="103">
        <f t="shared" si="13"/>
        <v>8.5608312311112225E-2</v>
      </c>
      <c r="N355" s="103">
        <f t="shared" si="14"/>
        <v>0.93834184293702894</v>
      </c>
      <c r="O355" s="76">
        <f t="shared" si="16"/>
        <v>137479.69200000001</v>
      </c>
      <c r="P355" s="69"/>
      <c r="Q355" s="69"/>
      <c r="R355" s="69"/>
      <c r="S355" s="69"/>
      <c r="T355" s="69"/>
      <c r="U355" s="69"/>
      <c r="V355" s="69"/>
      <c r="W355" s="76">
        <f t="shared" si="10"/>
        <v>850.07142857142856</v>
      </c>
      <c r="X355" s="69"/>
      <c r="Y355" s="76">
        <f t="shared" si="11"/>
        <v>12496.05</v>
      </c>
      <c r="Z355" s="69"/>
      <c r="AA355" s="76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</row>
    <row r="356" spans="1:37" s="140" customFormat="1" ht="12">
      <c r="A356" s="139">
        <v>40238</v>
      </c>
      <c r="B356" s="76">
        <v>26486</v>
      </c>
      <c r="C356" s="76">
        <v>305</v>
      </c>
      <c r="D356" s="76">
        <v>513.99687974920244</v>
      </c>
      <c r="E356" s="76">
        <v>-883</v>
      </c>
      <c r="F356" s="76">
        <v>23574</v>
      </c>
      <c r="G356" s="76">
        <v>1153</v>
      </c>
      <c r="H356" s="76">
        <v>1041.5170099835698</v>
      </c>
      <c r="I356" s="76">
        <v>20222</v>
      </c>
      <c r="J356" s="76">
        <f t="shared" si="12"/>
        <v>256</v>
      </c>
      <c r="K356" s="76">
        <v>272578</v>
      </c>
      <c r="L356" s="103">
        <f t="shared" si="15"/>
        <v>-1.2344873815605895E-2</v>
      </c>
      <c r="M356" s="103">
        <f t="shared" si="13"/>
        <v>8.6485336307405583E-2</v>
      </c>
      <c r="N356" s="103">
        <f t="shared" si="14"/>
        <v>0.85780945109018414</v>
      </c>
      <c r="O356" s="76">
        <f t="shared" si="16"/>
        <v>137336.598</v>
      </c>
      <c r="P356" s="69"/>
      <c r="Q356" s="69"/>
      <c r="R356" s="69"/>
      <c r="S356" s="69"/>
      <c r="T356" s="69"/>
      <c r="U356" s="69"/>
      <c r="V356" s="69"/>
      <c r="W356" s="76">
        <f t="shared" si="10"/>
        <v>854.38709677419354</v>
      </c>
      <c r="X356" s="69"/>
      <c r="Y356" s="76">
        <f t="shared" si="11"/>
        <v>12559.490322580647</v>
      </c>
      <c r="Z356" s="69"/>
      <c r="AA356" s="76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</row>
    <row r="357" spans="1:37" s="140" customFormat="1" ht="12">
      <c r="A357" s="139">
        <v>40269</v>
      </c>
      <c r="B357" s="76">
        <v>25384</v>
      </c>
      <c r="C357" s="76">
        <v>581</v>
      </c>
      <c r="D357" s="76">
        <v>85.570871671320489</v>
      </c>
      <c r="E357" s="76">
        <v>-1208</v>
      </c>
      <c r="F357" s="76">
        <v>23429</v>
      </c>
      <c r="G357" s="76">
        <v>973</v>
      </c>
      <c r="H357" s="76">
        <v>1027.9908536044595</v>
      </c>
      <c r="I357" s="76">
        <v>20042</v>
      </c>
      <c r="J357" s="76">
        <f t="shared" si="12"/>
        <v>535</v>
      </c>
      <c r="K357" s="76">
        <v>273234</v>
      </c>
      <c r="L357" s="103">
        <f t="shared" si="15"/>
        <v>8.7162618644160972E-3</v>
      </c>
      <c r="M357" s="103">
        <f t="shared" si="13"/>
        <v>8.5747015378759603E-2</v>
      </c>
      <c r="N357" s="103">
        <f t="shared" si="14"/>
        <v>0.85543557130052494</v>
      </c>
      <c r="O357" s="76">
        <f t="shared" si="16"/>
        <v>137435.76</v>
      </c>
      <c r="P357" s="69"/>
      <c r="Q357" s="69"/>
      <c r="R357" s="69"/>
      <c r="S357" s="69"/>
      <c r="T357" s="69"/>
      <c r="U357" s="69"/>
      <c r="V357" s="69"/>
      <c r="W357" s="76">
        <f t="shared" si="10"/>
        <v>846.13333333333333</v>
      </c>
      <c r="X357" s="69"/>
      <c r="Y357" s="76">
        <f t="shared" si="11"/>
        <v>12438.16</v>
      </c>
      <c r="Z357" s="69"/>
      <c r="AA357" s="76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</row>
    <row r="358" spans="1:37" s="140" customFormat="1" ht="12">
      <c r="A358" s="139">
        <v>40299</v>
      </c>
      <c r="B358" s="76">
        <v>26244</v>
      </c>
      <c r="C358" s="76">
        <v>780</v>
      </c>
      <c r="D358" s="76">
        <v>176.55116555909336</v>
      </c>
      <c r="E358" s="76">
        <v>-1666</v>
      </c>
      <c r="F358" s="76">
        <v>24401</v>
      </c>
      <c r="G358" s="76">
        <v>414</v>
      </c>
      <c r="H358" s="76">
        <v>471.29478080062029</v>
      </c>
      <c r="I358" s="76">
        <v>19851</v>
      </c>
      <c r="J358" s="76">
        <f t="shared" si="12"/>
        <v>734</v>
      </c>
      <c r="K358" s="76">
        <v>284037</v>
      </c>
      <c r="L358" s="103">
        <f t="shared" si="15"/>
        <v>8.6433738276936456E-3</v>
      </c>
      <c r="M358" s="103">
        <f t="shared" si="13"/>
        <v>8.5907821868277723E-2</v>
      </c>
      <c r="N358" s="103">
        <f t="shared" si="14"/>
        <v>0.81353223228556204</v>
      </c>
      <c r="O358" s="76">
        <f t="shared" si="16"/>
        <v>137537.98800000001</v>
      </c>
      <c r="P358" s="69"/>
      <c r="Q358" s="69"/>
      <c r="R358" s="69"/>
      <c r="S358" s="69"/>
      <c r="T358" s="69"/>
      <c r="U358" s="69"/>
      <c r="V358" s="69"/>
      <c r="W358" s="76">
        <f t="shared" si="10"/>
        <v>846.58064516129036</v>
      </c>
      <c r="X358" s="69"/>
      <c r="Y358" s="76">
        <f t="shared" si="11"/>
        <v>12444.735483870969</v>
      </c>
      <c r="Z358" s="69"/>
      <c r="AA358" s="76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</row>
    <row r="359" spans="1:37" s="140" customFormat="1" ht="12">
      <c r="A359" s="139">
        <v>40330</v>
      </c>
      <c r="B359" s="76">
        <v>25632</v>
      </c>
      <c r="C359" s="76">
        <v>507</v>
      </c>
      <c r="D359" s="76">
        <v>219.9992238369851</v>
      </c>
      <c r="E359" s="76">
        <v>-2655</v>
      </c>
      <c r="F359" s="76">
        <v>23922</v>
      </c>
      <c r="G359" s="76">
        <v>387</v>
      </c>
      <c r="H359" s="76">
        <v>382.36307924624379</v>
      </c>
      <c r="I359" s="76">
        <v>18565</v>
      </c>
      <c r="J359" s="76">
        <f t="shared" si="12"/>
        <v>461</v>
      </c>
      <c r="K359" s="76">
        <v>279329</v>
      </c>
      <c r="L359" s="103">
        <f t="shared" si="15"/>
        <v>1.4284936182574093E-2</v>
      </c>
      <c r="M359" s="103">
        <f t="shared" si="13"/>
        <v>8.5640946697263798E-2</v>
      </c>
      <c r="N359" s="103">
        <f t="shared" si="14"/>
        <v>0.77606387425800516</v>
      </c>
      <c r="O359" s="76">
        <f t="shared" si="16"/>
        <v>137703.21599999999</v>
      </c>
      <c r="P359" s="69"/>
      <c r="Q359" s="69"/>
      <c r="R359" s="69"/>
      <c r="S359" s="69"/>
      <c r="T359" s="69"/>
      <c r="U359" s="69"/>
      <c r="V359" s="69"/>
      <c r="W359" s="76">
        <f t="shared" si="10"/>
        <v>854.4</v>
      </c>
      <c r="X359" s="69"/>
      <c r="Y359" s="76">
        <f t="shared" si="11"/>
        <v>12559.68</v>
      </c>
      <c r="Z359" s="69"/>
      <c r="AA359" s="76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</row>
    <row r="360" spans="1:37" s="140" customFormat="1" ht="12">
      <c r="A360" s="139">
        <v>40360</v>
      </c>
      <c r="B360" s="76">
        <v>26584</v>
      </c>
      <c r="C360" s="76">
        <v>723</v>
      </c>
      <c r="D360" s="76">
        <v>240.98913736588389</v>
      </c>
      <c r="E360" s="76">
        <v>-1538</v>
      </c>
      <c r="F360" s="76">
        <v>25224</v>
      </c>
      <c r="G360" s="76">
        <v>603</v>
      </c>
      <c r="H360" s="76">
        <v>599.15256710570816</v>
      </c>
      <c r="I360" s="76">
        <v>17809</v>
      </c>
      <c r="J360" s="76">
        <f t="shared" si="12"/>
        <v>698</v>
      </c>
      <c r="K360" s="76">
        <v>288327</v>
      </c>
      <c r="L360" s="103">
        <f t="shared" si="15"/>
        <v>4.3682268969913451E-3</v>
      </c>
      <c r="M360" s="103">
        <f t="shared" si="13"/>
        <v>8.7484002538784092E-2</v>
      </c>
      <c r="N360" s="103">
        <f t="shared" si="14"/>
        <v>0.70603393593403108</v>
      </c>
      <c r="O360" s="76">
        <f t="shared" si="16"/>
        <v>137755.88399999999</v>
      </c>
      <c r="P360" s="69"/>
      <c r="Q360" s="69"/>
      <c r="R360" s="69"/>
      <c r="S360" s="69"/>
      <c r="T360" s="69"/>
      <c r="U360" s="69"/>
      <c r="V360" s="69"/>
      <c r="W360" s="76">
        <f t="shared" si="10"/>
        <v>857.54838709677415</v>
      </c>
      <c r="X360" s="69"/>
      <c r="Y360" s="76">
        <f t="shared" si="11"/>
        <v>12605.961290322581</v>
      </c>
      <c r="Z360" s="69"/>
      <c r="AA360" s="76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</row>
    <row r="361" spans="1:37" s="140" customFormat="1" ht="12">
      <c r="A361" s="139">
        <v>40391</v>
      </c>
      <c r="B361" s="76">
        <v>26964</v>
      </c>
      <c r="C361" s="76">
        <v>1120</v>
      </c>
      <c r="D361" s="76">
        <v>204.95474416119734</v>
      </c>
      <c r="E361" s="76">
        <v>-1603</v>
      </c>
      <c r="F361" s="76">
        <v>25095</v>
      </c>
      <c r="G361" s="76">
        <v>707</v>
      </c>
      <c r="H361" s="76">
        <v>649.58997962226135</v>
      </c>
      <c r="I361" s="76">
        <v>17380</v>
      </c>
      <c r="J361" s="76">
        <f t="shared" si="12"/>
        <v>1108</v>
      </c>
      <c r="K361" s="76">
        <v>286918</v>
      </c>
      <c r="L361" s="103">
        <f t="shared" si="15"/>
        <v>-4.2375381326373862E-3</v>
      </c>
      <c r="M361" s="103">
        <f t="shared" si="13"/>
        <v>8.7464014108560639E-2</v>
      </c>
      <c r="N361" s="103">
        <f t="shared" si="14"/>
        <v>0.69256824068539546</v>
      </c>
      <c r="O361" s="76">
        <f t="shared" si="16"/>
        <v>137704.60200000001</v>
      </c>
      <c r="P361" s="69"/>
      <c r="Q361" s="69"/>
      <c r="R361" s="69"/>
      <c r="S361" s="69"/>
      <c r="T361" s="69"/>
      <c r="U361" s="69"/>
      <c r="V361" s="69"/>
      <c r="W361" s="76">
        <f t="shared" si="10"/>
        <v>869.80645161290317</v>
      </c>
      <c r="X361" s="69"/>
      <c r="Y361" s="76">
        <f t="shared" si="11"/>
        <v>12786.154838709677</v>
      </c>
      <c r="Z361" s="69"/>
      <c r="AA361" s="76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</row>
    <row r="362" spans="1:37" s="140" customFormat="1" ht="12">
      <c r="A362" s="139">
        <v>40422</v>
      </c>
      <c r="B362" s="76">
        <v>26221</v>
      </c>
      <c r="C362" s="76">
        <v>46</v>
      </c>
      <c r="D362" s="76">
        <v>174.96476131855127</v>
      </c>
      <c r="E362" s="76">
        <v>-1431</v>
      </c>
      <c r="F362" s="76">
        <v>23809</v>
      </c>
      <c r="G362" s="76">
        <v>929</v>
      </c>
      <c r="H362" s="76">
        <v>945.50374552118092</v>
      </c>
      <c r="I362" s="76">
        <v>17437</v>
      </c>
      <c r="J362" s="76">
        <f t="shared" si="12"/>
        <v>41</v>
      </c>
      <c r="K362" s="76">
        <v>273368</v>
      </c>
      <c r="L362" s="103">
        <f t="shared" si="15"/>
        <v>2.263222080069438E-2</v>
      </c>
      <c r="M362" s="103">
        <f t="shared" si="13"/>
        <v>8.7095051359339787E-2</v>
      </c>
      <c r="N362" s="103">
        <f t="shared" si="14"/>
        <v>0.73237011214246717</v>
      </c>
      <c r="O362" s="76">
        <f t="shared" si="16"/>
        <v>137958.70199999999</v>
      </c>
      <c r="P362" s="69"/>
      <c r="Q362" s="69"/>
      <c r="R362" s="69"/>
      <c r="S362" s="69"/>
      <c r="T362" s="69"/>
      <c r="U362" s="69"/>
      <c r="V362" s="69"/>
      <c r="W362" s="76">
        <f t="shared" si="10"/>
        <v>874.0333333333333</v>
      </c>
      <c r="X362" s="69"/>
      <c r="Y362" s="76">
        <f t="shared" si="11"/>
        <v>12848.289999999997</v>
      </c>
      <c r="Z362" s="69"/>
      <c r="AA362" s="76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</row>
    <row r="363" spans="1:37" s="140" customFormat="1" ht="12">
      <c r="A363" s="139">
        <v>40452</v>
      </c>
      <c r="B363" s="76">
        <v>27471</v>
      </c>
      <c r="C363" s="76">
        <v>7</v>
      </c>
      <c r="D363" s="76">
        <v>284.20271138774552</v>
      </c>
      <c r="E363" s="76">
        <v>-1735</v>
      </c>
      <c r="F363" s="76">
        <v>25065</v>
      </c>
      <c r="G363" s="76">
        <v>834</v>
      </c>
      <c r="H363" s="76">
        <v>962.0139216221279</v>
      </c>
      <c r="I363" s="76">
        <v>17278</v>
      </c>
      <c r="J363" s="76">
        <f t="shared" si="12"/>
        <v>3</v>
      </c>
      <c r="K363" s="76">
        <v>279484</v>
      </c>
      <c r="L363" s="103">
        <f t="shared" si="15"/>
        <v>3.2558323192510841E-3</v>
      </c>
      <c r="M363" s="103">
        <f t="shared" si="13"/>
        <v>8.9683130340198369E-2</v>
      </c>
      <c r="N363" s="103">
        <f t="shared" si="14"/>
        <v>0.68932774785557549</v>
      </c>
      <c r="O363" s="76">
        <f t="shared" si="16"/>
        <v>137996.796</v>
      </c>
      <c r="P363" s="69"/>
      <c r="Q363" s="69"/>
      <c r="R363" s="69"/>
      <c r="S363" s="69"/>
      <c r="T363" s="69"/>
      <c r="U363" s="69"/>
      <c r="V363" s="69"/>
      <c r="W363" s="76">
        <f t="shared" si="10"/>
        <v>886.16129032258061</v>
      </c>
      <c r="X363" s="69"/>
      <c r="Y363" s="76">
        <f t="shared" si="11"/>
        <v>13026.570967741935</v>
      </c>
      <c r="Z363" s="69"/>
      <c r="AA363" s="76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</row>
    <row r="364" spans="1:37" s="140" customFormat="1" ht="12">
      <c r="A364" s="139">
        <v>40483</v>
      </c>
      <c r="B364" s="76">
        <v>27747</v>
      </c>
      <c r="C364" s="76">
        <v>401</v>
      </c>
      <c r="D364" s="76">
        <v>175.0066074493283</v>
      </c>
      <c r="E364" s="76">
        <v>-1912</v>
      </c>
      <c r="F364" s="76">
        <v>24040</v>
      </c>
      <c r="G364" s="76">
        <v>930</v>
      </c>
      <c r="H364" s="76">
        <v>795.30224504837554</v>
      </c>
      <c r="I364" s="76">
        <v>18150</v>
      </c>
      <c r="J364" s="76">
        <f t="shared" si="12"/>
        <v>394</v>
      </c>
      <c r="K364" s="76">
        <v>264478</v>
      </c>
      <c r="L364" s="103">
        <f t="shared" si="15"/>
        <v>-1.0072276349426756E-2</v>
      </c>
      <c r="M364" s="103">
        <f t="shared" si="13"/>
        <v>9.0896029159325167E-2</v>
      </c>
      <c r="N364" s="103">
        <f t="shared" si="14"/>
        <v>0.75499168053244592</v>
      </c>
      <c r="O364" s="76">
        <f t="shared" si="16"/>
        <v>137883.774</v>
      </c>
      <c r="P364" s="69"/>
      <c r="Q364" s="69"/>
      <c r="R364" s="69"/>
      <c r="S364" s="69"/>
      <c r="T364" s="69"/>
      <c r="U364" s="69"/>
      <c r="V364" s="69"/>
      <c r="W364" s="76">
        <f t="shared" si="10"/>
        <v>924.9</v>
      </c>
      <c r="X364" s="69"/>
      <c r="Y364" s="76">
        <f t="shared" si="11"/>
        <v>13596.03</v>
      </c>
      <c r="Z364" s="69"/>
      <c r="AA364" s="76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</row>
    <row r="365" spans="1:37" s="140" customFormat="1" ht="12">
      <c r="A365" s="139">
        <v>40513</v>
      </c>
      <c r="B365" s="76">
        <v>28457</v>
      </c>
      <c r="C365" s="76">
        <v>226</v>
      </c>
      <c r="D365" s="76">
        <v>288.45921074662482</v>
      </c>
      <c r="E365" s="76">
        <v>-1827</v>
      </c>
      <c r="F365" s="76">
        <v>25128</v>
      </c>
      <c r="G365" s="76">
        <v>1717</v>
      </c>
      <c r="H365" s="76">
        <v>1710.2767505463646</v>
      </c>
      <c r="I365" s="76">
        <v>17941</v>
      </c>
      <c r="J365" s="76">
        <f t="shared" si="12"/>
        <v>220</v>
      </c>
      <c r="K365" s="76">
        <v>276236</v>
      </c>
      <c r="L365" s="103">
        <f t="shared" si="15"/>
        <v>-2.2754689994437527E-3</v>
      </c>
      <c r="M365" s="103">
        <f t="shared" si="13"/>
        <v>9.0965695999073254E-2</v>
      </c>
      <c r="N365" s="103">
        <f t="shared" si="14"/>
        <v>0.71398439987265205</v>
      </c>
      <c r="O365" s="76">
        <f t="shared" si="16"/>
        <v>137857.31400000001</v>
      </c>
      <c r="P365" s="69"/>
      <c r="Q365" s="69"/>
      <c r="R365" s="69"/>
      <c r="S365" s="69"/>
      <c r="T365" s="69"/>
      <c r="U365" s="69"/>
      <c r="V365" s="69"/>
      <c r="W365" s="76">
        <f t="shared" si="10"/>
        <v>917.9677419354839</v>
      </c>
      <c r="X365" s="69"/>
      <c r="Y365" s="76">
        <f t="shared" si="11"/>
        <v>13494.125806451615</v>
      </c>
      <c r="Z365" s="69"/>
      <c r="AA365" s="76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</row>
    <row r="366" spans="1:37" s="140" customFormat="1" ht="12">
      <c r="A366" s="139">
        <v>40544</v>
      </c>
      <c r="B366" s="76">
        <v>28467</v>
      </c>
      <c r="C366" s="76">
        <v>384</v>
      </c>
      <c r="D366" s="76">
        <v>293.51103189300375</v>
      </c>
      <c r="E366" s="76">
        <v>-738</v>
      </c>
      <c r="F366" s="76">
        <v>23485</v>
      </c>
      <c r="G366" s="76">
        <v>1364</v>
      </c>
      <c r="H366" s="76">
        <v>1066.4513034443899</v>
      </c>
      <c r="I366" s="76">
        <v>20826</v>
      </c>
      <c r="J366" s="76">
        <f t="shared" si="12"/>
        <v>379</v>
      </c>
      <c r="K366" s="76">
        <v>259475</v>
      </c>
      <c r="L366" s="103">
        <f t="shared" si="15"/>
        <v>-1.7534626248551732E-2</v>
      </c>
      <c r="M366" s="103">
        <f t="shared" si="13"/>
        <v>9.050968301377782E-2</v>
      </c>
      <c r="N366" s="103">
        <f t="shared" si="14"/>
        <v>0.88677879497551626</v>
      </c>
      <c r="O366" s="76">
        <f t="shared" si="16"/>
        <v>137662.81200000001</v>
      </c>
      <c r="P366" s="69"/>
      <c r="Q366" s="69"/>
      <c r="R366" s="69"/>
      <c r="S366" s="69"/>
      <c r="T366" s="69"/>
      <c r="U366" s="69"/>
      <c r="V366" s="69"/>
      <c r="W366" s="76">
        <f t="shared" si="10"/>
        <v>918.29032258064512</v>
      </c>
      <c r="X366" s="69"/>
      <c r="Y366" s="76">
        <f t="shared" si="11"/>
        <v>13498.867741935484</v>
      </c>
      <c r="Z366" s="69"/>
      <c r="AA366" s="76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</row>
    <row r="367" spans="1:37" s="140" customFormat="1" ht="12">
      <c r="A367" s="139">
        <v>40575</v>
      </c>
      <c r="B367" s="76">
        <v>25300</v>
      </c>
      <c r="C367" s="76">
        <v>813</v>
      </c>
      <c r="D367" s="76">
        <v>289.84680026482636</v>
      </c>
      <c r="E367" s="76">
        <v>-1512</v>
      </c>
      <c r="F367" s="76">
        <v>22173</v>
      </c>
      <c r="G367" s="76">
        <v>1425</v>
      </c>
      <c r="H367" s="76">
        <v>1703.5759226433418</v>
      </c>
      <c r="I367" s="76">
        <v>21016</v>
      </c>
      <c r="J367" s="76">
        <f t="shared" si="12"/>
        <v>813</v>
      </c>
      <c r="K367" s="76">
        <v>240913</v>
      </c>
      <c r="L367" s="103">
        <f t="shared" si="15"/>
        <v>2.8765058987103576E-3</v>
      </c>
      <c r="M367" s="103">
        <f t="shared" si="13"/>
        <v>9.2037374487885668E-2</v>
      </c>
      <c r="N367" s="103">
        <f t="shared" si="14"/>
        <v>0.94781942001533392</v>
      </c>
      <c r="O367" s="76">
        <f t="shared" si="16"/>
        <v>137691.834</v>
      </c>
      <c r="P367" s="69"/>
      <c r="Q367" s="69"/>
      <c r="R367" s="69"/>
      <c r="S367" s="69"/>
      <c r="T367" s="69"/>
      <c r="U367" s="69"/>
      <c r="V367" s="69"/>
      <c r="W367" s="76">
        <f t="shared" si="10"/>
        <v>903.57142857142856</v>
      </c>
      <c r="X367" s="69"/>
      <c r="Y367" s="76">
        <f t="shared" si="11"/>
        <v>13282.5</v>
      </c>
      <c r="Z367" s="69"/>
      <c r="AA367" s="76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</row>
    <row r="368" spans="1:37" s="140" customFormat="1" ht="12">
      <c r="A368" s="139">
        <v>40603</v>
      </c>
      <c r="B368" s="76">
        <v>28178</v>
      </c>
      <c r="C368" s="76">
        <v>1030</v>
      </c>
      <c r="D368" s="76">
        <v>173.36729329564977</v>
      </c>
      <c r="E368" s="76">
        <v>-566</v>
      </c>
      <c r="F368" s="76">
        <v>25032</v>
      </c>
      <c r="G368" s="76">
        <v>2003</v>
      </c>
      <c r="H368" s="76">
        <v>2000.8241291344045</v>
      </c>
      <c r="I368" s="76">
        <v>21593</v>
      </c>
      <c r="J368" s="76">
        <f t="shared" si="12"/>
        <v>1030</v>
      </c>
      <c r="K368" s="76">
        <v>272758</v>
      </c>
      <c r="L368" s="103">
        <f t="shared" si="15"/>
        <v>6.6036143782688406E-4</v>
      </c>
      <c r="M368" s="103">
        <f t="shared" si="13"/>
        <v>9.1773660167621118E-2</v>
      </c>
      <c r="N368" s="103">
        <f t="shared" si="14"/>
        <v>0.86261585170981148</v>
      </c>
      <c r="O368" s="76">
        <f t="shared" si="16"/>
        <v>137699.394</v>
      </c>
      <c r="P368" s="69"/>
      <c r="Q368" s="69"/>
      <c r="R368" s="69"/>
      <c r="S368" s="69"/>
      <c r="T368" s="69"/>
      <c r="U368" s="69"/>
      <c r="V368" s="69"/>
      <c r="W368" s="76">
        <f t="shared" si="10"/>
        <v>908.9677419354839</v>
      </c>
      <c r="X368" s="69"/>
      <c r="Y368" s="76">
        <f t="shared" si="11"/>
        <v>13361.825806451616</v>
      </c>
      <c r="Z368" s="69"/>
      <c r="AA368" s="76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</row>
    <row r="369" spans="1:37" s="140" customFormat="1" ht="12">
      <c r="A369" s="139">
        <v>40634</v>
      </c>
      <c r="B369" s="76">
        <v>26538</v>
      </c>
      <c r="C369" s="76">
        <v>1860</v>
      </c>
      <c r="D369" s="76">
        <v>186.35652601510989</v>
      </c>
      <c r="E369" s="76">
        <v>162</v>
      </c>
      <c r="F369" s="76">
        <v>24363</v>
      </c>
      <c r="G369" s="76">
        <v>2865</v>
      </c>
      <c r="H369" s="76">
        <v>2770.893742276895</v>
      </c>
      <c r="I369" s="76">
        <v>21065</v>
      </c>
      <c r="J369" s="76">
        <f t="shared" si="12"/>
        <v>1860</v>
      </c>
      <c r="K369" s="76">
        <v>263888</v>
      </c>
      <c r="L369" s="103">
        <f t="shared" si="15"/>
        <v>-3.4205113565661693E-2</v>
      </c>
      <c r="M369" s="103">
        <f t="shared" si="13"/>
        <v>9.2323258352028134E-2</v>
      </c>
      <c r="N369" s="103">
        <f t="shared" si="14"/>
        <v>0.86463079259532893</v>
      </c>
      <c r="O369" s="76">
        <f t="shared" si="16"/>
        <v>137306.86199999999</v>
      </c>
      <c r="P369" s="69"/>
      <c r="Q369" s="69"/>
      <c r="R369" s="69"/>
      <c r="S369" s="69"/>
      <c r="T369" s="69"/>
      <c r="U369" s="69"/>
      <c r="V369" s="69"/>
      <c r="W369" s="76">
        <f t="shared" si="10"/>
        <v>884.6</v>
      </c>
      <c r="X369" s="69"/>
      <c r="Y369" s="76">
        <f t="shared" si="11"/>
        <v>13003.62</v>
      </c>
      <c r="Z369" s="69"/>
      <c r="AA369" s="76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</row>
    <row r="370" spans="1:37" s="140" customFormat="1" ht="12">
      <c r="A370" s="139">
        <v>40664</v>
      </c>
      <c r="B370" s="76">
        <v>27720</v>
      </c>
      <c r="C370" s="76">
        <v>1890</v>
      </c>
      <c r="D370" s="76">
        <v>55.564881252719552</v>
      </c>
      <c r="E370" s="76">
        <v>-1288</v>
      </c>
      <c r="F370" s="76">
        <v>25145</v>
      </c>
      <c r="G370" s="76">
        <v>1743</v>
      </c>
      <c r="H370" s="76">
        <v>1945.4803222548326</v>
      </c>
      <c r="I370" s="76">
        <v>20609</v>
      </c>
      <c r="J370" s="76">
        <f t="shared" si="12"/>
        <v>1890</v>
      </c>
      <c r="K370" s="76">
        <v>273335</v>
      </c>
      <c r="L370" s="103">
        <f t="shared" si="15"/>
        <v>-3.7678189813298957E-2</v>
      </c>
      <c r="M370" s="103">
        <f t="shared" si="13"/>
        <v>9.1993341504015225E-2</v>
      </c>
      <c r="N370" s="103">
        <f t="shared" si="14"/>
        <v>0.81960628355537879</v>
      </c>
      <c r="O370" s="76">
        <f t="shared" si="16"/>
        <v>136857.378</v>
      </c>
      <c r="P370" s="69"/>
      <c r="Q370" s="69"/>
      <c r="R370" s="69"/>
      <c r="S370" s="69"/>
      <c r="T370" s="69"/>
      <c r="U370" s="69"/>
      <c r="V370" s="69"/>
      <c r="W370" s="76">
        <f t="shared" si="10"/>
        <v>894.19354838709683</v>
      </c>
      <c r="X370" s="69"/>
      <c r="Y370" s="76">
        <f t="shared" si="11"/>
        <v>13144.645161290324</v>
      </c>
      <c r="Z370" s="69"/>
      <c r="AA370" s="76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</row>
    <row r="371" spans="1:37" s="140" customFormat="1" ht="12">
      <c r="A371" s="139">
        <v>40695</v>
      </c>
      <c r="B371" s="76">
        <v>27224</v>
      </c>
      <c r="C371" s="76">
        <v>1898</v>
      </c>
      <c r="D371" s="76">
        <v>386.72059930351634</v>
      </c>
      <c r="E371" s="76">
        <v>-1974</v>
      </c>
      <c r="F371" s="76">
        <v>25109</v>
      </c>
      <c r="G371" s="76">
        <v>1604</v>
      </c>
      <c r="H371" s="76">
        <v>1597.8270328898134</v>
      </c>
      <c r="I371" s="76">
        <v>19217</v>
      </c>
      <c r="J371" s="76">
        <f t="shared" si="12"/>
        <v>1827</v>
      </c>
      <c r="K371" s="76">
        <v>272011</v>
      </c>
      <c r="L371" s="103">
        <f t="shared" si="15"/>
        <v>-2.6198497112723707E-2</v>
      </c>
      <c r="M371" s="103">
        <f t="shared" si="13"/>
        <v>9.2308766924867003E-2</v>
      </c>
      <c r="N371" s="103">
        <f t="shared" si="14"/>
        <v>0.76534310406627104</v>
      </c>
      <c r="O371" s="76">
        <f t="shared" si="16"/>
        <v>136550.022</v>
      </c>
      <c r="P371" s="69"/>
      <c r="Q371" s="69"/>
      <c r="R371" s="69"/>
      <c r="S371" s="69"/>
      <c r="T371" s="69"/>
      <c r="U371" s="69"/>
      <c r="V371" s="69"/>
      <c r="W371" s="76">
        <f t="shared" si="10"/>
        <v>907.4666666666667</v>
      </c>
      <c r="X371" s="69"/>
      <c r="Y371" s="76">
        <f t="shared" si="11"/>
        <v>13339.760000000002</v>
      </c>
      <c r="Z371" s="69"/>
      <c r="AA371" s="76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</row>
    <row r="372" spans="1:37" s="140" customFormat="1" ht="12">
      <c r="A372" s="139">
        <v>40725</v>
      </c>
      <c r="B372" s="76">
        <v>27541</v>
      </c>
      <c r="C372" s="76">
        <v>1976</v>
      </c>
      <c r="D372" s="76">
        <v>490.36828243175773</v>
      </c>
      <c r="E372" s="76">
        <v>439</v>
      </c>
      <c r="F372" s="76">
        <v>25678</v>
      </c>
      <c r="G372" s="76">
        <v>3036</v>
      </c>
      <c r="H372" s="76">
        <v>2983.5840830476814</v>
      </c>
      <c r="I372" s="76">
        <v>18788</v>
      </c>
      <c r="J372" s="76">
        <f t="shared" si="12"/>
        <v>1671</v>
      </c>
      <c r="K372" s="76">
        <v>279968</v>
      </c>
      <c r="L372" s="103">
        <f t="shared" si="15"/>
        <v>-2.8991388250146577E-2</v>
      </c>
      <c r="M372" s="103">
        <f t="shared" si="13"/>
        <v>9.1717624871413869E-2</v>
      </c>
      <c r="N372" s="103">
        <f t="shared" si="14"/>
        <v>0.73167692187865097</v>
      </c>
      <c r="O372" s="76">
        <f t="shared" si="16"/>
        <v>136198.94399999999</v>
      </c>
      <c r="P372" s="69"/>
      <c r="Q372" s="69"/>
      <c r="R372" s="69"/>
      <c r="S372" s="69"/>
      <c r="T372" s="69"/>
      <c r="U372" s="69"/>
      <c r="V372" s="69"/>
      <c r="W372" s="76">
        <f t="shared" si="10"/>
        <v>888.41935483870964</v>
      </c>
      <c r="X372" s="69"/>
      <c r="Y372" s="76">
        <f t="shared" si="11"/>
        <v>13059.764516129031</v>
      </c>
      <c r="Z372" s="69"/>
      <c r="AA372" s="76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</row>
    <row r="373" spans="1:37" s="140" customFormat="1" ht="12">
      <c r="A373" s="139">
        <v>40756</v>
      </c>
      <c r="B373" s="76">
        <v>27976</v>
      </c>
      <c r="C373" s="76">
        <v>1234</v>
      </c>
      <c r="D373" s="76">
        <v>1268.8667051351674</v>
      </c>
      <c r="E373" s="76">
        <v>-1828</v>
      </c>
      <c r="F373" s="76">
        <v>26148</v>
      </c>
      <c r="G373" s="76">
        <v>1246</v>
      </c>
      <c r="H373" s="76">
        <v>1242.2252178508434</v>
      </c>
      <c r="I373" s="76">
        <v>18123</v>
      </c>
      <c r="J373" s="76">
        <f t="shared" si="12"/>
        <v>653</v>
      </c>
      <c r="K373" s="76">
        <v>276684</v>
      </c>
      <c r="L373" s="103">
        <f t="shared" si="15"/>
        <v>-3.5668727650408849E-2</v>
      </c>
      <c r="M373" s="103">
        <f t="shared" si="13"/>
        <v>9.4504922583163467E-2</v>
      </c>
      <c r="N373" s="103">
        <f t="shared" si="14"/>
        <v>0.69309316200091786</v>
      </c>
      <c r="O373" s="76">
        <f t="shared" si="16"/>
        <v>135769.11600000001</v>
      </c>
      <c r="P373" s="69"/>
      <c r="Q373" s="69"/>
      <c r="R373" s="69"/>
      <c r="S373" s="69"/>
      <c r="T373" s="69"/>
      <c r="U373" s="69"/>
      <c r="V373" s="69"/>
      <c r="W373" s="76">
        <f t="shared" si="10"/>
        <v>902.45161290322585</v>
      </c>
      <c r="X373" s="69"/>
      <c r="Y373" s="76">
        <f t="shared" si="11"/>
        <v>13266.038709677419</v>
      </c>
      <c r="Z373" s="69"/>
      <c r="AA373" s="76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</row>
    <row r="374" spans="1:37" s="140" customFormat="1" ht="12">
      <c r="A374" s="139">
        <v>40787</v>
      </c>
      <c r="B374" s="76">
        <v>26588</v>
      </c>
      <c r="C374" s="76">
        <v>751</v>
      </c>
      <c r="D374" s="76">
        <v>972.11255093333909</v>
      </c>
      <c r="E374" s="76">
        <v>101</v>
      </c>
      <c r="F374" s="76">
        <v>24602</v>
      </c>
      <c r="G374" s="76">
        <v>2525</v>
      </c>
      <c r="H374" s="76">
        <v>2469.7835209647669</v>
      </c>
      <c r="I374" s="76">
        <v>18465</v>
      </c>
      <c r="J374" s="76">
        <f t="shared" si="12"/>
        <v>-29</v>
      </c>
      <c r="K374" s="76">
        <v>262317</v>
      </c>
      <c r="L374" s="103">
        <f t="shared" si="15"/>
        <v>-4.0425360685961809E-2</v>
      </c>
      <c r="M374" s="103">
        <f t="shared" si="13"/>
        <v>9.3787287899754879E-2</v>
      </c>
      <c r="N374" s="103">
        <f t="shared" si="14"/>
        <v>0.75054873587513216</v>
      </c>
      <c r="O374" s="76">
        <f t="shared" si="16"/>
        <v>135304.97399999999</v>
      </c>
      <c r="P374" s="69"/>
      <c r="Q374" s="69"/>
      <c r="R374" s="69"/>
      <c r="S374" s="69"/>
      <c r="T374" s="69"/>
      <c r="U374" s="69"/>
      <c r="V374" s="69"/>
      <c r="W374" s="76">
        <f t="shared" si="10"/>
        <v>886.26666666666665</v>
      </c>
      <c r="X374" s="69"/>
      <c r="Y374" s="76">
        <f t="shared" si="11"/>
        <v>13028.12</v>
      </c>
      <c r="Z374" s="69"/>
      <c r="AA374" s="76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</row>
    <row r="375" spans="1:37" s="140" customFormat="1" ht="12">
      <c r="A375" s="139">
        <v>40817</v>
      </c>
      <c r="B375" s="76">
        <v>28013</v>
      </c>
      <c r="C375" s="76">
        <v>290</v>
      </c>
      <c r="D375" s="76">
        <v>679.20111440403821</v>
      </c>
      <c r="E375" s="76">
        <v>-631</v>
      </c>
      <c r="F375" s="76">
        <v>25421</v>
      </c>
      <c r="G375" s="76">
        <v>2895</v>
      </c>
      <c r="H375" s="76">
        <v>2680.6830699977018</v>
      </c>
      <c r="I375" s="76">
        <v>18038</v>
      </c>
      <c r="J375" s="76">
        <f t="shared" si="12"/>
        <v>-217</v>
      </c>
      <c r="K375" s="76">
        <v>268106</v>
      </c>
      <c r="L375" s="103">
        <f t="shared" si="15"/>
        <v>-4.0710738360693277E-2</v>
      </c>
      <c r="M375" s="103">
        <f t="shared" si="13"/>
        <v>9.4816975375411214E-2</v>
      </c>
      <c r="N375" s="103">
        <f t="shared" si="14"/>
        <v>0.7095708272687935</v>
      </c>
      <c r="O375" s="76">
        <f t="shared" si="16"/>
        <v>134827.098</v>
      </c>
      <c r="P375" s="69"/>
      <c r="Q375" s="69"/>
      <c r="R375" s="69"/>
      <c r="S375" s="69"/>
      <c r="T375" s="69"/>
      <c r="U375" s="69"/>
      <c r="V375" s="69"/>
      <c r="W375" s="76">
        <f t="shared" si="10"/>
        <v>903.64516129032256</v>
      </c>
      <c r="X375" s="69"/>
      <c r="Y375" s="76">
        <f t="shared" si="11"/>
        <v>13283.583870967743</v>
      </c>
      <c r="Z375" s="69"/>
      <c r="AA375" s="76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</row>
    <row r="376" spans="1:37" s="140" customFormat="1" ht="12">
      <c r="A376" s="139">
        <v>40848</v>
      </c>
      <c r="B376" s="76">
        <v>28383</v>
      </c>
      <c r="C376" s="76">
        <v>1143</v>
      </c>
      <c r="D376" s="76">
        <v>912.79977095014294</v>
      </c>
      <c r="E376" s="76">
        <v>-688</v>
      </c>
      <c r="F376" s="76">
        <v>24514</v>
      </c>
      <c r="G376" s="76">
        <v>3634</v>
      </c>
      <c r="H376" s="76">
        <v>3709.3392915480872</v>
      </c>
      <c r="I376" s="76">
        <v>18308</v>
      </c>
      <c r="J376" s="76">
        <f t="shared" si="12"/>
        <v>420</v>
      </c>
      <c r="K376" s="76">
        <v>256114</v>
      </c>
      <c r="L376" s="103">
        <f t="shared" si="15"/>
        <v>-3.1624558564417482E-2</v>
      </c>
      <c r="M376" s="103">
        <f t="shared" si="13"/>
        <v>9.5715189329751593E-2</v>
      </c>
      <c r="N376" s="103">
        <f t="shared" si="14"/>
        <v>0.74683854124173943</v>
      </c>
      <c r="O376" s="76">
        <f t="shared" si="16"/>
        <v>134475.81</v>
      </c>
      <c r="P376" s="69"/>
      <c r="Q376" s="69"/>
      <c r="R376" s="69"/>
      <c r="S376" s="69"/>
      <c r="T376" s="69"/>
      <c r="U376" s="69"/>
      <c r="V376" s="69"/>
      <c r="W376" s="76">
        <f t="shared" si="10"/>
        <v>946.1</v>
      </c>
      <c r="X376" s="69"/>
      <c r="Y376" s="76">
        <f t="shared" si="11"/>
        <v>13907.67</v>
      </c>
      <c r="Z376" s="69"/>
      <c r="AA376" s="76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</row>
    <row r="377" spans="1:37" s="140" customFormat="1" ht="12">
      <c r="A377" s="139">
        <v>40878</v>
      </c>
      <c r="B377" s="76">
        <v>29718</v>
      </c>
      <c r="C377" s="76">
        <v>416</v>
      </c>
      <c r="D377" s="76">
        <v>1245.8293628884132</v>
      </c>
      <c r="E377" s="76">
        <v>-1195</v>
      </c>
      <c r="F377" s="76">
        <v>25596</v>
      </c>
      <c r="G377" s="76">
        <v>4117</v>
      </c>
      <c r="H377" s="76">
        <v>4239.6101082841751</v>
      </c>
      <c r="I377" s="76">
        <v>18238</v>
      </c>
      <c r="J377" s="76">
        <f t="shared" si="12"/>
        <v>-704</v>
      </c>
      <c r="K377" s="76">
        <v>269185</v>
      </c>
      <c r="L377" s="103">
        <f t="shared" si="15"/>
        <v>-2.5525275489074573E-2</v>
      </c>
      <c r="M377" s="103">
        <f t="shared" si="13"/>
        <v>9.5087021936586358E-2</v>
      </c>
      <c r="N377" s="103">
        <f t="shared" si="14"/>
        <v>0.71253320831379907</v>
      </c>
      <c r="O377" s="76">
        <f t="shared" si="16"/>
        <v>134179.66800000001</v>
      </c>
      <c r="P377" s="69"/>
      <c r="Q377" s="69"/>
      <c r="R377" s="69"/>
      <c r="S377" s="69"/>
      <c r="T377" s="69"/>
      <c r="U377" s="69"/>
      <c r="V377" s="69"/>
      <c r="W377" s="76">
        <f t="shared" si="10"/>
        <v>958.64516129032256</v>
      </c>
      <c r="X377" s="69"/>
      <c r="Y377" s="76">
        <f t="shared" si="11"/>
        <v>14092.083870967743</v>
      </c>
      <c r="Z377" s="69"/>
      <c r="AA377" s="76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</row>
    <row r="378" spans="1:37" s="140" customFormat="1" ht="12">
      <c r="A378" s="139">
        <v>40909</v>
      </c>
      <c r="B378" s="76">
        <v>29038</v>
      </c>
      <c r="C378" s="76">
        <v>552</v>
      </c>
      <c r="D378" s="76">
        <v>297.16875985377948</v>
      </c>
      <c r="E378" s="76">
        <v>-374</v>
      </c>
      <c r="F378" s="76">
        <v>23654</v>
      </c>
      <c r="G378" s="76">
        <v>1819</v>
      </c>
      <c r="H378" s="76">
        <v>1806.2068951202493</v>
      </c>
      <c r="I378" s="76">
        <v>21475</v>
      </c>
      <c r="J378" s="76">
        <f t="shared" si="12"/>
        <v>506</v>
      </c>
      <c r="K378" s="76">
        <v>253903</v>
      </c>
      <c r="L378" s="103">
        <f t="shared" si="15"/>
        <v>-2.147413045572788E-2</v>
      </c>
      <c r="M378" s="103">
        <f t="shared" si="13"/>
        <v>9.3161561698758971E-2</v>
      </c>
      <c r="N378" s="103">
        <f t="shared" si="14"/>
        <v>0.90788027394943771</v>
      </c>
      <c r="O378" s="76">
        <f t="shared" si="16"/>
        <v>133945.644</v>
      </c>
      <c r="P378" s="69"/>
      <c r="Q378" s="69"/>
      <c r="R378" s="69"/>
      <c r="S378" s="69"/>
      <c r="T378" s="69"/>
      <c r="U378" s="69"/>
      <c r="V378" s="69"/>
      <c r="W378" s="76">
        <f t="shared" si="10"/>
        <v>936.70967741935488</v>
      </c>
      <c r="X378" s="69"/>
      <c r="Y378" s="76">
        <f t="shared" si="11"/>
        <v>13769.632258064516</v>
      </c>
      <c r="Z378" s="69"/>
      <c r="AA378" s="76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</row>
    <row r="379" spans="1:37" s="140" customFormat="1" ht="12">
      <c r="A379" s="139">
        <v>40940</v>
      </c>
      <c r="B379" s="76">
        <v>26647</v>
      </c>
      <c r="C379" s="76">
        <v>926</v>
      </c>
      <c r="D379" s="76">
        <v>156.55784156739139</v>
      </c>
      <c r="E379" s="76">
        <v>-472</v>
      </c>
      <c r="F379" s="76">
        <v>23479</v>
      </c>
      <c r="G379" s="76">
        <v>1785</v>
      </c>
      <c r="H379" s="76">
        <v>1816.5342157690411</v>
      </c>
      <c r="I379" s="76">
        <v>22393</v>
      </c>
      <c r="J379" s="76">
        <f t="shared" si="12"/>
        <v>919</v>
      </c>
      <c r="K379" s="76">
        <v>249335</v>
      </c>
      <c r="L379" s="103">
        <f t="shared" si="15"/>
        <v>3.4958678028998103E-2</v>
      </c>
      <c r="M379" s="103">
        <f t="shared" si="13"/>
        <v>9.4166482844366017E-2</v>
      </c>
      <c r="N379" s="103">
        <f t="shared" si="14"/>
        <v>0.95374590059201836</v>
      </c>
      <c r="O379" s="76">
        <f t="shared" si="16"/>
        <v>134299.36799999999</v>
      </c>
      <c r="P379" s="69"/>
      <c r="Q379" s="69"/>
      <c r="R379" s="69"/>
      <c r="S379" s="69"/>
      <c r="T379" s="69"/>
      <c r="U379" s="69"/>
      <c r="V379" s="69"/>
      <c r="W379" s="76">
        <f t="shared" si="10"/>
        <v>918.86206896551721</v>
      </c>
      <c r="X379" s="69"/>
      <c r="Y379" s="76">
        <f t="shared" si="11"/>
        <v>13507.272413793102</v>
      </c>
      <c r="Z379" s="69"/>
      <c r="AA379" s="76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</row>
    <row r="380" spans="1:37" s="140" customFormat="1" ht="12">
      <c r="A380" s="139">
        <v>40969</v>
      </c>
      <c r="B380" s="76">
        <v>27548</v>
      </c>
      <c r="C380" s="76">
        <v>1454</v>
      </c>
      <c r="D380" s="76">
        <v>589.85733570283185</v>
      </c>
      <c r="E380" s="76">
        <v>-276</v>
      </c>
      <c r="F380" s="76">
        <v>25491</v>
      </c>
      <c r="G380" s="76">
        <v>1992</v>
      </c>
      <c r="H380" s="76">
        <v>1844.4896891712426</v>
      </c>
      <c r="I380" s="76">
        <v>22583</v>
      </c>
      <c r="J380" s="76">
        <f t="shared" si="12"/>
        <v>1053</v>
      </c>
      <c r="K380" s="76">
        <v>266044</v>
      </c>
      <c r="L380" s="103">
        <f t="shared" si="15"/>
        <v>-2.4615226684460256E-2</v>
      </c>
      <c r="M380" s="103">
        <f t="shared" si="13"/>
        <v>9.5814977973568277E-2</v>
      </c>
      <c r="N380" s="103">
        <f t="shared" si="14"/>
        <v>0.88592052096818485</v>
      </c>
      <c r="O380" s="76">
        <f t="shared" si="16"/>
        <v>134017.38</v>
      </c>
      <c r="P380" s="69"/>
      <c r="Q380" s="69"/>
      <c r="R380" s="69"/>
      <c r="S380" s="69"/>
      <c r="T380" s="69"/>
      <c r="U380" s="69"/>
      <c r="V380" s="69"/>
      <c r="W380" s="76">
        <f t="shared" si="10"/>
        <v>888.64516129032256</v>
      </c>
      <c r="X380" s="69"/>
      <c r="Y380" s="76">
        <f t="shared" si="11"/>
        <v>13063.083870967743</v>
      </c>
      <c r="Z380" s="69"/>
      <c r="AA380" s="76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</row>
    <row r="381" spans="1:37" s="140" customFormat="1" ht="12">
      <c r="A381" s="139">
        <v>41000</v>
      </c>
      <c r="B381" s="76">
        <v>26346</v>
      </c>
      <c r="C381" s="76">
        <v>1595</v>
      </c>
      <c r="D381" s="76">
        <v>472.96834927989812</v>
      </c>
      <c r="E381" s="76">
        <v>-472</v>
      </c>
      <c r="F381" s="76">
        <v>24858</v>
      </c>
      <c r="G381" s="76">
        <v>1775</v>
      </c>
      <c r="H381" s="76">
        <v>1648.1456559841729</v>
      </c>
      <c r="I381" s="76">
        <v>22050</v>
      </c>
      <c r="J381" s="76">
        <f t="shared" si="12"/>
        <v>1369</v>
      </c>
      <c r="K381" s="76">
        <v>262216</v>
      </c>
      <c r="L381" s="103">
        <f t="shared" si="15"/>
        <v>-6.3360213423876433E-3</v>
      </c>
      <c r="M381" s="103">
        <f t="shared" si="13"/>
        <v>9.4799707111694179E-2</v>
      </c>
      <c r="N381" s="103">
        <f t="shared" si="14"/>
        <v>0.88703837798696594</v>
      </c>
      <c r="O381" s="76">
        <f t="shared" si="16"/>
        <v>133947.15599999999</v>
      </c>
      <c r="P381" s="69"/>
      <c r="Q381" s="69"/>
      <c r="R381" s="69"/>
      <c r="S381" s="69"/>
      <c r="T381" s="69"/>
      <c r="U381" s="69"/>
      <c r="V381" s="69"/>
      <c r="W381" s="76">
        <f t="shared" si="10"/>
        <v>878.2</v>
      </c>
      <c r="X381" s="69"/>
      <c r="Y381" s="76">
        <f t="shared" si="11"/>
        <v>12909.54</v>
      </c>
      <c r="Z381" s="69"/>
      <c r="AA381" s="76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</row>
    <row r="382" spans="1:37" s="140" customFormat="1" ht="12">
      <c r="A382" s="139">
        <v>41030</v>
      </c>
      <c r="B382" s="76">
        <v>27616</v>
      </c>
      <c r="C382" s="76">
        <v>1112</v>
      </c>
      <c r="D382" s="76">
        <v>516.61259942780305</v>
      </c>
      <c r="E382" s="76">
        <v>-791</v>
      </c>
      <c r="F382" s="76">
        <v>26227</v>
      </c>
      <c r="G382" s="76">
        <v>1397</v>
      </c>
      <c r="H382" s="76">
        <v>1516.3450244617145</v>
      </c>
      <c r="I382" s="76">
        <v>21635</v>
      </c>
      <c r="J382" s="76">
        <f t="shared" si="12"/>
        <v>728</v>
      </c>
      <c r="K382" s="76">
        <v>278355</v>
      </c>
      <c r="L382" s="103">
        <f t="shared" si="15"/>
        <v>1.8365741672306868E-2</v>
      </c>
      <c r="M382" s="103">
        <f t="shared" si="13"/>
        <v>9.4221407914353975E-2</v>
      </c>
      <c r="N382" s="103">
        <f t="shared" si="14"/>
        <v>0.82491325733023224</v>
      </c>
      <c r="O382" s="76">
        <f t="shared" si="16"/>
        <v>134157.99600000001</v>
      </c>
      <c r="P382" s="69"/>
      <c r="Q382" s="69"/>
      <c r="R382" s="69"/>
      <c r="S382" s="69"/>
      <c r="T382" s="69"/>
      <c r="U382" s="69"/>
      <c r="V382" s="69"/>
      <c r="W382" s="76">
        <f t="shared" si="10"/>
        <v>890.83870967741939</v>
      </c>
      <c r="X382" s="69"/>
      <c r="Y382" s="76">
        <f t="shared" si="11"/>
        <v>13095.329032258065</v>
      </c>
      <c r="Z382" s="69"/>
      <c r="AA382" s="76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</row>
    <row r="383" spans="1:37" s="140" customFormat="1" ht="12">
      <c r="A383" s="139">
        <v>41061</v>
      </c>
      <c r="B383" s="76">
        <v>26513</v>
      </c>
      <c r="C383" s="76">
        <v>439</v>
      </c>
      <c r="D383" s="76">
        <v>815.55166509610012</v>
      </c>
      <c r="E383" s="76">
        <v>-405</v>
      </c>
      <c r="F383" s="76">
        <v>25907</v>
      </c>
      <c r="G383" s="76">
        <v>1410</v>
      </c>
      <c r="H383" s="76">
        <v>1255.2904566794739</v>
      </c>
      <c r="I383" s="76">
        <v>21239</v>
      </c>
      <c r="J383" s="76">
        <f t="shared" si="12"/>
        <v>-374</v>
      </c>
      <c r="K383" s="76">
        <v>269866</v>
      </c>
      <c r="L383" s="103">
        <f t="shared" si="15"/>
        <v>-7.8857105043546039E-3</v>
      </c>
      <c r="M383" s="103">
        <f t="shared" si="13"/>
        <v>9.5999496046185878E-2</v>
      </c>
      <c r="N383" s="103">
        <f t="shared" si="14"/>
        <v>0.81981703786621374</v>
      </c>
      <c r="O383" s="76">
        <f t="shared" si="16"/>
        <v>134067.90599999999</v>
      </c>
      <c r="P383" s="69"/>
      <c r="Q383" s="69"/>
      <c r="R383" s="69"/>
      <c r="S383" s="69"/>
      <c r="T383" s="69"/>
      <c r="U383" s="69"/>
      <c r="V383" s="69"/>
      <c r="W383" s="76">
        <f t="shared" si="10"/>
        <v>883.76666666666665</v>
      </c>
      <c r="X383" s="69"/>
      <c r="Y383" s="76">
        <f t="shared" si="11"/>
        <v>12991.37</v>
      </c>
      <c r="Z383" s="69"/>
      <c r="AA383" s="76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</row>
    <row r="384" spans="1:37" s="140" customFormat="1" ht="12">
      <c r="A384" s="139">
        <v>41091</v>
      </c>
      <c r="B384" s="76">
        <v>25236</v>
      </c>
      <c r="C384" s="76">
        <v>232</v>
      </c>
      <c r="D384" s="76">
        <v>1214.7379896321227</v>
      </c>
      <c r="E384" s="76">
        <v>582</v>
      </c>
      <c r="F384" s="76">
        <v>26344</v>
      </c>
      <c r="G384" s="76">
        <v>1519</v>
      </c>
      <c r="H384" s="76">
        <v>1477.2527313830633</v>
      </c>
      <c r="I384" s="76">
        <v>20224</v>
      </c>
      <c r="J384" s="76">
        <f t="shared" si="12"/>
        <v>-798</v>
      </c>
      <c r="K384" s="76">
        <v>273119</v>
      </c>
      <c r="L384" s="103">
        <f t="shared" si="15"/>
        <v>-2.4463510115441789E-2</v>
      </c>
      <c r="M384" s="103">
        <f t="shared" si="13"/>
        <v>9.6456123521248979E-2</v>
      </c>
      <c r="N384" s="103">
        <f t="shared" si="14"/>
        <v>0.7676890373519587</v>
      </c>
      <c r="O384" s="76">
        <f t="shared" si="16"/>
        <v>133780.24799999999</v>
      </c>
      <c r="P384" s="69"/>
      <c r="Q384" s="69"/>
      <c r="R384" s="69"/>
      <c r="S384" s="69"/>
      <c r="T384" s="69"/>
      <c r="U384" s="69"/>
      <c r="V384" s="69"/>
      <c r="W384" s="76">
        <f t="shared" si="10"/>
        <v>814.06451612903231</v>
      </c>
      <c r="X384" s="69"/>
      <c r="Y384" s="76">
        <f t="shared" si="11"/>
        <v>11966.748387096775</v>
      </c>
      <c r="Z384" s="69"/>
      <c r="AA384" s="76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</row>
    <row r="385" spans="1:37" s="140" customFormat="1" ht="12">
      <c r="A385" s="139">
        <v>41122</v>
      </c>
      <c r="B385" s="76">
        <v>26092</v>
      </c>
      <c r="C385" s="76">
        <v>66</v>
      </c>
      <c r="D385" s="76">
        <v>2608.5148667924377</v>
      </c>
      <c r="E385" s="76">
        <v>-931</v>
      </c>
      <c r="F385" s="76">
        <v>26859</v>
      </c>
      <c r="G385" s="76">
        <v>1206</v>
      </c>
      <c r="H385" s="76">
        <v>1409.3273346121782</v>
      </c>
      <c r="I385" s="76">
        <v>19180</v>
      </c>
      <c r="J385" s="76">
        <f t="shared" si="12"/>
        <v>-1794</v>
      </c>
      <c r="K385" s="76">
        <v>283769</v>
      </c>
      <c r="L385" s="103">
        <f t="shared" si="15"/>
        <v>2.5606829451648716E-2</v>
      </c>
      <c r="M385" s="103">
        <f t="shared" si="13"/>
        <v>9.4650930862779231E-2</v>
      </c>
      <c r="N385" s="103">
        <f t="shared" si="14"/>
        <v>0.7140995569455304</v>
      </c>
      <c r="O385" s="76">
        <f t="shared" si="16"/>
        <v>134077.818</v>
      </c>
      <c r="P385" s="69"/>
      <c r="Q385" s="69"/>
      <c r="R385" s="69"/>
      <c r="S385" s="69"/>
      <c r="T385" s="69"/>
      <c r="U385" s="69"/>
      <c r="V385" s="69"/>
      <c r="W385" s="76">
        <f t="shared" si="10"/>
        <v>841.67741935483866</v>
      </c>
      <c r="X385" s="69"/>
      <c r="Y385" s="76">
        <f t="shared" si="11"/>
        <v>12372.658064516127</v>
      </c>
      <c r="Z385" s="69"/>
      <c r="AA385" s="76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</row>
    <row r="386" spans="1:37" s="140" customFormat="1" ht="12">
      <c r="A386" s="139">
        <v>41153</v>
      </c>
      <c r="B386" s="76">
        <v>24376</v>
      </c>
      <c r="C386" s="76">
        <v>67</v>
      </c>
      <c r="D386" s="76">
        <v>2516.9230583439348</v>
      </c>
      <c r="E386" s="76">
        <v>388</v>
      </c>
      <c r="F386" s="76">
        <v>24722</v>
      </c>
      <c r="G386" s="76">
        <v>1191</v>
      </c>
      <c r="H386" s="76">
        <v>1184.5925225939543</v>
      </c>
      <c r="I386" s="76">
        <v>19921</v>
      </c>
      <c r="J386" s="76">
        <f t="shared" si="12"/>
        <v>-1823</v>
      </c>
      <c r="K386" s="76">
        <v>256825</v>
      </c>
      <c r="L386" s="103">
        <f t="shared" si="15"/>
        <v>-2.0936500493677457E-2</v>
      </c>
      <c r="M386" s="103">
        <f t="shared" si="13"/>
        <v>9.6260099289399395E-2</v>
      </c>
      <c r="N386" s="103">
        <f t="shared" si="14"/>
        <v>0.80580050157754224</v>
      </c>
      <c r="O386" s="76">
        <f t="shared" si="16"/>
        <v>133847.15400000001</v>
      </c>
      <c r="P386" s="69"/>
      <c r="Q386" s="69"/>
      <c r="R386" s="69"/>
      <c r="S386" s="69"/>
      <c r="T386" s="69"/>
      <c r="U386" s="69"/>
      <c r="V386" s="69"/>
      <c r="W386" s="76">
        <f t="shared" si="10"/>
        <v>812.5333333333333</v>
      </c>
      <c r="X386" s="69"/>
      <c r="Y386" s="76">
        <f t="shared" si="11"/>
        <v>11944.239999999998</v>
      </c>
      <c r="Z386" s="69"/>
      <c r="AA386" s="76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</row>
    <row r="387" spans="1:37" s="140" customFormat="1" ht="12">
      <c r="A387" s="139">
        <v>41183</v>
      </c>
      <c r="B387" s="76">
        <v>24976</v>
      </c>
      <c r="C387" s="76">
        <v>44</v>
      </c>
      <c r="D387" s="76">
        <v>1880.531391139489</v>
      </c>
      <c r="E387" s="76">
        <v>-616</v>
      </c>
      <c r="F387" s="76">
        <v>26269</v>
      </c>
      <c r="G387" s="76">
        <v>1284</v>
      </c>
      <c r="H387" s="76">
        <v>1205.9215451405464</v>
      </c>
      <c r="I387" s="76">
        <v>18626</v>
      </c>
      <c r="J387" s="76">
        <f t="shared" si="12"/>
        <v>-1854</v>
      </c>
      <c r="K387" s="76">
        <v>269723</v>
      </c>
      <c r="L387" s="103">
        <f t="shared" si="15"/>
        <v>6.0311966162636121E-3</v>
      </c>
      <c r="M387" s="103">
        <f t="shared" si="13"/>
        <v>9.7392510093688711E-2</v>
      </c>
      <c r="N387" s="103">
        <f t="shared" si="14"/>
        <v>0.70904868856827441</v>
      </c>
      <c r="O387" s="76">
        <f t="shared" si="16"/>
        <v>133915.068</v>
      </c>
      <c r="P387" s="69"/>
      <c r="Q387" s="69"/>
      <c r="R387" s="69"/>
      <c r="S387" s="69"/>
      <c r="T387" s="69"/>
      <c r="U387" s="69"/>
      <c r="V387" s="69"/>
      <c r="W387" s="76">
        <f t="shared" si="10"/>
        <v>805.67741935483866</v>
      </c>
      <c r="X387" s="69"/>
      <c r="Y387" s="76">
        <f t="shared" si="11"/>
        <v>11843.458064516128</v>
      </c>
      <c r="Z387" s="69"/>
      <c r="AA387" s="76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</row>
    <row r="388" spans="1:37" s="140" customFormat="1" ht="12">
      <c r="A388" s="139">
        <v>41214</v>
      </c>
      <c r="B388" s="76">
        <v>24744</v>
      </c>
      <c r="C388" s="76">
        <v>74</v>
      </c>
      <c r="D388" s="76">
        <v>2267.409286104883</v>
      </c>
      <c r="E388" s="76">
        <v>586</v>
      </c>
      <c r="F388" s="76">
        <v>24975</v>
      </c>
      <c r="G388" s="76">
        <v>965</v>
      </c>
      <c r="H388" s="76">
        <v>962.87854457735671</v>
      </c>
      <c r="I388" s="76">
        <v>19992</v>
      </c>
      <c r="J388" s="76">
        <f t="shared" si="12"/>
        <v>-1902</v>
      </c>
      <c r="K388" s="76">
        <v>254478</v>
      </c>
      <c r="L388" s="103">
        <f t="shared" si="15"/>
        <v>-6.3877804415221062E-3</v>
      </c>
      <c r="M388" s="103">
        <f t="shared" si="13"/>
        <v>9.8142079079527503E-2</v>
      </c>
      <c r="N388" s="103">
        <f t="shared" si="14"/>
        <v>0.80048048048048048</v>
      </c>
      <c r="O388" s="76">
        <f t="shared" si="16"/>
        <v>133846.356</v>
      </c>
      <c r="P388" s="69"/>
      <c r="Q388" s="69"/>
      <c r="R388" s="69"/>
      <c r="S388" s="69"/>
      <c r="T388" s="69"/>
      <c r="U388" s="69"/>
      <c r="V388" s="69"/>
      <c r="W388" s="76">
        <f t="shared" si="10"/>
        <v>824.8</v>
      </c>
      <c r="X388" s="69"/>
      <c r="Y388" s="76">
        <f t="shared" si="11"/>
        <v>12124.56</v>
      </c>
      <c r="Z388" s="69"/>
      <c r="AA388" s="76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</row>
    <row r="389" spans="1:37" s="140" customFormat="1" ht="12">
      <c r="A389" s="139">
        <v>41244</v>
      </c>
      <c r="B389" s="76">
        <v>25582</v>
      </c>
      <c r="C389" s="76">
        <v>457</v>
      </c>
      <c r="D389" s="76">
        <v>2143.2999205848118</v>
      </c>
      <c r="E389" s="76">
        <v>225</v>
      </c>
      <c r="F389" s="76">
        <v>25370</v>
      </c>
      <c r="G389" s="76">
        <v>1313</v>
      </c>
      <c r="H389" s="76">
        <v>1310.1415447103232</v>
      </c>
      <c r="I389" s="76">
        <v>20350</v>
      </c>
      <c r="J389" s="76">
        <f t="shared" si="12"/>
        <v>-777</v>
      </c>
      <c r="K389" s="76">
        <v>260055</v>
      </c>
      <c r="L389" s="103">
        <f t="shared" si="15"/>
        <v>-3.3917194494492597E-2</v>
      </c>
      <c r="M389" s="103">
        <f t="shared" si="13"/>
        <v>9.7556286170233222E-2</v>
      </c>
      <c r="N389" s="103">
        <f t="shared" si="14"/>
        <v>0.80212849822625143</v>
      </c>
      <c r="O389" s="76">
        <f t="shared" si="16"/>
        <v>133462.89600000001</v>
      </c>
      <c r="P389" s="69"/>
      <c r="Q389" s="69"/>
      <c r="R389" s="69"/>
      <c r="S389" s="69"/>
      <c r="T389" s="69"/>
      <c r="U389" s="69"/>
      <c r="V389" s="69"/>
      <c r="W389" s="76">
        <f t="shared" si="10"/>
        <v>825.22580645161293</v>
      </c>
      <c r="X389" s="69"/>
      <c r="Y389" s="76">
        <f t="shared" si="11"/>
        <v>12130.81935483871</v>
      </c>
      <c r="Z389" s="69"/>
      <c r="AA389" s="76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</row>
    <row r="390" spans="1:37" s="140" customFormat="1" ht="12">
      <c r="A390" s="139">
        <v>41275</v>
      </c>
      <c r="B390" s="76">
        <v>24778</v>
      </c>
      <c r="C390" s="76">
        <v>561</v>
      </c>
      <c r="D390" s="76">
        <v>1468.3234413432729</v>
      </c>
      <c r="E390" s="76">
        <v>-259</v>
      </c>
      <c r="F390" s="76">
        <v>24208</v>
      </c>
      <c r="G390" s="76">
        <v>1518</v>
      </c>
      <c r="H390" s="76">
        <v>1513.9959488567699</v>
      </c>
      <c r="I390" s="76">
        <v>19894</v>
      </c>
      <c r="J390" s="76">
        <f t="shared" si="12"/>
        <v>-190</v>
      </c>
      <c r="K390" s="76">
        <v>258264</v>
      </c>
      <c r="L390" s="103">
        <f t="shared" si="15"/>
        <v>1.7175850620118727E-2</v>
      </c>
      <c r="M390" s="103">
        <f t="shared" si="13"/>
        <v>9.3733543970510799E-2</v>
      </c>
      <c r="N390" s="103">
        <f t="shared" si="14"/>
        <v>0.82179444811632518</v>
      </c>
      <c r="O390" s="76">
        <f t="shared" si="16"/>
        <v>133646.05799999999</v>
      </c>
      <c r="P390" s="69"/>
      <c r="Q390" s="69"/>
      <c r="R390" s="69"/>
      <c r="S390" s="69"/>
      <c r="T390" s="69"/>
      <c r="U390" s="69"/>
      <c r="V390" s="69"/>
      <c r="W390" s="76">
        <f t="shared" ref="W390:W453" si="17">B390/(A391-A390)</f>
        <v>799.29032258064512</v>
      </c>
      <c r="X390" s="69"/>
      <c r="Y390" s="76">
        <f t="shared" ref="Y390:Y453" si="18">W390*350*42/1000</f>
        <v>11749.567741935483</v>
      </c>
      <c r="Z390" s="69"/>
      <c r="AA390" s="76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</row>
    <row r="391" spans="1:37" s="140" customFormat="1" ht="12">
      <c r="A391" s="139">
        <v>41306</v>
      </c>
      <c r="B391" s="76">
        <v>22494</v>
      </c>
      <c r="C391" s="76">
        <v>100</v>
      </c>
      <c r="D391" s="76">
        <v>802.41405567063816</v>
      </c>
      <c r="E391" s="76">
        <v>215</v>
      </c>
      <c r="F391" s="76">
        <v>22867</v>
      </c>
      <c r="G391" s="76">
        <v>1017</v>
      </c>
      <c r="H391" s="76">
        <v>1012.0669070130291</v>
      </c>
      <c r="I391" s="76">
        <v>19009</v>
      </c>
      <c r="J391" s="76">
        <f t="shared" si="12"/>
        <v>-190</v>
      </c>
      <c r="K391" s="76">
        <v>235070</v>
      </c>
      <c r="L391" s="103">
        <f t="shared" si="15"/>
        <v>-5.7212184410531997E-2</v>
      </c>
      <c r="M391" s="103">
        <f t="shared" si="13"/>
        <v>9.727740672991024E-2</v>
      </c>
      <c r="N391" s="103">
        <f t="shared" si="14"/>
        <v>0.8312852582323873</v>
      </c>
      <c r="O391" s="76">
        <f t="shared" si="16"/>
        <v>133046.92800000001</v>
      </c>
      <c r="P391" s="69"/>
      <c r="Q391" s="69"/>
      <c r="R391" s="69"/>
      <c r="S391" s="69"/>
      <c r="T391" s="69"/>
      <c r="U391" s="69"/>
      <c r="V391" s="69"/>
      <c r="W391" s="76">
        <f t="shared" si="17"/>
        <v>803.35714285714289</v>
      </c>
      <c r="X391" s="69"/>
      <c r="Y391" s="76">
        <f t="shared" si="18"/>
        <v>11809.35</v>
      </c>
      <c r="Z391" s="69"/>
      <c r="AA391" s="76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</row>
    <row r="392" spans="1:37" s="140" customFormat="1" ht="12">
      <c r="A392" s="139">
        <v>41334</v>
      </c>
      <c r="B392" s="76">
        <v>25620</v>
      </c>
      <c r="C392" s="76">
        <v>104</v>
      </c>
      <c r="D392" s="76">
        <v>1436.725939355377</v>
      </c>
      <c r="E392" s="76">
        <v>89</v>
      </c>
      <c r="F392" s="76">
        <v>26139</v>
      </c>
      <c r="G392" s="76">
        <v>1312</v>
      </c>
      <c r="H392" s="76">
        <v>1306.3507368705484</v>
      </c>
      <c r="I392" s="76">
        <v>18410</v>
      </c>
      <c r="J392" s="76">
        <f t="shared" si="12"/>
        <v>-1039</v>
      </c>
      <c r="K392" s="76">
        <v>267857</v>
      </c>
      <c r="L392" s="103">
        <f t="shared" si="15"/>
        <v>6.8146622363218778E-3</v>
      </c>
      <c r="M392" s="103">
        <f t="shared" si="13"/>
        <v>9.7585652045681093E-2</v>
      </c>
      <c r="N392" s="103">
        <f t="shared" si="14"/>
        <v>0.70431156509430348</v>
      </c>
      <c r="O392" s="76">
        <f t="shared" si="16"/>
        <v>133123.07399999999</v>
      </c>
      <c r="P392" s="69"/>
      <c r="Q392" s="69"/>
      <c r="R392" s="69"/>
      <c r="S392" s="69"/>
      <c r="T392" s="69"/>
      <c r="U392" s="69"/>
      <c r="V392" s="69"/>
      <c r="W392" s="76">
        <f t="shared" si="17"/>
        <v>826.45161290322585</v>
      </c>
      <c r="X392" s="69"/>
      <c r="Y392" s="76">
        <f t="shared" si="18"/>
        <v>12148.838709677419</v>
      </c>
      <c r="Z392" s="69"/>
      <c r="AA392" s="76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</row>
    <row r="393" spans="1:37" s="140" customFormat="1" ht="12">
      <c r="A393" s="139">
        <v>41365</v>
      </c>
      <c r="B393" s="76">
        <v>25601</v>
      </c>
      <c r="C393" s="76">
        <v>9</v>
      </c>
      <c r="D393" s="76">
        <v>618.62036458024727</v>
      </c>
      <c r="E393" s="76">
        <v>-570</v>
      </c>
      <c r="F393" s="76">
        <v>25520</v>
      </c>
      <c r="G393" s="76">
        <v>967</v>
      </c>
      <c r="H393" s="76">
        <v>965.88500006478512</v>
      </c>
      <c r="I393" s="76">
        <v>17370</v>
      </c>
      <c r="J393" s="76">
        <f t="shared" si="12"/>
        <v>-407</v>
      </c>
      <c r="K393" s="76">
        <v>265661</v>
      </c>
      <c r="L393" s="103">
        <f t="shared" si="15"/>
        <v>1.3138023614119643E-2</v>
      </c>
      <c r="M393" s="103">
        <f t="shared" si="13"/>
        <v>9.6062274854043311E-2</v>
      </c>
      <c r="N393" s="103">
        <f t="shared" si="14"/>
        <v>0.68064263322884011</v>
      </c>
      <c r="O393" s="76">
        <f t="shared" si="16"/>
        <v>133267.764</v>
      </c>
      <c r="P393" s="69"/>
      <c r="Q393" s="69"/>
      <c r="R393" s="69"/>
      <c r="S393" s="69"/>
      <c r="T393" s="69"/>
      <c r="U393" s="69"/>
      <c r="V393" s="69"/>
      <c r="W393" s="76">
        <f t="shared" si="17"/>
        <v>853.36666666666667</v>
      </c>
      <c r="X393" s="69"/>
      <c r="Y393" s="76">
        <f t="shared" si="18"/>
        <v>12544.49</v>
      </c>
      <c r="Z393" s="69"/>
      <c r="AA393" s="76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</row>
    <row r="394" spans="1:37" s="140" customFormat="1" ht="12">
      <c r="A394" s="139">
        <v>41395</v>
      </c>
      <c r="B394" s="76">
        <v>27197</v>
      </c>
      <c r="C394" s="76">
        <v>7</v>
      </c>
      <c r="D394" s="76">
        <v>711.95558988955213</v>
      </c>
      <c r="E394" s="76">
        <v>-392</v>
      </c>
      <c r="F394" s="76">
        <v>26971</v>
      </c>
      <c r="G394" s="76">
        <v>952</v>
      </c>
      <c r="H394" s="76">
        <v>947.1676654261895</v>
      </c>
      <c r="I394" s="76">
        <v>16804</v>
      </c>
      <c r="J394" s="76">
        <f t="shared" si="12"/>
        <v>-545</v>
      </c>
      <c r="K394" s="76">
        <v>280036</v>
      </c>
      <c r="L394" s="103">
        <f t="shared" si="15"/>
        <v>6.0390508523289199E-3</v>
      </c>
      <c r="M394" s="103">
        <f t="shared" si="13"/>
        <v>9.6312616949249377E-2</v>
      </c>
      <c r="N394" s="103">
        <f t="shared" si="14"/>
        <v>0.62303956100997371</v>
      </c>
      <c r="O394" s="76">
        <f t="shared" si="16"/>
        <v>133338.36600000001</v>
      </c>
      <c r="P394" s="69"/>
      <c r="Q394" s="69"/>
      <c r="R394" s="69"/>
      <c r="S394" s="69"/>
      <c r="T394" s="69"/>
      <c r="U394" s="69"/>
      <c r="V394" s="69"/>
      <c r="W394" s="76">
        <f t="shared" si="17"/>
        <v>877.32258064516134</v>
      </c>
      <c r="X394" s="69"/>
      <c r="Y394" s="76">
        <f t="shared" si="18"/>
        <v>12896.641935483873</v>
      </c>
      <c r="Z394" s="69"/>
      <c r="AA394" s="76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</row>
    <row r="395" spans="1:37" s="140" customFormat="1" ht="12">
      <c r="A395" s="139">
        <v>41426</v>
      </c>
      <c r="B395" s="76">
        <v>26722</v>
      </c>
      <c r="C395" s="76">
        <v>30</v>
      </c>
      <c r="D395" s="76">
        <v>904.78404490625087</v>
      </c>
      <c r="E395" s="76">
        <v>-1019</v>
      </c>
      <c r="F395" s="76">
        <v>26209</v>
      </c>
      <c r="G395" s="76">
        <v>796</v>
      </c>
      <c r="H395" s="76">
        <v>790.93295674960541</v>
      </c>
      <c r="I395" s="76">
        <v>16428</v>
      </c>
      <c r="J395" s="76">
        <f t="shared" si="12"/>
        <v>-896</v>
      </c>
      <c r="K395" s="76">
        <v>272326</v>
      </c>
      <c r="L395" s="103">
        <f t="shared" si="15"/>
        <v>9.1156351670829139E-3</v>
      </c>
      <c r="M395" s="103">
        <f t="shared" si="13"/>
        <v>9.6241269654752021E-2</v>
      </c>
      <c r="N395" s="103">
        <f t="shared" si="14"/>
        <v>0.62680758518066315</v>
      </c>
      <c r="O395" s="76">
        <f t="shared" si="16"/>
        <v>133441.68599999999</v>
      </c>
      <c r="P395" s="69"/>
      <c r="Q395" s="69"/>
      <c r="R395" s="69"/>
      <c r="S395" s="69"/>
      <c r="T395" s="69"/>
      <c r="U395" s="69"/>
      <c r="V395" s="69"/>
      <c r="W395" s="76">
        <f t="shared" si="17"/>
        <v>890.73333333333335</v>
      </c>
      <c r="X395" s="69"/>
      <c r="Y395" s="76">
        <f t="shared" si="18"/>
        <v>13093.78</v>
      </c>
      <c r="Z395" s="69"/>
      <c r="AA395" s="76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</row>
    <row r="396" spans="1:37" s="140" customFormat="1" ht="12">
      <c r="A396" s="139">
        <v>41456</v>
      </c>
      <c r="B396" s="76">
        <v>26923</v>
      </c>
      <c r="C396" s="76">
        <v>33</v>
      </c>
      <c r="D396" s="76">
        <v>2006.2654155472374</v>
      </c>
      <c r="E396" s="76">
        <v>43</v>
      </c>
      <c r="F396" s="76">
        <v>26946</v>
      </c>
      <c r="G396" s="76">
        <v>830</v>
      </c>
      <c r="H396" s="76">
        <v>826.5094263551498</v>
      </c>
      <c r="I396" s="76">
        <v>17072</v>
      </c>
      <c r="J396" s="76">
        <f t="shared" si="12"/>
        <v>-1421</v>
      </c>
      <c r="K396" s="76">
        <v>283530</v>
      </c>
      <c r="L396" s="103">
        <f t="shared" si="15"/>
        <v>3.8118915198137149E-2</v>
      </c>
      <c r="M396" s="103">
        <f t="shared" si="13"/>
        <v>9.5037562162734096E-2</v>
      </c>
      <c r="N396" s="103">
        <f t="shared" si="14"/>
        <v>0.63356342314258141</v>
      </c>
      <c r="O396" s="76">
        <f t="shared" si="16"/>
        <v>133878.948</v>
      </c>
      <c r="P396" s="69"/>
      <c r="Q396" s="69"/>
      <c r="R396" s="69"/>
      <c r="S396" s="69"/>
      <c r="T396" s="69"/>
      <c r="U396" s="69"/>
      <c r="V396" s="69"/>
      <c r="W396" s="76">
        <f t="shared" si="17"/>
        <v>868.48387096774195</v>
      </c>
      <c r="X396" s="69"/>
      <c r="Y396" s="76">
        <f t="shared" si="18"/>
        <v>12766.712903225807</v>
      </c>
      <c r="Z396" s="69"/>
      <c r="AA396" s="76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</row>
    <row r="397" spans="1:37" s="140" customFormat="1" ht="12">
      <c r="A397" s="139">
        <v>41487</v>
      </c>
      <c r="B397" s="76">
        <v>26279</v>
      </c>
      <c r="C397" s="76">
        <v>292</v>
      </c>
      <c r="D397" s="76">
        <v>1909.7922902230757</v>
      </c>
      <c r="E397" s="76">
        <v>630</v>
      </c>
      <c r="F397" s="76">
        <v>27449</v>
      </c>
      <c r="G397" s="76">
        <v>1182</v>
      </c>
      <c r="H397" s="76">
        <v>1178.7424234476207</v>
      </c>
      <c r="I397" s="76">
        <v>16945</v>
      </c>
      <c r="J397" s="76">
        <f t="shared" si="12"/>
        <v>-1303</v>
      </c>
      <c r="K397" s="76">
        <v>282851</v>
      </c>
      <c r="L397" s="103">
        <f t="shared" si="15"/>
        <v>-3.2350256722898374E-3</v>
      </c>
      <c r="M397" s="103">
        <f t="shared" si="13"/>
        <v>9.7044026713711456E-2</v>
      </c>
      <c r="N397" s="103">
        <f t="shared" si="14"/>
        <v>0.61732667856752521</v>
      </c>
      <c r="O397" s="76">
        <f t="shared" si="16"/>
        <v>133840.39199999999</v>
      </c>
      <c r="P397" s="69"/>
      <c r="Q397" s="69"/>
      <c r="R397" s="69"/>
      <c r="S397" s="69"/>
      <c r="T397" s="69"/>
      <c r="U397" s="69"/>
      <c r="V397" s="69"/>
      <c r="W397" s="76">
        <f t="shared" si="17"/>
        <v>847.70967741935488</v>
      </c>
      <c r="X397" s="69"/>
      <c r="Y397" s="76">
        <f t="shared" si="18"/>
        <v>12461.332258064516</v>
      </c>
      <c r="Z397" s="69"/>
      <c r="AA397" s="76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</row>
    <row r="398" spans="1:37" s="140" customFormat="1" ht="12">
      <c r="A398" s="139">
        <v>41518</v>
      </c>
      <c r="B398" s="76">
        <v>25564</v>
      </c>
      <c r="C398" s="76">
        <v>7</v>
      </c>
      <c r="D398" s="76">
        <v>1253.5744634065557</v>
      </c>
      <c r="E398" s="76">
        <v>-893</v>
      </c>
      <c r="F398" s="76">
        <v>25443</v>
      </c>
      <c r="G398" s="76">
        <v>1299</v>
      </c>
      <c r="H398" s="76">
        <v>1298.443296259913</v>
      </c>
      <c r="I398" s="76">
        <v>15986</v>
      </c>
      <c r="J398" s="76">
        <f t="shared" si="12"/>
        <v>-1105</v>
      </c>
      <c r="K398" s="76">
        <v>268394</v>
      </c>
      <c r="L398" s="103">
        <f t="shared" si="15"/>
        <v>4.5046237710503201E-2</v>
      </c>
      <c r="M398" s="103">
        <f t="shared" si="13"/>
        <v>9.4797201129682485E-2</v>
      </c>
      <c r="N398" s="103">
        <f t="shared" si="14"/>
        <v>0.62830641040757773</v>
      </c>
      <c r="O398" s="76">
        <f t="shared" si="16"/>
        <v>134326.29</v>
      </c>
      <c r="P398" s="69"/>
      <c r="Q398" s="69"/>
      <c r="R398" s="69"/>
      <c r="S398" s="69"/>
      <c r="T398" s="69"/>
      <c r="U398" s="69"/>
      <c r="V398" s="69"/>
      <c r="W398" s="76">
        <f t="shared" si="17"/>
        <v>852.13333333333333</v>
      </c>
      <c r="X398" s="69"/>
      <c r="Y398" s="76">
        <f t="shared" si="18"/>
        <v>12526.36</v>
      </c>
      <c r="Z398" s="69"/>
      <c r="AA398" s="76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</row>
    <row r="399" spans="1:37" s="140" customFormat="1" ht="12">
      <c r="A399" s="139">
        <v>41548</v>
      </c>
      <c r="B399" s="76">
        <v>27995</v>
      </c>
      <c r="C399" s="76">
        <v>39</v>
      </c>
      <c r="D399" s="76">
        <v>688.19420831435389</v>
      </c>
      <c r="E399" s="76">
        <v>-494</v>
      </c>
      <c r="F399" s="76">
        <v>26970</v>
      </c>
      <c r="G399" s="76">
        <v>1206</v>
      </c>
      <c r="H399" s="76">
        <v>1203.436207010853</v>
      </c>
      <c r="I399" s="76">
        <v>15750</v>
      </c>
      <c r="J399" s="76">
        <f t="shared" si="12"/>
        <v>-400</v>
      </c>
      <c r="K399" s="76">
        <v>277261</v>
      </c>
      <c r="L399" s="103">
        <f t="shared" si="15"/>
        <v>2.79471902655688E-2</v>
      </c>
      <c r="M399" s="103">
        <f t="shared" si="13"/>
        <v>9.7272966627113086E-2</v>
      </c>
      <c r="N399" s="103">
        <f t="shared" si="14"/>
        <v>0.58398220244716348</v>
      </c>
      <c r="O399" s="76">
        <f t="shared" si="16"/>
        <v>134642.886</v>
      </c>
      <c r="P399" s="69"/>
      <c r="Q399" s="69"/>
      <c r="R399" s="69"/>
      <c r="S399" s="69"/>
      <c r="T399" s="69"/>
      <c r="U399" s="69"/>
      <c r="V399" s="69"/>
      <c r="W399" s="76">
        <f t="shared" si="17"/>
        <v>903.06451612903231</v>
      </c>
      <c r="X399" s="69"/>
      <c r="Y399" s="76">
        <f t="shared" si="18"/>
        <v>13275.048387096776</v>
      </c>
      <c r="Z399" s="69"/>
      <c r="AA399" s="76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</row>
    <row r="400" spans="1:37" s="140" customFormat="1" ht="12">
      <c r="A400" s="139">
        <v>41579</v>
      </c>
      <c r="B400" s="76">
        <v>27915</v>
      </c>
      <c r="C400" s="76">
        <v>7</v>
      </c>
      <c r="D400" s="76">
        <v>392.76052502836393</v>
      </c>
      <c r="E400" s="76">
        <v>-543</v>
      </c>
      <c r="F400" s="76">
        <v>25651</v>
      </c>
      <c r="G400" s="76">
        <v>2134</v>
      </c>
      <c r="H400" s="76">
        <v>2135.9409391522163</v>
      </c>
      <c r="I400" s="76">
        <v>15569</v>
      </c>
      <c r="J400" s="76">
        <f t="shared" si="12"/>
        <v>-225</v>
      </c>
      <c r="K400" s="76">
        <v>267684</v>
      </c>
      <c r="L400" s="103">
        <f t="shared" si="15"/>
        <v>5.1894466319288846E-2</v>
      </c>
      <c r="M400" s="103">
        <f t="shared" si="13"/>
        <v>9.5825675049685449E-2</v>
      </c>
      <c r="N400" s="103">
        <f t="shared" si="14"/>
        <v>0.60695489454602158</v>
      </c>
      <c r="O400" s="76">
        <f t="shared" si="16"/>
        <v>135197.538</v>
      </c>
      <c r="P400" s="69"/>
      <c r="Q400" s="69"/>
      <c r="R400" s="69"/>
      <c r="S400" s="69"/>
      <c r="T400" s="69"/>
      <c r="U400" s="69"/>
      <c r="V400" s="69"/>
      <c r="W400" s="76">
        <f t="shared" si="17"/>
        <v>930.5</v>
      </c>
      <c r="X400" s="69"/>
      <c r="Y400" s="76">
        <f t="shared" si="18"/>
        <v>13678.35</v>
      </c>
      <c r="Z400" s="69"/>
      <c r="AA400" s="76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</row>
    <row r="401" spans="1:37" s="140" customFormat="1" ht="12">
      <c r="A401" s="139">
        <v>41609</v>
      </c>
      <c r="B401" s="76">
        <v>29405</v>
      </c>
      <c r="C401" s="76">
        <v>257</v>
      </c>
      <c r="D401" s="76">
        <v>201.92822416795511</v>
      </c>
      <c r="E401" s="76">
        <v>-896</v>
      </c>
      <c r="F401" s="76">
        <v>26195</v>
      </c>
      <c r="G401" s="76">
        <v>1525</v>
      </c>
      <c r="H401" s="76">
        <v>1504.1344329437297</v>
      </c>
      <c r="I401" s="76">
        <v>16424</v>
      </c>
      <c r="J401" s="76">
        <f t="shared" si="12"/>
        <v>191</v>
      </c>
      <c r="K401" s="76">
        <v>268755</v>
      </c>
      <c r="L401" s="103">
        <f t="shared" si="15"/>
        <v>3.3454461556209347E-2</v>
      </c>
      <c r="M401" s="103">
        <f t="shared" si="13"/>
        <v>9.7467954084575176E-2</v>
      </c>
      <c r="N401" s="103">
        <f t="shared" si="14"/>
        <v>0.62698988356556595</v>
      </c>
      <c r="O401" s="76">
        <f t="shared" si="16"/>
        <v>135562.93799999999</v>
      </c>
      <c r="P401" s="69"/>
      <c r="Q401" s="69"/>
      <c r="R401" s="69"/>
      <c r="S401" s="69"/>
      <c r="T401" s="69"/>
      <c r="U401" s="69"/>
      <c r="V401" s="69"/>
      <c r="W401" s="76">
        <f t="shared" si="17"/>
        <v>948.54838709677415</v>
      </c>
      <c r="X401" s="69"/>
      <c r="Y401" s="76">
        <f t="shared" si="18"/>
        <v>13943.661290322581</v>
      </c>
      <c r="Z401" s="69"/>
      <c r="AA401" s="76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</row>
    <row r="402" spans="1:37" s="140" customFormat="1" ht="12">
      <c r="A402" s="139">
        <v>41640</v>
      </c>
      <c r="B402" s="76">
        <v>28194</v>
      </c>
      <c r="C402" s="76">
        <v>8</v>
      </c>
      <c r="D402" s="76">
        <v>653.76905766388006</v>
      </c>
      <c r="E402" s="76">
        <v>-382</v>
      </c>
      <c r="F402" s="76">
        <v>25059</v>
      </c>
      <c r="G402" s="76">
        <v>2091</v>
      </c>
      <c r="H402" s="76">
        <v>2089.9910068243221</v>
      </c>
      <c r="I402" s="76">
        <v>17153</v>
      </c>
      <c r="J402" s="76">
        <f t="shared" si="12"/>
        <v>-59</v>
      </c>
      <c r="K402" s="76">
        <v>256477</v>
      </c>
      <c r="L402" s="103">
        <f t="shared" si="15"/>
        <v>-6.9192763993433104E-3</v>
      </c>
      <c r="M402" s="103">
        <f t="shared" si="13"/>
        <v>9.7704667475056239E-2</v>
      </c>
      <c r="N402" s="103">
        <f t="shared" si="14"/>
        <v>0.68450456921664871</v>
      </c>
      <c r="O402" s="76">
        <f t="shared" si="16"/>
        <v>135487.88399999999</v>
      </c>
      <c r="P402" s="69"/>
      <c r="Q402" s="69"/>
      <c r="R402" s="69"/>
      <c r="S402" s="69"/>
      <c r="T402" s="69"/>
      <c r="U402" s="69"/>
      <c r="V402" s="69"/>
      <c r="W402" s="76">
        <f t="shared" si="17"/>
        <v>909.48387096774195</v>
      </c>
      <c r="X402" s="69"/>
      <c r="Y402" s="76">
        <f t="shared" si="18"/>
        <v>13369.412903225808</v>
      </c>
      <c r="Z402" s="69"/>
      <c r="AA402" s="76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</row>
    <row r="403" spans="1:37" s="140" customFormat="1" ht="12">
      <c r="A403" s="139">
        <v>41671</v>
      </c>
      <c r="B403" s="76">
        <v>25269</v>
      </c>
      <c r="C403" s="76">
        <v>9</v>
      </c>
      <c r="D403" s="76">
        <v>60.854199475907556</v>
      </c>
      <c r="E403" s="76">
        <v>-630</v>
      </c>
      <c r="F403" s="76">
        <v>23454</v>
      </c>
      <c r="G403" s="76">
        <v>1517</v>
      </c>
      <c r="H403" s="76">
        <v>1513.9297737264665</v>
      </c>
      <c r="I403" s="76">
        <v>16865</v>
      </c>
      <c r="J403" s="76">
        <f t="shared" si="12"/>
        <v>-35</v>
      </c>
      <c r="K403" s="76">
        <v>242108</v>
      </c>
      <c r="L403" s="103">
        <f t="shared" si="15"/>
        <v>2.9940017867018387E-2</v>
      </c>
      <c r="M403" s="103">
        <f t="shared" si="13"/>
        <v>9.6874122292530604E-2</v>
      </c>
      <c r="N403" s="103">
        <f t="shared" si="14"/>
        <v>0.71906711008783153</v>
      </c>
      <c r="O403" s="76">
        <f t="shared" si="16"/>
        <v>135783.48000000001</v>
      </c>
      <c r="P403" s="69"/>
      <c r="Q403" s="69"/>
      <c r="R403" s="69"/>
      <c r="S403" s="69"/>
      <c r="T403" s="69"/>
      <c r="U403" s="69"/>
      <c r="V403" s="69"/>
      <c r="W403" s="76">
        <f t="shared" si="17"/>
        <v>902.46428571428567</v>
      </c>
      <c r="X403" s="69"/>
      <c r="Y403" s="76">
        <f t="shared" si="18"/>
        <v>13266.225</v>
      </c>
      <c r="Z403" s="69"/>
      <c r="AA403" s="76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</row>
    <row r="404" spans="1:37" s="140" customFormat="1" ht="12">
      <c r="A404" s="139">
        <v>41699</v>
      </c>
      <c r="B404" s="76">
        <v>28120</v>
      </c>
      <c r="C404" s="76">
        <v>41</v>
      </c>
      <c r="D404" s="76">
        <v>495.32679419138213</v>
      </c>
      <c r="E404" s="76">
        <v>820</v>
      </c>
      <c r="F404" s="76">
        <v>26510</v>
      </c>
      <c r="G404" s="76">
        <v>2059</v>
      </c>
      <c r="H404" s="76">
        <v>1919.8045037833858</v>
      </c>
      <c r="I404" s="76">
        <v>17310</v>
      </c>
      <c r="J404" s="76">
        <f t="shared" si="12"/>
        <v>-33</v>
      </c>
      <c r="K404" s="76">
        <v>269597</v>
      </c>
      <c r="L404" s="103">
        <f t="shared" si="15"/>
        <v>6.4960034645351605E-3</v>
      </c>
      <c r="M404" s="103">
        <f t="shared" si="13"/>
        <v>9.833195473243396E-2</v>
      </c>
      <c r="N404" s="103">
        <f t="shared" si="14"/>
        <v>0.65296114673708039</v>
      </c>
      <c r="O404" s="76">
        <f t="shared" si="16"/>
        <v>135856.56</v>
      </c>
      <c r="P404" s="69"/>
      <c r="Q404" s="69"/>
      <c r="R404" s="69"/>
      <c r="S404" s="69"/>
      <c r="T404" s="69"/>
      <c r="U404" s="69"/>
      <c r="V404" s="69"/>
      <c r="W404" s="76">
        <f t="shared" si="17"/>
        <v>907.09677419354841</v>
      </c>
      <c r="X404" s="69"/>
      <c r="Y404" s="76">
        <f t="shared" si="18"/>
        <v>13334.322580645161</v>
      </c>
      <c r="Z404" s="69"/>
      <c r="AA404" s="76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</row>
    <row r="405" spans="1:37" s="140" customFormat="1" ht="12">
      <c r="A405" s="139">
        <v>41730</v>
      </c>
      <c r="B405" s="76">
        <v>27733</v>
      </c>
      <c r="C405" s="76">
        <v>367</v>
      </c>
      <c r="D405" s="76">
        <v>481.20769707150049</v>
      </c>
      <c r="E405" s="76">
        <v>-35</v>
      </c>
      <c r="F405" s="76">
        <v>26196</v>
      </c>
      <c r="G405" s="76">
        <v>1659</v>
      </c>
      <c r="H405" s="76">
        <v>1646.7703316027541</v>
      </c>
      <c r="I405" s="76">
        <v>17610</v>
      </c>
      <c r="J405" s="76">
        <f t="shared" si="12"/>
        <v>-90</v>
      </c>
      <c r="K405" s="76">
        <v>268654</v>
      </c>
      <c r="L405" s="103">
        <f t="shared" si="15"/>
        <v>1.1266237799300693E-2</v>
      </c>
      <c r="M405" s="103">
        <f t="shared" si="13"/>
        <v>9.7508319250783529E-2</v>
      </c>
      <c r="N405" s="103">
        <f t="shared" si="14"/>
        <v>0.67224003664681631</v>
      </c>
      <c r="O405" s="76">
        <f t="shared" si="16"/>
        <v>135982.266</v>
      </c>
      <c r="P405" s="69"/>
      <c r="Q405" s="69"/>
      <c r="R405" s="69"/>
      <c r="S405" s="69"/>
      <c r="T405" s="69"/>
      <c r="U405" s="69"/>
      <c r="V405" s="69"/>
      <c r="W405" s="76">
        <f t="shared" si="17"/>
        <v>924.43333333333328</v>
      </c>
      <c r="X405" s="69"/>
      <c r="Y405" s="76">
        <f t="shared" si="18"/>
        <v>13589.169999999998</v>
      </c>
      <c r="Z405" s="69"/>
      <c r="AA405" s="76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</row>
    <row r="406" spans="1:37" s="140" customFormat="1" ht="12">
      <c r="A406" s="139">
        <v>41760</v>
      </c>
      <c r="B406" s="76">
        <v>28888</v>
      </c>
      <c r="C406" s="76">
        <v>505</v>
      </c>
      <c r="D406" s="76">
        <v>1022.7101650057155</v>
      </c>
      <c r="E406" s="76">
        <v>232</v>
      </c>
      <c r="F406" s="76">
        <v>27696</v>
      </c>
      <c r="G406" s="76">
        <v>1265</v>
      </c>
      <c r="H406" s="76">
        <v>1262.2866919743612</v>
      </c>
      <c r="I406" s="76">
        <v>18330</v>
      </c>
      <c r="J406" s="76">
        <f t="shared" ref="J406:J469" si="19">I405+B406+C406+E406-F406-G406-I406</f>
        <v>-56</v>
      </c>
      <c r="K406" s="76">
        <v>279707</v>
      </c>
      <c r="L406" s="103">
        <f t="shared" si="15"/>
        <v>-1.1748489479923574E-3</v>
      </c>
      <c r="M406" s="103">
        <f t="shared" ref="M406:M469" si="20">F406/K406</f>
        <v>9.9017900874844036E-2</v>
      </c>
      <c r="N406" s="103">
        <f t="shared" ref="N406:N469" si="21">I406/F406</f>
        <v>0.66182842287694976</v>
      </c>
      <c r="O406" s="76">
        <f t="shared" si="16"/>
        <v>135968.448</v>
      </c>
      <c r="P406" s="69"/>
      <c r="Q406" s="69"/>
      <c r="R406" s="69"/>
      <c r="S406" s="69"/>
      <c r="T406" s="69"/>
      <c r="U406" s="69"/>
      <c r="V406" s="69"/>
      <c r="W406" s="76">
        <f t="shared" si="17"/>
        <v>931.87096774193549</v>
      </c>
      <c r="X406" s="69"/>
      <c r="Y406" s="76">
        <f t="shared" si="18"/>
        <v>13698.503225806451</v>
      </c>
      <c r="Z406" s="69"/>
      <c r="AA406" s="76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</row>
    <row r="407" spans="1:37" s="140" customFormat="1" ht="12">
      <c r="A407" s="139">
        <v>41791</v>
      </c>
      <c r="B407" s="76">
        <v>28629</v>
      </c>
      <c r="C407" s="76">
        <v>213</v>
      </c>
      <c r="D407" s="76">
        <v>608.52927675570402</v>
      </c>
      <c r="E407" s="76">
        <v>-250</v>
      </c>
      <c r="F407" s="76">
        <v>26646</v>
      </c>
      <c r="G407" s="76">
        <v>1378</v>
      </c>
      <c r="H407" s="76">
        <v>1375.5624508686924</v>
      </c>
      <c r="I407" s="76">
        <v>18785</v>
      </c>
      <c r="J407" s="76">
        <f t="shared" si="19"/>
        <v>113</v>
      </c>
      <c r="K407" s="76">
        <v>271181</v>
      </c>
      <c r="L407" s="103">
        <f t="shared" ref="L407:L470" si="22">K407/K395-1</f>
        <v>-4.2045195831467153E-3</v>
      </c>
      <c r="M407" s="103">
        <f t="shared" si="20"/>
        <v>9.8259096323119979E-2</v>
      </c>
      <c r="N407" s="103">
        <f t="shared" si="21"/>
        <v>0.70498386249343237</v>
      </c>
      <c r="O407" s="76">
        <f t="shared" si="16"/>
        <v>135920.35800000001</v>
      </c>
      <c r="P407" s="69"/>
      <c r="Q407" s="69"/>
      <c r="R407" s="69"/>
      <c r="S407" s="69"/>
      <c r="T407" s="69"/>
      <c r="U407" s="69"/>
      <c r="V407" s="69"/>
      <c r="W407" s="76">
        <f t="shared" si="17"/>
        <v>954.3</v>
      </c>
      <c r="X407" s="69"/>
      <c r="Y407" s="76">
        <f t="shared" si="18"/>
        <v>14028.21</v>
      </c>
      <c r="Z407" s="69"/>
      <c r="AA407" s="76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</row>
    <row r="408" spans="1:37" s="140" customFormat="1" ht="12">
      <c r="A408" s="139">
        <v>41821</v>
      </c>
      <c r="B408" s="76">
        <v>29413</v>
      </c>
      <c r="C408" s="76">
        <v>498</v>
      </c>
      <c r="D408" s="76">
        <v>574.52940557108923</v>
      </c>
      <c r="E408" s="76">
        <v>-418</v>
      </c>
      <c r="F408" s="76">
        <v>27589</v>
      </c>
      <c r="G408" s="76">
        <v>1599</v>
      </c>
      <c r="H408" s="76">
        <v>1494.3034477865579</v>
      </c>
      <c r="I408" s="76">
        <v>18696</v>
      </c>
      <c r="J408" s="76">
        <f t="shared" si="19"/>
        <v>394</v>
      </c>
      <c r="K408" s="76">
        <v>286709</v>
      </c>
      <c r="L408" s="103">
        <f t="shared" si="22"/>
        <v>1.1212217402038593E-2</v>
      </c>
      <c r="M408" s="103">
        <f t="shared" si="20"/>
        <v>9.6226487483825063E-2</v>
      </c>
      <c r="N408" s="103">
        <f t="shared" si="21"/>
        <v>0.67766138678458809</v>
      </c>
      <c r="O408" s="76">
        <f t="shared" si="16"/>
        <v>136053.87599999999</v>
      </c>
      <c r="P408" s="69"/>
      <c r="Q408" s="69"/>
      <c r="R408" s="69"/>
      <c r="S408" s="69"/>
      <c r="T408" s="69"/>
      <c r="U408" s="69"/>
      <c r="V408" s="69"/>
      <c r="W408" s="76">
        <f t="shared" si="17"/>
        <v>948.80645161290317</v>
      </c>
      <c r="X408" s="69"/>
      <c r="Y408" s="76">
        <f t="shared" si="18"/>
        <v>13947.454838709677</v>
      </c>
      <c r="Z408" s="69"/>
      <c r="AA408" s="76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</row>
    <row r="409" spans="1:37" s="140" customFormat="1" ht="12">
      <c r="A409" s="139">
        <v>41852</v>
      </c>
      <c r="B409" s="76">
        <v>28665</v>
      </c>
      <c r="C409" s="76">
        <v>228</v>
      </c>
      <c r="D409" s="76">
        <v>98.913900123544522</v>
      </c>
      <c r="E409" s="76">
        <v>-179</v>
      </c>
      <c r="F409" s="76">
        <v>27681</v>
      </c>
      <c r="G409" s="76">
        <v>1292</v>
      </c>
      <c r="H409" s="76">
        <v>1287.8773778169088</v>
      </c>
      <c r="I409" s="76">
        <v>18218</v>
      </c>
      <c r="J409" s="76">
        <f t="shared" si="19"/>
        <v>219</v>
      </c>
      <c r="K409" s="76">
        <v>288643</v>
      </c>
      <c r="L409" s="103">
        <f t="shared" si="22"/>
        <v>2.0477212383905208E-2</v>
      </c>
      <c r="M409" s="103">
        <f t="shared" si="20"/>
        <v>9.5900472209615339E-2</v>
      </c>
      <c r="N409" s="103">
        <f t="shared" si="21"/>
        <v>0.65814096311549442</v>
      </c>
      <c r="O409" s="76">
        <f t="shared" si="16"/>
        <v>136297.14000000001</v>
      </c>
      <c r="P409" s="69"/>
      <c r="Q409" s="69"/>
      <c r="R409" s="69"/>
      <c r="S409" s="69"/>
      <c r="T409" s="69"/>
      <c r="U409" s="69"/>
      <c r="V409" s="69"/>
      <c r="W409" s="76">
        <f t="shared" si="17"/>
        <v>924.67741935483866</v>
      </c>
      <c r="X409" s="69"/>
      <c r="Y409" s="76">
        <f t="shared" si="18"/>
        <v>13592.758064516127</v>
      </c>
      <c r="Z409" s="69"/>
      <c r="AA409" s="76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</row>
    <row r="410" spans="1:37" s="140" customFormat="1" ht="12">
      <c r="A410" s="139">
        <v>41883</v>
      </c>
      <c r="B410" s="76">
        <v>27807</v>
      </c>
      <c r="C410" s="76">
        <v>3</v>
      </c>
      <c r="D410" s="76">
        <v>534.66749088385836</v>
      </c>
      <c r="E410" s="76">
        <v>44</v>
      </c>
      <c r="F410" s="76">
        <v>25999</v>
      </c>
      <c r="G410" s="76">
        <v>1353</v>
      </c>
      <c r="H410" s="76">
        <v>1349.4637430606056</v>
      </c>
      <c r="I410" s="76">
        <v>18724</v>
      </c>
      <c r="J410" s="76">
        <f t="shared" si="19"/>
        <v>-4</v>
      </c>
      <c r="K410" s="76">
        <v>264648</v>
      </c>
      <c r="L410" s="103">
        <f t="shared" si="22"/>
        <v>-1.395709293054237E-2</v>
      </c>
      <c r="M410" s="103">
        <f t="shared" si="20"/>
        <v>9.8239926241649289E-2</v>
      </c>
      <c r="N410" s="103">
        <f t="shared" si="21"/>
        <v>0.72018154544405555</v>
      </c>
      <c r="O410" s="76">
        <f t="shared" si="16"/>
        <v>136139.80799999999</v>
      </c>
      <c r="P410" s="69"/>
      <c r="Q410" s="69"/>
      <c r="R410" s="69"/>
      <c r="S410" s="69"/>
      <c r="T410" s="69"/>
      <c r="U410" s="69"/>
      <c r="V410" s="69"/>
      <c r="W410" s="76">
        <f t="shared" si="17"/>
        <v>926.9</v>
      </c>
      <c r="X410" s="69"/>
      <c r="Y410" s="76">
        <f t="shared" si="18"/>
        <v>13625.43</v>
      </c>
      <c r="Z410" s="69"/>
      <c r="AA410" s="76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</row>
    <row r="411" spans="1:37" s="140" customFormat="1" ht="12">
      <c r="A411" s="139">
        <v>41913</v>
      </c>
      <c r="B411" s="76">
        <v>28644</v>
      </c>
      <c r="C411" s="76">
        <v>3</v>
      </c>
      <c r="D411" s="76">
        <v>189.55250616999277</v>
      </c>
      <c r="E411" s="76">
        <v>-729</v>
      </c>
      <c r="F411" s="76">
        <v>27379</v>
      </c>
      <c r="G411" s="76">
        <v>1949</v>
      </c>
      <c r="H411" s="76">
        <v>1948.2598035238304</v>
      </c>
      <c r="I411" s="76">
        <v>17341</v>
      </c>
      <c r="J411" s="76">
        <f t="shared" si="19"/>
        <v>-27</v>
      </c>
      <c r="K411" s="76">
        <v>283585</v>
      </c>
      <c r="L411" s="103">
        <f t="shared" si="22"/>
        <v>2.2808833553943808E-2</v>
      </c>
      <c r="M411" s="103">
        <f t="shared" si="20"/>
        <v>9.6546009133064159E-2</v>
      </c>
      <c r="N411" s="103">
        <f t="shared" si="21"/>
        <v>0.63336864019869243</v>
      </c>
      <c r="O411" s="76">
        <f t="shared" si="16"/>
        <v>136405.416</v>
      </c>
      <c r="P411" s="69"/>
      <c r="Q411" s="69"/>
      <c r="R411" s="69"/>
      <c r="S411" s="69"/>
      <c r="T411" s="69"/>
      <c r="U411" s="69"/>
      <c r="V411" s="69"/>
      <c r="W411" s="76">
        <f t="shared" si="17"/>
        <v>924</v>
      </c>
      <c r="X411" s="69"/>
      <c r="Y411" s="76">
        <f t="shared" si="18"/>
        <v>13582.8</v>
      </c>
      <c r="Z411" s="69"/>
      <c r="AA411" s="76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</row>
    <row r="412" spans="1:37" s="140" customFormat="1" ht="12">
      <c r="A412" s="139">
        <v>41944</v>
      </c>
      <c r="B412" s="76">
        <v>28588</v>
      </c>
      <c r="C412" s="76">
        <v>2</v>
      </c>
      <c r="D412" s="76">
        <v>390.41483334320833</v>
      </c>
      <c r="E412" s="76">
        <v>-878</v>
      </c>
      <c r="F412" s="76">
        <v>25935</v>
      </c>
      <c r="G412" s="76">
        <v>2114</v>
      </c>
      <c r="H412" s="76">
        <v>2111.56139468317</v>
      </c>
      <c r="I412" s="76">
        <v>17035</v>
      </c>
      <c r="J412" s="76">
        <f t="shared" si="19"/>
        <v>-31</v>
      </c>
      <c r="K412" s="76">
        <v>267635</v>
      </c>
      <c r="L412" s="103">
        <f t="shared" si="22"/>
        <v>-1.830516579249819E-4</v>
      </c>
      <c r="M412" s="103">
        <f t="shared" si="20"/>
        <v>9.6904366020886659E-2</v>
      </c>
      <c r="N412" s="103">
        <f t="shared" si="21"/>
        <v>0.65683439367649898</v>
      </c>
      <c r="O412" s="76">
        <f t="shared" si="16"/>
        <v>136403.35800000001</v>
      </c>
      <c r="P412" s="69"/>
      <c r="Q412" s="69"/>
      <c r="R412" s="69"/>
      <c r="S412" s="69"/>
      <c r="T412" s="69"/>
      <c r="U412" s="69"/>
      <c r="V412" s="69"/>
      <c r="W412" s="76">
        <f t="shared" si="17"/>
        <v>952.93333333333328</v>
      </c>
      <c r="X412" s="69"/>
      <c r="Y412" s="76">
        <f t="shared" si="18"/>
        <v>14008.119999999999</v>
      </c>
      <c r="Z412" s="69"/>
      <c r="AA412" s="76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</row>
    <row r="413" spans="1:37" s="140" customFormat="1" ht="12">
      <c r="A413" s="139">
        <v>41974</v>
      </c>
      <c r="B413" s="76">
        <v>30831</v>
      </c>
      <c r="C413" s="76">
        <v>3</v>
      </c>
      <c r="D413" s="76">
        <v>504.82200393213998</v>
      </c>
      <c r="E413" s="76">
        <v>-520</v>
      </c>
      <c r="F413" s="76">
        <v>27027</v>
      </c>
      <c r="G413" s="76">
        <v>1872</v>
      </c>
      <c r="H413" s="76">
        <v>1986.3201331528408</v>
      </c>
      <c r="I413" s="76">
        <v>18739</v>
      </c>
      <c r="J413" s="76">
        <f t="shared" si="19"/>
        <v>-289</v>
      </c>
      <c r="K413" s="76">
        <v>277164</v>
      </c>
      <c r="L413" s="103">
        <f t="shared" si="22"/>
        <v>3.1288720209856624E-2</v>
      </c>
      <c r="M413" s="103">
        <f t="shared" si="20"/>
        <v>9.7512663982335365E-2</v>
      </c>
      <c r="N413" s="103">
        <f t="shared" si="21"/>
        <v>0.69334369334369339</v>
      </c>
      <c r="O413" s="76">
        <f t="shared" si="16"/>
        <v>136756.53599999999</v>
      </c>
      <c r="P413" s="69"/>
      <c r="Q413" s="69"/>
      <c r="R413" s="69"/>
      <c r="S413" s="69"/>
      <c r="T413" s="69"/>
      <c r="U413" s="69"/>
      <c r="V413" s="69"/>
      <c r="W413" s="76">
        <f t="shared" si="17"/>
        <v>994.54838709677415</v>
      </c>
      <c r="X413" s="69"/>
      <c r="Y413" s="76">
        <f t="shared" si="18"/>
        <v>14619.861290322582</v>
      </c>
      <c r="Z413" s="69"/>
      <c r="AA413" s="76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</row>
    <row r="414" spans="1:37" s="140" customFormat="1" ht="12">
      <c r="A414" s="139">
        <v>42005</v>
      </c>
      <c r="B414" s="76">
        <v>29770</v>
      </c>
      <c r="C414" s="76">
        <v>1</v>
      </c>
      <c r="D414" s="76">
        <v>497.09144546335239</v>
      </c>
      <c r="E414" s="76">
        <v>-206</v>
      </c>
      <c r="F414" s="76">
        <v>26023</v>
      </c>
      <c r="G414" s="76">
        <v>1640</v>
      </c>
      <c r="H414" s="76">
        <v>1681.445250756633</v>
      </c>
      <c r="I414" s="76">
        <v>20647</v>
      </c>
      <c r="J414" s="76">
        <f t="shared" si="19"/>
        <v>-6</v>
      </c>
      <c r="K414" s="76">
        <v>267812</v>
      </c>
      <c r="L414" s="103">
        <f t="shared" si="22"/>
        <v>4.4194996042530077E-2</v>
      </c>
      <c r="M414" s="103">
        <f t="shared" si="20"/>
        <v>9.7168909533553394E-2</v>
      </c>
      <c r="N414" s="103">
        <f t="shared" si="21"/>
        <v>0.79341351881028321</v>
      </c>
      <c r="O414" s="76">
        <f t="shared" si="16"/>
        <v>137232.606</v>
      </c>
      <c r="P414" s="69"/>
      <c r="Q414" s="69"/>
      <c r="R414" s="69"/>
      <c r="S414" s="69"/>
      <c r="T414" s="69"/>
      <c r="U414" s="69"/>
      <c r="V414" s="69"/>
      <c r="W414" s="76">
        <f t="shared" si="17"/>
        <v>960.32258064516134</v>
      </c>
      <c r="X414" s="69"/>
      <c r="Y414" s="76">
        <f t="shared" si="18"/>
        <v>14116.741935483873</v>
      </c>
      <c r="Z414" s="69"/>
      <c r="AA414" s="76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</row>
    <row r="415" spans="1:37" s="140" customFormat="1" ht="12">
      <c r="A415" s="139">
        <v>42036</v>
      </c>
      <c r="B415" s="76">
        <v>26814</v>
      </c>
      <c r="C415" s="76">
        <v>250</v>
      </c>
      <c r="D415" s="76">
        <v>314.02391965844805</v>
      </c>
      <c r="E415" s="76">
        <v>-579</v>
      </c>
      <c r="F415" s="76">
        <v>24202</v>
      </c>
      <c r="G415" s="76">
        <v>1662</v>
      </c>
      <c r="H415" s="76">
        <v>1726.6522617352512</v>
      </c>
      <c r="I415" s="76">
        <v>21057</v>
      </c>
      <c r="J415" s="76">
        <f t="shared" si="19"/>
        <v>211</v>
      </c>
      <c r="K415" s="76">
        <v>247200</v>
      </c>
      <c r="L415" s="103">
        <f t="shared" si="22"/>
        <v>2.1031936160721632E-2</v>
      </c>
      <c r="M415" s="103">
        <f t="shared" si="20"/>
        <v>9.7904530744336568E-2</v>
      </c>
      <c r="N415" s="103">
        <f t="shared" si="21"/>
        <v>0.87005206181307326</v>
      </c>
      <c r="O415" s="76">
        <f t="shared" si="16"/>
        <v>137446.47</v>
      </c>
      <c r="P415" s="69"/>
      <c r="Q415" s="69"/>
      <c r="R415" s="69"/>
      <c r="S415" s="69"/>
      <c r="T415" s="69"/>
      <c r="U415" s="69"/>
      <c r="V415" s="69"/>
      <c r="W415" s="76">
        <f t="shared" si="17"/>
        <v>957.64285714285711</v>
      </c>
      <c r="X415" s="69"/>
      <c r="Y415" s="76">
        <f t="shared" si="18"/>
        <v>14077.35</v>
      </c>
      <c r="Z415" s="69"/>
      <c r="AA415" s="76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</row>
    <row r="416" spans="1:37" s="140" customFormat="1" ht="12">
      <c r="A416" s="139">
        <v>42064</v>
      </c>
      <c r="B416" s="76">
        <v>29485</v>
      </c>
      <c r="C416" s="76">
        <v>314</v>
      </c>
      <c r="D416" s="76">
        <v>239.53706467727403</v>
      </c>
      <c r="E416" s="76">
        <v>-496</v>
      </c>
      <c r="F416" s="76">
        <v>27118</v>
      </c>
      <c r="G416" s="76">
        <v>2057</v>
      </c>
      <c r="H416" s="76">
        <v>2174.1352418137762</v>
      </c>
      <c r="I416" s="76">
        <v>20878</v>
      </c>
      <c r="J416" s="76">
        <f t="shared" si="19"/>
        <v>307</v>
      </c>
      <c r="K416" s="76">
        <v>280753</v>
      </c>
      <c r="L416" s="103">
        <f t="shared" si="22"/>
        <v>4.1380282421540349E-2</v>
      </c>
      <c r="M416" s="103">
        <f t="shared" si="20"/>
        <v>9.6590241244082872E-2</v>
      </c>
      <c r="N416" s="103">
        <f t="shared" si="21"/>
        <v>0.7698945349952061</v>
      </c>
      <c r="O416" s="76">
        <f t="shared" si="16"/>
        <v>137915.022</v>
      </c>
      <c r="P416" s="69"/>
      <c r="Q416" s="69"/>
      <c r="R416" s="69"/>
      <c r="S416" s="69"/>
      <c r="T416" s="69"/>
      <c r="U416" s="69"/>
      <c r="V416" s="69"/>
      <c r="W416" s="76">
        <f t="shared" si="17"/>
        <v>951.12903225806451</v>
      </c>
      <c r="X416" s="69"/>
      <c r="Y416" s="76">
        <f t="shared" si="18"/>
        <v>13981.596774193549</v>
      </c>
      <c r="Z416" s="69"/>
      <c r="AA416" s="76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</row>
    <row r="417" spans="1:37" s="140" customFormat="1" ht="12">
      <c r="A417" s="139">
        <v>42095</v>
      </c>
      <c r="B417" s="76">
        <v>27910</v>
      </c>
      <c r="C417" s="76">
        <v>255</v>
      </c>
      <c r="D417" s="76">
        <v>422.6480845441539</v>
      </c>
      <c r="E417" s="76">
        <v>388</v>
      </c>
      <c r="F417" s="76">
        <v>26818</v>
      </c>
      <c r="G417" s="76">
        <v>1761</v>
      </c>
      <c r="H417" s="76">
        <v>1961.0302387827146</v>
      </c>
      <c r="I417" s="76">
        <v>20854</v>
      </c>
      <c r="J417" s="76">
        <f t="shared" si="19"/>
        <v>-2</v>
      </c>
      <c r="K417" s="76">
        <v>275684</v>
      </c>
      <c r="L417" s="103">
        <f t="shared" si="22"/>
        <v>2.6167486804588691E-2</v>
      </c>
      <c r="M417" s="103">
        <f t="shared" si="20"/>
        <v>9.7278042976741488E-2</v>
      </c>
      <c r="N417" s="103">
        <f t="shared" si="21"/>
        <v>0.77761205160712954</v>
      </c>
      <c r="O417" s="76">
        <f t="shared" si="16"/>
        <v>138210.28200000001</v>
      </c>
      <c r="P417" s="69"/>
      <c r="Q417" s="69"/>
      <c r="R417" s="69"/>
      <c r="S417" s="69"/>
      <c r="T417" s="69"/>
      <c r="U417" s="69"/>
      <c r="V417" s="69"/>
      <c r="W417" s="76">
        <f t="shared" si="17"/>
        <v>930.33333333333337</v>
      </c>
      <c r="X417" s="69"/>
      <c r="Y417" s="76">
        <f t="shared" si="18"/>
        <v>13675.9</v>
      </c>
      <c r="Z417" s="69"/>
      <c r="AA417" s="76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</row>
    <row r="418" spans="1:37" s="140" customFormat="1" ht="12">
      <c r="A418" s="139">
        <v>42125</v>
      </c>
      <c r="B418" s="76">
        <v>29666</v>
      </c>
      <c r="C418" s="76">
        <v>31</v>
      </c>
      <c r="D418" s="76">
        <v>431.51048870468952</v>
      </c>
      <c r="E418" s="76">
        <v>-842</v>
      </c>
      <c r="F418" s="76">
        <v>28035</v>
      </c>
      <c r="G418" s="76">
        <v>1497</v>
      </c>
      <c r="H418" s="76">
        <v>1657.892433115064</v>
      </c>
      <c r="I418" s="76">
        <v>20154</v>
      </c>
      <c r="J418" s="76">
        <f t="shared" si="19"/>
        <v>23</v>
      </c>
      <c r="K418" s="76">
        <v>287136</v>
      </c>
      <c r="L418" s="103">
        <f t="shared" si="22"/>
        <v>2.6559935932958467E-2</v>
      </c>
      <c r="M418" s="103">
        <f t="shared" si="20"/>
        <v>9.7636659979939824E-2</v>
      </c>
      <c r="N418" s="103">
        <f t="shared" si="21"/>
        <v>0.71888710540395928</v>
      </c>
      <c r="O418" s="76">
        <f t="shared" ref="O418:O451" si="23">SUM(K407:K418)*42/1000</f>
        <v>138522.29999999999</v>
      </c>
      <c r="P418" s="69"/>
      <c r="Q418" s="69"/>
      <c r="R418" s="69"/>
      <c r="S418" s="69"/>
      <c r="T418" s="69"/>
      <c r="U418" s="69"/>
      <c r="V418" s="69"/>
      <c r="W418" s="76">
        <f t="shared" si="17"/>
        <v>956.9677419354839</v>
      </c>
      <c r="X418" s="69"/>
      <c r="Y418" s="76">
        <f t="shared" si="18"/>
        <v>14067.425806451614</v>
      </c>
      <c r="Z418" s="69"/>
      <c r="AA418" s="76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</row>
    <row r="419" spans="1:37" s="140" customFormat="1" ht="12">
      <c r="A419" s="139">
        <v>42156</v>
      </c>
      <c r="B419" s="76">
        <v>29684</v>
      </c>
      <c r="C419" s="76">
        <v>0</v>
      </c>
      <c r="D419" s="76">
        <v>522.06345264732602</v>
      </c>
      <c r="E419" s="76">
        <v>-646</v>
      </c>
      <c r="F419" s="76">
        <v>27574</v>
      </c>
      <c r="G419" s="76">
        <v>1499</v>
      </c>
      <c r="H419" s="76">
        <v>1660.5212293164191</v>
      </c>
      <c r="I419" s="76">
        <v>20128</v>
      </c>
      <c r="J419" s="76">
        <f t="shared" si="19"/>
        <v>-9</v>
      </c>
      <c r="K419" s="76">
        <v>282512</v>
      </c>
      <c r="L419" s="103">
        <f t="shared" si="22"/>
        <v>4.1783900789509554E-2</v>
      </c>
      <c r="M419" s="103">
        <f t="shared" si="20"/>
        <v>9.7602933680693213E-2</v>
      </c>
      <c r="N419" s="103">
        <f t="shared" si="21"/>
        <v>0.72996300863131935</v>
      </c>
      <c r="O419" s="76">
        <f t="shared" si="23"/>
        <v>138998.20199999999</v>
      </c>
      <c r="P419" s="69"/>
      <c r="Q419" s="69"/>
      <c r="R419" s="69"/>
      <c r="S419" s="69"/>
      <c r="T419" s="69"/>
      <c r="U419" s="69"/>
      <c r="V419" s="69"/>
      <c r="W419" s="76">
        <f t="shared" si="17"/>
        <v>989.4666666666667</v>
      </c>
      <c r="X419" s="69"/>
      <c r="Y419" s="76">
        <f t="shared" si="18"/>
        <v>14545.160000000002</v>
      </c>
      <c r="Z419" s="69"/>
      <c r="AA419" s="76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</row>
    <row r="420" spans="1:37" s="140" customFormat="1" ht="12">
      <c r="A420" s="139">
        <v>42186</v>
      </c>
      <c r="B420" s="76">
        <v>30249</v>
      </c>
      <c r="C420" s="76">
        <v>0</v>
      </c>
      <c r="D420" s="76">
        <v>239.49625007594949</v>
      </c>
      <c r="E420" s="76">
        <v>-400</v>
      </c>
      <c r="F420" s="76">
        <v>28601</v>
      </c>
      <c r="G420" s="76">
        <v>1716</v>
      </c>
      <c r="H420" s="76">
        <v>1949.4967582928991</v>
      </c>
      <c r="I420" s="76">
        <v>19701</v>
      </c>
      <c r="J420" s="76">
        <f t="shared" si="19"/>
        <v>-41</v>
      </c>
      <c r="K420" s="76">
        <v>293579</v>
      </c>
      <c r="L420" s="103">
        <f t="shared" si="22"/>
        <v>2.3961577767004139E-2</v>
      </c>
      <c r="M420" s="103">
        <f t="shared" si="20"/>
        <v>9.7421818318067704E-2</v>
      </c>
      <c r="N420" s="103">
        <f t="shared" si="21"/>
        <v>0.68882206915842104</v>
      </c>
      <c r="O420" s="76">
        <f t="shared" si="23"/>
        <v>139286.742</v>
      </c>
      <c r="P420" s="69"/>
      <c r="Q420" s="69"/>
      <c r="R420" s="69"/>
      <c r="S420" s="69"/>
      <c r="T420" s="69"/>
      <c r="U420" s="69"/>
      <c r="V420" s="69"/>
      <c r="W420" s="76">
        <f t="shared" si="17"/>
        <v>975.77419354838707</v>
      </c>
      <c r="X420" s="69"/>
      <c r="Y420" s="76">
        <f t="shared" si="18"/>
        <v>14343.880645161289</v>
      </c>
      <c r="Z420" s="69"/>
      <c r="AA420" s="76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</row>
    <row r="421" spans="1:37" s="140" customFormat="1" ht="12">
      <c r="A421" s="139">
        <v>42217</v>
      </c>
      <c r="B421" s="76">
        <v>29762</v>
      </c>
      <c r="C421" s="76">
        <v>197</v>
      </c>
      <c r="D421" s="76">
        <v>756.23533136814387</v>
      </c>
      <c r="E421" s="76">
        <v>-666</v>
      </c>
      <c r="F421" s="76">
        <v>28502</v>
      </c>
      <c r="G421" s="76">
        <v>1272</v>
      </c>
      <c r="H421" s="76">
        <v>1500.1768255335239</v>
      </c>
      <c r="I421" s="76">
        <v>19390</v>
      </c>
      <c r="J421" s="76">
        <f t="shared" si="19"/>
        <v>-170</v>
      </c>
      <c r="K421" s="76">
        <v>293263</v>
      </c>
      <c r="L421" s="103">
        <f t="shared" si="22"/>
        <v>1.6005931202211832E-2</v>
      </c>
      <c r="M421" s="103">
        <f t="shared" si="20"/>
        <v>9.7189212413430953E-2</v>
      </c>
      <c r="N421" s="103">
        <f t="shared" si="21"/>
        <v>0.68030313662199149</v>
      </c>
      <c r="O421" s="76">
        <f t="shared" si="23"/>
        <v>139480.78200000001</v>
      </c>
      <c r="P421" s="69"/>
      <c r="Q421" s="69"/>
      <c r="R421" s="69"/>
      <c r="S421" s="69"/>
      <c r="T421" s="69"/>
      <c r="U421" s="69"/>
      <c r="V421" s="69"/>
      <c r="W421" s="76">
        <f t="shared" si="17"/>
        <v>960.06451612903231</v>
      </c>
      <c r="X421" s="69"/>
      <c r="Y421" s="76">
        <f t="shared" si="18"/>
        <v>14112.948387096776</v>
      </c>
      <c r="Z421" s="69"/>
      <c r="AA421" s="76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</row>
    <row r="422" spans="1:37" s="140" customFormat="1" ht="12">
      <c r="A422" s="139">
        <v>42248</v>
      </c>
      <c r="B422" s="76">
        <v>28571</v>
      </c>
      <c r="C422" s="76">
        <v>31</v>
      </c>
      <c r="D422" s="76">
        <v>1058.6889625468009</v>
      </c>
      <c r="E422" s="76">
        <v>-992</v>
      </c>
      <c r="F422" s="76">
        <v>27038</v>
      </c>
      <c r="G422" s="76">
        <v>1492</v>
      </c>
      <c r="H422" s="76">
        <v>1797.7008843855499</v>
      </c>
      <c r="I422" s="76">
        <v>18944</v>
      </c>
      <c r="J422" s="76">
        <f t="shared" si="19"/>
        <v>-474</v>
      </c>
      <c r="K422" s="76">
        <v>278658</v>
      </c>
      <c r="L422" s="103">
        <f t="shared" si="22"/>
        <v>5.2938242495692345E-2</v>
      </c>
      <c r="M422" s="103">
        <f t="shared" si="20"/>
        <v>9.7029333448169441E-2</v>
      </c>
      <c r="N422" s="103">
        <f t="shared" si="21"/>
        <v>0.70064353872327834</v>
      </c>
      <c r="O422" s="76">
        <f t="shared" si="23"/>
        <v>140069.20199999999</v>
      </c>
      <c r="P422" s="69"/>
      <c r="Q422" s="69"/>
      <c r="R422" s="69"/>
      <c r="S422" s="69"/>
      <c r="T422" s="69"/>
      <c r="U422" s="69"/>
      <c r="V422" s="69"/>
      <c r="W422" s="76">
        <f t="shared" si="17"/>
        <v>952.36666666666667</v>
      </c>
      <c r="X422" s="69"/>
      <c r="Y422" s="76">
        <f t="shared" si="18"/>
        <v>13999.79</v>
      </c>
      <c r="Z422" s="69"/>
      <c r="AA422" s="76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</row>
    <row r="423" spans="1:37" s="140" customFormat="1" ht="12">
      <c r="A423" s="139">
        <v>42278</v>
      </c>
      <c r="B423" s="76">
        <v>29886</v>
      </c>
      <c r="C423" s="76">
        <v>252</v>
      </c>
      <c r="D423" s="76">
        <v>496.44467649663915</v>
      </c>
      <c r="E423" s="76">
        <v>-111</v>
      </c>
      <c r="F423" s="76">
        <v>28156</v>
      </c>
      <c r="G423" s="76">
        <v>1792</v>
      </c>
      <c r="H423" s="76">
        <v>1852.5981207797709</v>
      </c>
      <c r="I423" s="76">
        <v>18984</v>
      </c>
      <c r="J423" s="76">
        <f t="shared" si="19"/>
        <v>39</v>
      </c>
      <c r="K423" s="76">
        <v>286585</v>
      </c>
      <c r="L423" s="103">
        <f t="shared" si="22"/>
        <v>1.0578838796128087E-2</v>
      </c>
      <c r="M423" s="103">
        <f t="shared" si="20"/>
        <v>9.8246593506289587E-2</v>
      </c>
      <c r="N423" s="103">
        <f t="shared" si="21"/>
        <v>0.6742435004972297</v>
      </c>
      <c r="O423" s="76">
        <f t="shared" si="23"/>
        <v>140195.20199999999</v>
      </c>
      <c r="P423" s="69"/>
      <c r="Q423" s="69"/>
      <c r="R423" s="69"/>
      <c r="S423" s="69"/>
      <c r="T423" s="69"/>
      <c r="U423" s="69"/>
      <c r="V423" s="69"/>
      <c r="W423" s="76">
        <f t="shared" si="17"/>
        <v>964.06451612903231</v>
      </c>
      <c r="X423" s="69"/>
      <c r="Y423" s="76">
        <f t="shared" si="18"/>
        <v>14171.748387096775</v>
      </c>
      <c r="Z423" s="69"/>
      <c r="AA423" s="76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</row>
    <row r="424" spans="1:37" s="140" customFormat="1" ht="12">
      <c r="A424" s="139">
        <v>42309</v>
      </c>
      <c r="B424" s="76">
        <v>29675</v>
      </c>
      <c r="C424" s="76">
        <v>269</v>
      </c>
      <c r="D424" s="76">
        <v>837.18383779526437</v>
      </c>
      <c r="E424" s="76">
        <v>-1223</v>
      </c>
      <c r="F424" s="76">
        <v>26408</v>
      </c>
      <c r="G424" s="76">
        <v>1427</v>
      </c>
      <c r="H424" s="76">
        <v>1576.2302215234658</v>
      </c>
      <c r="I424" s="76">
        <v>20099</v>
      </c>
      <c r="J424" s="76">
        <f t="shared" si="19"/>
        <v>-229</v>
      </c>
      <c r="K424" s="76">
        <v>273349</v>
      </c>
      <c r="L424" s="103">
        <f t="shared" si="22"/>
        <v>2.1349972910867487E-2</v>
      </c>
      <c r="M424" s="103">
        <f t="shared" si="20"/>
        <v>9.6609096795671465E-2</v>
      </c>
      <c r="N424" s="103">
        <f t="shared" si="21"/>
        <v>0.76109512269009394</v>
      </c>
      <c r="O424" s="76">
        <f t="shared" si="23"/>
        <v>140435.19</v>
      </c>
      <c r="P424" s="69"/>
      <c r="Q424" s="69"/>
      <c r="R424" s="69"/>
      <c r="S424" s="69"/>
      <c r="T424" s="69"/>
      <c r="U424" s="69"/>
      <c r="V424" s="69"/>
      <c r="W424" s="76">
        <f t="shared" si="17"/>
        <v>989.16666666666663</v>
      </c>
      <c r="X424" s="69"/>
      <c r="Y424" s="76">
        <f t="shared" si="18"/>
        <v>14540.75</v>
      </c>
      <c r="Z424" s="69"/>
      <c r="AA424" s="76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</row>
    <row r="425" spans="1:37" s="140" customFormat="1" ht="12">
      <c r="A425" s="139">
        <v>42339</v>
      </c>
      <c r="B425" s="76">
        <v>31081</v>
      </c>
      <c r="C425" s="76">
        <v>256</v>
      </c>
      <c r="D425" s="76">
        <v>898.91323969310247</v>
      </c>
      <c r="E425" s="76">
        <v>-434</v>
      </c>
      <c r="F425" s="76">
        <v>27383</v>
      </c>
      <c r="G425" s="76">
        <v>1995</v>
      </c>
      <c r="H425" s="76">
        <v>2131.0184868947326</v>
      </c>
      <c r="I425" s="76">
        <v>21596</v>
      </c>
      <c r="J425" s="76">
        <f t="shared" si="19"/>
        <v>28</v>
      </c>
      <c r="K425" s="76">
        <v>283575</v>
      </c>
      <c r="L425" s="103">
        <f t="shared" si="22"/>
        <v>2.3130709615967415E-2</v>
      </c>
      <c r="M425" s="103">
        <f t="shared" si="20"/>
        <v>9.6563519351141672E-2</v>
      </c>
      <c r="N425" s="103">
        <f t="shared" si="21"/>
        <v>0.78866449987218346</v>
      </c>
      <c r="O425" s="76">
        <f t="shared" si="23"/>
        <v>140704.45199999999</v>
      </c>
      <c r="P425" s="69"/>
      <c r="Q425" s="69"/>
      <c r="R425" s="69"/>
      <c r="S425" s="69"/>
      <c r="T425" s="69"/>
      <c r="U425" s="69"/>
      <c r="V425" s="69"/>
      <c r="W425" s="76">
        <f t="shared" si="17"/>
        <v>1002.6129032258065</v>
      </c>
      <c r="X425" s="69"/>
      <c r="Y425" s="76">
        <f t="shared" si="18"/>
        <v>14738.409677419353</v>
      </c>
      <c r="Z425" s="69"/>
      <c r="AA425" s="76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</row>
    <row r="426" spans="1:37" s="140" customFormat="1" ht="12">
      <c r="A426" s="139">
        <v>42370</v>
      </c>
      <c r="B426" s="76">
        <v>30452</v>
      </c>
      <c r="C426" s="76">
        <v>254</v>
      </c>
      <c r="D426" s="76">
        <v>342.58239121358304</v>
      </c>
      <c r="E426" s="76">
        <v>-131</v>
      </c>
      <c r="F426" s="76">
        <v>26276</v>
      </c>
      <c r="G426" s="76">
        <v>2297</v>
      </c>
      <c r="H426" s="76">
        <v>2294.043779116334</v>
      </c>
      <c r="I426" s="76">
        <v>23347</v>
      </c>
      <c r="J426" s="76">
        <f t="shared" si="19"/>
        <v>251</v>
      </c>
      <c r="K426" s="76">
        <v>268252</v>
      </c>
      <c r="L426" s="103">
        <f t="shared" si="22"/>
        <v>1.642943557420784E-3</v>
      </c>
      <c r="M426" s="103">
        <f t="shared" si="20"/>
        <v>9.7952671368712996E-2</v>
      </c>
      <c r="N426" s="103">
        <f t="shared" si="21"/>
        <v>0.88852945653828586</v>
      </c>
      <c r="O426" s="76">
        <f t="shared" si="23"/>
        <v>140722.932</v>
      </c>
      <c r="P426" s="69"/>
      <c r="Q426" s="69"/>
      <c r="R426" s="69"/>
      <c r="S426" s="69"/>
      <c r="T426" s="69"/>
      <c r="U426" s="69"/>
      <c r="V426" s="69"/>
      <c r="W426" s="76">
        <f t="shared" si="17"/>
        <v>982.32258064516134</v>
      </c>
      <c r="X426" s="69"/>
      <c r="Y426" s="76">
        <f t="shared" si="18"/>
        <v>14440.141935483873</v>
      </c>
      <c r="Z426" s="69"/>
      <c r="AA426" s="76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</row>
    <row r="427" spans="1:37" s="140" customFormat="1" ht="12">
      <c r="A427" s="139">
        <v>42401</v>
      </c>
      <c r="B427" s="76">
        <v>28810</v>
      </c>
      <c r="C427" s="76">
        <v>69</v>
      </c>
      <c r="D427" s="76">
        <v>226.36189877400207</v>
      </c>
      <c r="E427" s="76">
        <v>-1171</v>
      </c>
      <c r="F427" s="76">
        <v>25791</v>
      </c>
      <c r="G427" s="76">
        <v>2027</v>
      </c>
      <c r="H427" s="76">
        <v>2025.2210649384272</v>
      </c>
      <c r="I427" s="76">
        <v>23171</v>
      </c>
      <c r="J427" s="76">
        <f t="shared" si="19"/>
        <v>66</v>
      </c>
      <c r="K427" s="76">
        <v>267417</v>
      </c>
      <c r="L427" s="103">
        <f t="shared" si="22"/>
        <v>8.1783980582524229E-2</v>
      </c>
      <c r="M427" s="103">
        <f t="shared" si="20"/>
        <v>9.6444878223897509E-2</v>
      </c>
      <c r="N427" s="103">
        <f t="shared" si="21"/>
        <v>0.89841417548757319</v>
      </c>
      <c r="O427" s="76">
        <f t="shared" si="23"/>
        <v>141572.046</v>
      </c>
      <c r="P427" s="69"/>
      <c r="Q427" s="69"/>
      <c r="R427" s="69"/>
      <c r="S427" s="69"/>
      <c r="T427" s="69"/>
      <c r="U427" s="69"/>
      <c r="V427" s="69"/>
      <c r="W427" s="76">
        <f t="shared" si="17"/>
        <v>993.44827586206895</v>
      </c>
      <c r="X427" s="69"/>
      <c r="Y427" s="76">
        <f t="shared" si="18"/>
        <v>14603.689655172413</v>
      </c>
      <c r="Z427" s="69"/>
      <c r="AA427" s="76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</row>
    <row r="428" spans="1:37" s="140" customFormat="1" ht="12">
      <c r="A428" s="139">
        <v>42430</v>
      </c>
      <c r="B428" s="76">
        <v>30957</v>
      </c>
      <c r="C428" s="76">
        <v>2</v>
      </c>
      <c r="D428" s="76">
        <v>357.79580270665781</v>
      </c>
      <c r="E428" s="76">
        <v>-934</v>
      </c>
      <c r="F428" s="76">
        <v>27852</v>
      </c>
      <c r="G428" s="76">
        <v>2614</v>
      </c>
      <c r="H428" s="76">
        <v>2642.8260145689696</v>
      </c>
      <c r="I428" s="76">
        <v>22730</v>
      </c>
      <c r="J428" s="76">
        <f t="shared" si="19"/>
        <v>0</v>
      </c>
      <c r="K428" s="76">
        <v>290568</v>
      </c>
      <c r="L428" s="103">
        <f t="shared" si="22"/>
        <v>3.4959555196204528E-2</v>
      </c>
      <c r="M428" s="103">
        <f t="shared" si="20"/>
        <v>9.5853638391013463E-2</v>
      </c>
      <c r="N428" s="103">
        <f t="shared" si="21"/>
        <v>0.81609938245009339</v>
      </c>
      <c r="O428" s="76">
        <f t="shared" si="23"/>
        <v>141984.27600000001</v>
      </c>
      <c r="P428" s="69"/>
      <c r="Q428" s="69"/>
      <c r="R428" s="69"/>
      <c r="S428" s="69"/>
      <c r="T428" s="69"/>
      <c r="U428" s="69"/>
      <c r="V428" s="69"/>
      <c r="W428" s="76">
        <f t="shared" si="17"/>
        <v>998.61290322580646</v>
      </c>
      <c r="X428" s="69"/>
      <c r="Y428" s="76">
        <f t="shared" si="18"/>
        <v>14679.609677419354</v>
      </c>
      <c r="Z428" s="69"/>
      <c r="AA428" s="76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</row>
    <row r="429" spans="1:37" s="140" customFormat="1" ht="12">
      <c r="A429" s="139">
        <v>42461</v>
      </c>
      <c r="B429" s="76">
        <v>28208</v>
      </c>
      <c r="C429" s="76">
        <v>3</v>
      </c>
      <c r="D429" s="76">
        <v>366.21061114220373</v>
      </c>
      <c r="E429" s="76">
        <v>714</v>
      </c>
      <c r="F429" s="76">
        <v>27397</v>
      </c>
      <c r="G429" s="76">
        <v>2922</v>
      </c>
      <c r="H429" s="76">
        <v>2920.7276849044847</v>
      </c>
      <c r="I429" s="76">
        <v>21336</v>
      </c>
      <c r="J429" s="76">
        <f t="shared" si="19"/>
        <v>0</v>
      </c>
      <c r="K429" s="76">
        <v>275266</v>
      </c>
      <c r="L429" s="103">
        <f t="shared" si="22"/>
        <v>-1.5162287256423879E-3</v>
      </c>
      <c r="M429" s="103">
        <f t="shared" si="20"/>
        <v>9.9529182681479006E-2</v>
      </c>
      <c r="N429" s="103">
        <f t="shared" si="21"/>
        <v>0.77877139832828413</v>
      </c>
      <c r="O429" s="76">
        <f t="shared" si="23"/>
        <v>141966.72</v>
      </c>
      <c r="P429" s="69"/>
      <c r="Q429" s="69"/>
      <c r="R429" s="69"/>
      <c r="S429" s="69"/>
      <c r="T429" s="69"/>
      <c r="U429" s="69"/>
      <c r="V429" s="69"/>
      <c r="W429" s="76">
        <f t="shared" si="17"/>
        <v>940.26666666666665</v>
      </c>
      <c r="X429" s="69"/>
      <c r="Y429" s="76">
        <f t="shared" si="18"/>
        <v>13821.92</v>
      </c>
      <c r="Z429" s="69"/>
      <c r="AA429" s="76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</row>
    <row r="430" spans="1:37" s="140" customFormat="1" ht="12">
      <c r="A430" s="139">
        <v>42491</v>
      </c>
      <c r="B430" s="76">
        <v>30346</v>
      </c>
      <c r="C430" s="76">
        <v>1</v>
      </c>
      <c r="D430" s="76">
        <v>342.47813755093023</v>
      </c>
      <c r="E430" s="76">
        <v>-423</v>
      </c>
      <c r="F430" s="76">
        <v>28670</v>
      </c>
      <c r="G430" s="76">
        <v>1628</v>
      </c>
      <c r="H430" s="76">
        <v>1609.1937012295705</v>
      </c>
      <c r="I430" s="76">
        <v>20962</v>
      </c>
      <c r="J430" s="76">
        <f t="shared" si="19"/>
        <v>0</v>
      </c>
      <c r="K430" s="76">
        <v>291924</v>
      </c>
      <c r="L430" s="103">
        <f t="shared" si="22"/>
        <v>1.6675025075225669E-2</v>
      </c>
      <c r="M430" s="103">
        <f t="shared" si="20"/>
        <v>9.8210493142050673E-2</v>
      </c>
      <c r="N430" s="103">
        <f t="shared" si="21"/>
        <v>0.73114754098360657</v>
      </c>
      <c r="O430" s="76">
        <f t="shared" si="23"/>
        <v>142167.81599999999</v>
      </c>
      <c r="P430" s="69"/>
      <c r="Q430" s="69"/>
      <c r="R430" s="69"/>
      <c r="S430" s="69"/>
      <c r="T430" s="69"/>
      <c r="U430" s="69"/>
      <c r="V430" s="69"/>
      <c r="W430" s="76">
        <f t="shared" si="17"/>
        <v>978.90322580645159</v>
      </c>
      <c r="X430" s="69"/>
      <c r="Y430" s="76">
        <f t="shared" si="18"/>
        <v>14389.87741935484</v>
      </c>
      <c r="Z430" s="69"/>
      <c r="AA430" s="76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</row>
    <row r="431" spans="1:37" s="140" customFormat="1" ht="12">
      <c r="A431" s="139">
        <v>42522</v>
      </c>
      <c r="B431" s="76">
        <v>30443</v>
      </c>
      <c r="C431" s="76">
        <v>250</v>
      </c>
      <c r="D431" s="76">
        <v>760.95211929612958</v>
      </c>
      <c r="E431" s="76">
        <v>-621</v>
      </c>
      <c r="F431" s="76">
        <v>28455</v>
      </c>
      <c r="G431" s="76">
        <v>1295</v>
      </c>
      <c r="H431" s="76">
        <v>1291.6367931963337</v>
      </c>
      <c r="I431" s="76">
        <v>21284</v>
      </c>
      <c r="J431" s="76">
        <f t="shared" si="19"/>
        <v>0</v>
      </c>
      <c r="K431" s="76">
        <v>288238</v>
      </c>
      <c r="L431" s="103">
        <f t="shared" si="22"/>
        <v>2.0268165600045407E-2</v>
      </c>
      <c r="M431" s="103">
        <f t="shared" si="20"/>
        <v>9.8720501807534056E-2</v>
      </c>
      <c r="N431" s="103">
        <f t="shared" si="21"/>
        <v>0.74798805130908452</v>
      </c>
      <c r="O431" s="76">
        <f t="shared" si="23"/>
        <v>142408.30799999999</v>
      </c>
      <c r="P431" s="69"/>
      <c r="Q431" s="69"/>
      <c r="R431" s="69"/>
      <c r="S431" s="69"/>
      <c r="T431" s="69"/>
      <c r="U431" s="69"/>
      <c r="V431" s="69"/>
      <c r="W431" s="76">
        <f t="shared" si="17"/>
        <v>1014.7666666666667</v>
      </c>
      <c r="X431" s="69"/>
      <c r="Y431" s="76">
        <f t="shared" si="18"/>
        <v>14917.07</v>
      </c>
      <c r="Z431" s="69"/>
      <c r="AA431" s="76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</row>
    <row r="432" spans="1:37" s="140" customFormat="1" ht="12">
      <c r="A432" s="139">
        <v>42552</v>
      </c>
      <c r="B432" s="76">
        <v>31469</v>
      </c>
      <c r="C432" s="76">
        <v>314</v>
      </c>
      <c r="D432" s="76">
        <v>655.75675202069704</v>
      </c>
      <c r="E432" s="76">
        <v>-612</v>
      </c>
      <c r="F432" s="76">
        <v>29119</v>
      </c>
      <c r="G432" s="76">
        <v>1955</v>
      </c>
      <c r="H432" s="76">
        <v>1955.9124626495136</v>
      </c>
      <c r="I432" s="76">
        <v>21381</v>
      </c>
      <c r="J432" s="76">
        <f t="shared" si="19"/>
        <v>0</v>
      </c>
      <c r="K432" s="76">
        <v>296905</v>
      </c>
      <c r="L432" s="103">
        <f t="shared" si="22"/>
        <v>1.1329148202017247E-2</v>
      </c>
      <c r="M432" s="103">
        <f t="shared" si="20"/>
        <v>9.8075141880399452E-2</v>
      </c>
      <c r="N432" s="103">
        <f t="shared" si="21"/>
        <v>0.73426285243311928</v>
      </c>
      <c r="O432" s="76">
        <f t="shared" si="23"/>
        <v>142548</v>
      </c>
      <c r="P432" s="69"/>
      <c r="Q432" s="69"/>
      <c r="R432" s="69"/>
      <c r="S432" s="69"/>
      <c r="T432" s="69"/>
      <c r="U432" s="69"/>
      <c r="V432" s="69"/>
      <c r="W432" s="76">
        <f t="shared" si="17"/>
        <v>1015.1290322580645</v>
      </c>
      <c r="X432" s="69"/>
      <c r="Y432" s="76">
        <f t="shared" si="18"/>
        <v>14922.39677419355</v>
      </c>
      <c r="Z432" s="69"/>
      <c r="AA432" s="76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</row>
    <row r="433" spans="1:37" s="140" customFormat="1" ht="12">
      <c r="A433" s="139">
        <v>42583</v>
      </c>
      <c r="B433" s="76">
        <v>31856</v>
      </c>
      <c r="C433" s="76">
        <v>255</v>
      </c>
      <c r="D433" s="76">
        <v>759.77771672465246</v>
      </c>
      <c r="E433" s="76">
        <v>-699</v>
      </c>
      <c r="F433" s="76">
        <v>29416</v>
      </c>
      <c r="G433" s="76">
        <v>2179</v>
      </c>
      <c r="H433" s="76">
        <v>2168.9995334216169</v>
      </c>
      <c r="I433" s="76">
        <v>21198</v>
      </c>
      <c r="J433" s="76">
        <f t="shared" si="19"/>
        <v>0</v>
      </c>
      <c r="K433" s="76">
        <v>300300</v>
      </c>
      <c r="L433" s="103">
        <f t="shared" si="22"/>
        <v>2.399552620003198E-2</v>
      </c>
      <c r="M433" s="103">
        <f t="shared" si="20"/>
        <v>9.7955377955377954E-2</v>
      </c>
      <c r="N433" s="103">
        <f t="shared" si="21"/>
        <v>0.72062822953494698</v>
      </c>
      <c r="O433" s="76">
        <f t="shared" si="23"/>
        <v>142843.554</v>
      </c>
      <c r="P433" s="69"/>
      <c r="Q433" s="69"/>
      <c r="R433" s="69"/>
      <c r="S433" s="69"/>
      <c r="T433" s="69"/>
      <c r="U433" s="69"/>
      <c r="V433" s="69"/>
      <c r="W433" s="76">
        <f t="shared" si="17"/>
        <v>1027.6129032258063</v>
      </c>
      <c r="X433" s="69"/>
      <c r="Y433" s="76">
        <f t="shared" si="18"/>
        <v>15105.909677419353</v>
      </c>
      <c r="Z433" s="69"/>
      <c r="AA433" s="76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</row>
    <row r="434" spans="1:37" s="140" customFormat="1" ht="12">
      <c r="A434" s="139">
        <v>42614</v>
      </c>
      <c r="B434" s="76">
        <v>30048</v>
      </c>
      <c r="C434" s="76">
        <v>31</v>
      </c>
      <c r="D434" s="76">
        <v>506.50154144465193</v>
      </c>
      <c r="E434" s="76">
        <v>-351</v>
      </c>
      <c r="F434" s="76">
        <v>27867</v>
      </c>
      <c r="G434" s="76">
        <v>2346</v>
      </c>
      <c r="H434" s="76">
        <v>2273.5853485582047</v>
      </c>
      <c r="I434" s="76">
        <v>20713</v>
      </c>
      <c r="J434" s="76">
        <f t="shared" si="19"/>
        <v>0</v>
      </c>
      <c r="K434" s="76">
        <v>284512</v>
      </c>
      <c r="L434" s="103">
        <f t="shared" si="22"/>
        <v>2.1007830387069548E-2</v>
      </c>
      <c r="M434" s="103">
        <f t="shared" si="20"/>
        <v>9.7946659543358447E-2</v>
      </c>
      <c r="N434" s="103">
        <f t="shared" si="21"/>
        <v>0.74328058276814868</v>
      </c>
      <c r="O434" s="76">
        <f t="shared" si="23"/>
        <v>143089.42199999999</v>
      </c>
      <c r="P434" s="69"/>
      <c r="Q434" s="69"/>
      <c r="R434" s="69"/>
      <c r="S434" s="69"/>
      <c r="T434" s="69"/>
      <c r="U434" s="69"/>
      <c r="V434" s="69"/>
      <c r="W434" s="76">
        <f t="shared" si="17"/>
        <v>1001.6</v>
      </c>
      <c r="X434" s="69"/>
      <c r="Y434" s="76">
        <f t="shared" si="18"/>
        <v>14723.52</v>
      </c>
      <c r="Z434" s="69"/>
      <c r="AA434" s="76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</row>
    <row r="435" spans="1:37" s="140" customFormat="1" ht="12">
      <c r="A435" s="139">
        <v>42644</v>
      </c>
      <c r="B435" s="76">
        <v>31006</v>
      </c>
      <c r="C435" s="76">
        <v>0</v>
      </c>
      <c r="D435" s="76">
        <v>230.03014330334224</v>
      </c>
      <c r="E435" s="76">
        <v>-106</v>
      </c>
      <c r="F435" s="76">
        <v>28554</v>
      </c>
      <c r="G435" s="76">
        <v>2946</v>
      </c>
      <c r="H435" s="76">
        <v>2959.1030964627221</v>
      </c>
      <c r="I435" s="76">
        <v>20113</v>
      </c>
      <c r="J435" s="76">
        <f t="shared" si="19"/>
        <v>0</v>
      </c>
      <c r="K435" s="76">
        <v>281893</v>
      </c>
      <c r="L435" s="103">
        <f t="shared" si="22"/>
        <v>-1.6372106006943832E-2</v>
      </c>
      <c r="M435" s="103">
        <f t="shared" si="20"/>
        <v>0.10129375330355844</v>
      </c>
      <c r="N435" s="103">
        <f t="shared" si="21"/>
        <v>0.70438467465153742</v>
      </c>
      <c r="O435" s="76">
        <f t="shared" si="23"/>
        <v>142892.35800000001</v>
      </c>
      <c r="P435" s="69"/>
      <c r="Q435" s="69"/>
      <c r="R435" s="69"/>
      <c r="S435" s="69"/>
      <c r="T435" s="69"/>
      <c r="U435" s="69"/>
      <c r="V435" s="69"/>
      <c r="W435" s="76">
        <f t="shared" si="17"/>
        <v>1000.1935483870968</v>
      </c>
      <c r="X435" s="69"/>
      <c r="Y435" s="76">
        <f t="shared" si="18"/>
        <v>14702.845161290323</v>
      </c>
      <c r="Z435" s="69"/>
      <c r="AA435" s="76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</row>
    <row r="436" spans="1:37" s="140" customFormat="1" ht="12">
      <c r="A436" s="139">
        <v>42675</v>
      </c>
      <c r="B436" s="76">
        <v>30706</v>
      </c>
      <c r="C436" s="76">
        <v>0</v>
      </c>
      <c r="D436" s="76">
        <v>267.2150063382453</v>
      </c>
      <c r="E436" s="76">
        <v>-969</v>
      </c>
      <c r="F436" s="76">
        <v>27313</v>
      </c>
      <c r="G436" s="76">
        <v>3074</v>
      </c>
      <c r="H436" s="76">
        <v>3010.8147057354668</v>
      </c>
      <c r="I436" s="76">
        <v>19463</v>
      </c>
      <c r="J436" s="76">
        <f t="shared" si="19"/>
        <v>0</v>
      </c>
      <c r="K436" s="76">
        <v>276997</v>
      </c>
      <c r="L436" s="103">
        <f t="shared" si="22"/>
        <v>1.3345576534028014E-2</v>
      </c>
      <c r="M436" s="103">
        <f t="shared" si="20"/>
        <v>9.8603955999523457E-2</v>
      </c>
      <c r="N436" s="103">
        <f t="shared" si="21"/>
        <v>0.71259107384761833</v>
      </c>
      <c r="O436" s="76">
        <f t="shared" si="23"/>
        <v>143045.57399999999</v>
      </c>
      <c r="P436" s="69"/>
      <c r="Q436" s="69"/>
      <c r="R436" s="69"/>
      <c r="S436" s="69"/>
      <c r="T436" s="69"/>
      <c r="U436" s="69"/>
      <c r="V436" s="69"/>
      <c r="W436" s="76">
        <f t="shared" si="17"/>
        <v>1023.5333333333333</v>
      </c>
      <c r="X436" s="69"/>
      <c r="Y436" s="76">
        <f t="shared" si="18"/>
        <v>15045.939999999999</v>
      </c>
      <c r="Z436" s="69"/>
      <c r="AA436" s="76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</row>
    <row r="437" spans="1:37" s="140" customFormat="1" ht="12">
      <c r="A437" s="139">
        <v>42705</v>
      </c>
      <c r="B437" s="76">
        <v>32680</v>
      </c>
      <c r="C437" s="76">
        <v>0</v>
      </c>
      <c r="D437" s="76">
        <v>297.96151539727532</v>
      </c>
      <c r="E437" s="76">
        <v>-1745</v>
      </c>
      <c r="F437" s="76">
        <v>28057</v>
      </c>
      <c r="G437" s="76">
        <v>2583</v>
      </c>
      <c r="H437" s="76">
        <v>2495.9936025046541</v>
      </c>
      <c r="I437" s="76">
        <v>19758</v>
      </c>
      <c r="J437" s="76">
        <f t="shared" si="19"/>
        <v>0</v>
      </c>
      <c r="K437" s="76">
        <v>287779</v>
      </c>
      <c r="L437" s="103">
        <f t="shared" si="22"/>
        <v>1.4825002204002402E-2</v>
      </c>
      <c r="M437" s="103">
        <f t="shared" si="20"/>
        <v>9.7494952724139008E-2</v>
      </c>
      <c r="N437" s="103">
        <f t="shared" si="21"/>
        <v>0.70420928823466511</v>
      </c>
      <c r="O437" s="76">
        <f t="shared" si="23"/>
        <v>143222.14199999999</v>
      </c>
      <c r="P437" s="69"/>
      <c r="Q437" s="69"/>
      <c r="R437" s="69"/>
      <c r="S437" s="69"/>
      <c r="T437" s="69"/>
      <c r="U437" s="69"/>
      <c r="V437" s="69"/>
      <c r="W437" s="76">
        <f t="shared" si="17"/>
        <v>1054.1935483870968</v>
      </c>
      <c r="X437" s="69"/>
      <c r="Y437" s="76">
        <f t="shared" si="18"/>
        <v>15496.645161290324</v>
      </c>
      <c r="Z437" s="69"/>
      <c r="AA437" s="76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</row>
    <row r="438" spans="1:37" s="140" customFormat="1" ht="12">
      <c r="A438" s="139">
        <v>42736</v>
      </c>
      <c r="B438" s="76">
        <v>32577</v>
      </c>
      <c r="C438" s="76">
        <v>394</v>
      </c>
      <c r="D438" s="76">
        <v>387.86947781085797</v>
      </c>
      <c r="E438" s="76">
        <v>-1002</v>
      </c>
      <c r="F438" s="76">
        <v>26120</v>
      </c>
      <c r="G438" s="76">
        <v>2844</v>
      </c>
      <c r="H438" s="76">
        <v>2802.0281315693169</v>
      </c>
      <c r="I438" s="76">
        <v>22679</v>
      </c>
      <c r="J438" s="76">
        <f t="shared" si="19"/>
        <v>84</v>
      </c>
      <c r="K438" s="76">
        <v>263708</v>
      </c>
      <c r="L438" s="103">
        <f t="shared" si="22"/>
        <v>-1.6939295885957995E-2</v>
      </c>
      <c r="M438" s="103">
        <f t="shared" si="20"/>
        <v>9.9048948078935786E-2</v>
      </c>
      <c r="N438" s="103">
        <f t="shared" si="21"/>
        <v>0.86826186830015317</v>
      </c>
      <c r="O438" s="76">
        <f t="shared" si="23"/>
        <v>143031.29399999999</v>
      </c>
      <c r="P438" s="69"/>
      <c r="Q438" s="69"/>
      <c r="R438" s="69"/>
      <c r="S438" s="69"/>
      <c r="T438" s="69"/>
      <c r="U438" s="69"/>
      <c r="V438" s="69"/>
      <c r="W438" s="76">
        <f t="shared" si="17"/>
        <v>1050.8709677419354</v>
      </c>
      <c r="X438" s="69"/>
      <c r="Y438" s="76">
        <f t="shared" si="18"/>
        <v>15447.80322580645</v>
      </c>
      <c r="Z438" s="69"/>
      <c r="AA438" s="76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</row>
    <row r="439" spans="1:37" s="140" customFormat="1" ht="12">
      <c r="A439" s="139">
        <v>42767</v>
      </c>
      <c r="B439" s="76">
        <v>29052</v>
      </c>
      <c r="C439" s="76">
        <v>377</v>
      </c>
      <c r="D439" s="76">
        <v>482.36112940398601</v>
      </c>
      <c r="E439" s="76">
        <v>-486</v>
      </c>
      <c r="F439" s="76">
        <v>24700</v>
      </c>
      <c r="G439" s="76">
        <v>3605</v>
      </c>
      <c r="H439" s="76">
        <v>3542.4230136233591</v>
      </c>
      <c r="I439" s="76">
        <v>23195</v>
      </c>
      <c r="J439" s="76">
        <f t="shared" si="19"/>
        <v>122</v>
      </c>
      <c r="K439" s="76">
        <v>252217</v>
      </c>
      <c r="L439" s="103">
        <f t="shared" si="22"/>
        <v>-5.6840066263550981E-2</v>
      </c>
      <c r="M439" s="103">
        <f t="shared" si="20"/>
        <v>9.793154307600202E-2</v>
      </c>
      <c r="N439" s="103">
        <f t="shared" si="21"/>
        <v>0.93906882591093122</v>
      </c>
      <c r="O439" s="76">
        <f t="shared" si="23"/>
        <v>142392.894</v>
      </c>
      <c r="P439" s="69"/>
      <c r="Q439" s="69"/>
      <c r="R439" s="69"/>
      <c r="S439" s="69"/>
      <c r="T439" s="69"/>
      <c r="U439" s="69"/>
      <c r="V439" s="69"/>
      <c r="W439" s="76">
        <f t="shared" si="17"/>
        <v>1037.5714285714287</v>
      </c>
      <c r="X439" s="69"/>
      <c r="Y439" s="76">
        <f t="shared" si="18"/>
        <v>15252.300000000001</v>
      </c>
      <c r="Z439" s="69"/>
      <c r="AA439" s="76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</row>
    <row r="440" spans="1:37" s="140" customFormat="1" ht="12">
      <c r="A440" s="139">
        <v>42795</v>
      </c>
      <c r="B440" s="76">
        <v>32161</v>
      </c>
      <c r="C440" s="76">
        <v>0</v>
      </c>
      <c r="D440" s="76">
        <v>503.08714121801734</v>
      </c>
      <c r="E440" s="76">
        <v>-101</v>
      </c>
      <c r="F440" s="76">
        <v>28483</v>
      </c>
      <c r="G440" s="76">
        <v>3023</v>
      </c>
      <c r="H440" s="76">
        <v>3020.5820191082025</v>
      </c>
      <c r="I440" s="76">
        <v>23981</v>
      </c>
      <c r="J440" s="76">
        <f t="shared" si="19"/>
        <v>-232</v>
      </c>
      <c r="K440" s="76">
        <v>289083</v>
      </c>
      <c r="L440" s="103">
        <f t="shared" si="22"/>
        <v>-5.1106797720327224E-3</v>
      </c>
      <c r="M440" s="103">
        <f t="shared" si="20"/>
        <v>9.852879622807291E-2</v>
      </c>
      <c r="N440" s="103">
        <f t="shared" si="21"/>
        <v>0.84194080679703687</v>
      </c>
      <c r="O440" s="76">
        <f t="shared" si="23"/>
        <v>142330.524</v>
      </c>
      <c r="P440" s="69"/>
      <c r="Q440" s="69"/>
      <c r="R440" s="69"/>
      <c r="S440" s="69"/>
      <c r="T440" s="69"/>
      <c r="U440" s="69"/>
      <c r="V440" s="69"/>
      <c r="W440" s="76">
        <f t="shared" si="17"/>
        <v>1037.4516129032259</v>
      </c>
      <c r="X440" s="69"/>
      <c r="Y440" s="76">
        <f t="shared" si="18"/>
        <v>15250.538709677419</v>
      </c>
      <c r="Z440" s="69"/>
      <c r="AA440" s="76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</row>
    <row r="441" spans="1:37" s="140" customFormat="1" ht="12">
      <c r="A441" s="139">
        <v>42826</v>
      </c>
      <c r="B441" s="76">
        <v>29500</v>
      </c>
      <c r="C441" s="76">
        <v>197</v>
      </c>
      <c r="D441" s="76">
        <v>222.61435227309465</v>
      </c>
      <c r="E441" s="76">
        <v>-520</v>
      </c>
      <c r="F441" s="76">
        <v>27511</v>
      </c>
      <c r="G441" s="76">
        <v>2115</v>
      </c>
      <c r="H441" s="76">
        <v>2083.1554574009156</v>
      </c>
      <c r="I441" s="76">
        <v>23671</v>
      </c>
      <c r="J441" s="76">
        <f t="shared" si="19"/>
        <v>-139</v>
      </c>
      <c r="K441" s="76">
        <v>278855</v>
      </c>
      <c r="L441" s="103">
        <f t="shared" si="22"/>
        <v>1.3038297501325902E-2</v>
      </c>
      <c r="M441" s="103">
        <f t="shared" si="20"/>
        <v>9.8657008122500944E-2</v>
      </c>
      <c r="N441" s="103">
        <f t="shared" si="21"/>
        <v>0.86041946857620588</v>
      </c>
      <c r="O441" s="76">
        <f t="shared" si="23"/>
        <v>142481.26199999999</v>
      </c>
      <c r="P441" s="69"/>
      <c r="Q441" s="69"/>
      <c r="R441" s="69"/>
      <c r="S441" s="69"/>
      <c r="T441" s="69"/>
      <c r="U441" s="69"/>
      <c r="V441" s="69"/>
      <c r="W441" s="76">
        <f t="shared" si="17"/>
        <v>983.33333333333337</v>
      </c>
      <c r="X441" s="69"/>
      <c r="Y441" s="76">
        <f t="shared" si="18"/>
        <v>14455</v>
      </c>
      <c r="Z441" s="69"/>
      <c r="AA441" s="76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</row>
    <row r="442" spans="1:37" s="140" customFormat="1" ht="12">
      <c r="A442" s="139">
        <v>42856</v>
      </c>
      <c r="B442" s="76">
        <v>31700</v>
      </c>
      <c r="C442" s="76">
        <v>31</v>
      </c>
      <c r="D442" s="76">
        <v>415.94181595225075</v>
      </c>
      <c r="E442" s="76">
        <v>-642</v>
      </c>
      <c r="F442" s="76">
        <v>29206</v>
      </c>
      <c r="G442" s="76">
        <v>2862</v>
      </c>
      <c r="H442" s="76">
        <v>2877.4612261287411</v>
      </c>
      <c r="I442" s="76">
        <v>22855</v>
      </c>
      <c r="J442" s="76">
        <f t="shared" si="19"/>
        <v>-163</v>
      </c>
      <c r="K442" s="76">
        <v>296044</v>
      </c>
      <c r="L442" s="103">
        <f t="shared" si="22"/>
        <v>1.4113262355955669E-2</v>
      </c>
      <c r="M442" s="103">
        <f t="shared" si="20"/>
        <v>9.8654254097363905E-2</v>
      </c>
      <c r="N442" s="103">
        <f t="shared" si="21"/>
        <v>0.78254468259946586</v>
      </c>
      <c r="O442" s="76">
        <f t="shared" si="23"/>
        <v>142654.302</v>
      </c>
      <c r="P442" s="69"/>
      <c r="Q442" s="69"/>
      <c r="R442" s="69"/>
      <c r="S442" s="69"/>
      <c r="T442" s="69"/>
      <c r="U442" s="69"/>
      <c r="V442" s="69"/>
      <c r="W442" s="76">
        <f t="shared" si="17"/>
        <v>1022.5806451612904</v>
      </c>
      <c r="X442" s="69"/>
      <c r="Y442" s="76">
        <f t="shared" si="18"/>
        <v>15031.935483870968</v>
      </c>
      <c r="Z442" s="69"/>
      <c r="AA442" s="76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</row>
    <row r="443" spans="1:37" s="140" customFormat="1" ht="12">
      <c r="A443" s="139">
        <v>42887</v>
      </c>
      <c r="B443" s="76">
        <v>30667</v>
      </c>
      <c r="C443" s="76">
        <v>252</v>
      </c>
      <c r="D443" s="76">
        <v>896.27358727324111</v>
      </c>
      <c r="E443" s="76">
        <v>-1134</v>
      </c>
      <c r="F443" s="76">
        <v>28700</v>
      </c>
      <c r="G443" s="76">
        <v>2297</v>
      </c>
      <c r="H443" s="76">
        <v>2273.2422643782311</v>
      </c>
      <c r="I443" s="76">
        <v>21770</v>
      </c>
      <c r="J443" s="76">
        <f t="shared" si="19"/>
        <v>-127</v>
      </c>
      <c r="K443" s="76">
        <v>293168</v>
      </c>
      <c r="L443" s="103">
        <f t="shared" si="22"/>
        <v>1.7103921065230843E-2</v>
      </c>
      <c r="M443" s="103">
        <f t="shared" si="20"/>
        <v>9.7896086885335368E-2</v>
      </c>
      <c r="N443" s="103">
        <f t="shared" si="21"/>
        <v>0.75853658536585367</v>
      </c>
      <c r="O443" s="76">
        <f t="shared" si="23"/>
        <v>142861.36199999999</v>
      </c>
      <c r="P443" s="69"/>
      <c r="Q443" s="69"/>
      <c r="R443" s="69"/>
      <c r="S443" s="69"/>
      <c r="T443" s="69"/>
      <c r="U443" s="69"/>
      <c r="V443" s="69"/>
      <c r="W443" s="76">
        <f t="shared" si="17"/>
        <v>1022.2333333333333</v>
      </c>
      <c r="X443" s="69"/>
      <c r="Y443" s="76">
        <f t="shared" si="18"/>
        <v>15026.83</v>
      </c>
      <c r="Z443" s="69"/>
      <c r="AA443" s="76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</row>
    <row r="444" spans="1:37" s="140" customFormat="1" ht="12">
      <c r="A444" s="139">
        <v>42917</v>
      </c>
      <c r="B444" s="76">
        <v>31221</v>
      </c>
      <c r="C444" s="76">
        <v>269</v>
      </c>
      <c r="D444" s="76">
        <v>276.00341084019203</v>
      </c>
      <c r="E444" s="76">
        <v>-449</v>
      </c>
      <c r="F444" s="76">
        <v>28985</v>
      </c>
      <c r="G444" s="76">
        <v>2822</v>
      </c>
      <c r="H444" s="76">
        <v>2810.938659094737</v>
      </c>
      <c r="I444" s="76">
        <v>21167</v>
      </c>
      <c r="J444" s="76">
        <f t="shared" si="19"/>
        <v>-163</v>
      </c>
      <c r="K444" s="76">
        <v>297452</v>
      </c>
      <c r="L444" s="103">
        <f t="shared" si="22"/>
        <v>1.8423401424698671E-3</v>
      </c>
      <c r="M444" s="103">
        <f t="shared" si="20"/>
        <v>9.7444293533074239E-2</v>
      </c>
      <c r="N444" s="103">
        <f t="shared" si="21"/>
        <v>0.73027427979989645</v>
      </c>
      <c r="O444" s="76">
        <f t="shared" si="23"/>
        <v>142884.33600000001</v>
      </c>
      <c r="P444" s="69"/>
      <c r="Q444" s="69"/>
      <c r="R444" s="69"/>
      <c r="S444" s="69"/>
      <c r="T444" s="69"/>
      <c r="U444" s="69"/>
      <c r="V444" s="69"/>
      <c r="W444" s="76">
        <f t="shared" si="17"/>
        <v>1007.1290322580645</v>
      </c>
      <c r="X444" s="69"/>
      <c r="Y444" s="76">
        <f t="shared" si="18"/>
        <v>14804.79677419355</v>
      </c>
      <c r="Z444" s="69"/>
      <c r="AA444" s="76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</row>
    <row r="445" spans="1:37" s="140" customFormat="1" ht="12">
      <c r="A445" s="139">
        <v>42948</v>
      </c>
      <c r="B445" s="76">
        <v>32447</v>
      </c>
      <c r="C445" s="76">
        <v>256</v>
      </c>
      <c r="D445" s="76">
        <v>931.67611207995219</v>
      </c>
      <c r="E445" s="76">
        <v>-1028</v>
      </c>
      <c r="F445" s="76">
        <v>29596</v>
      </c>
      <c r="G445" s="76">
        <v>2285</v>
      </c>
      <c r="H445" s="76">
        <v>2311.0973699647052</v>
      </c>
      <c r="I445" s="76">
        <v>21186</v>
      </c>
      <c r="J445" s="76">
        <f t="shared" si="19"/>
        <v>-225</v>
      </c>
      <c r="K445" s="76">
        <v>302303</v>
      </c>
      <c r="L445" s="103">
        <f t="shared" si="22"/>
        <v>6.6699966699965696E-3</v>
      </c>
      <c r="M445" s="103">
        <f t="shared" si="20"/>
        <v>9.790177404789234E-2</v>
      </c>
      <c r="N445" s="103">
        <f t="shared" si="21"/>
        <v>0.7158399783754561</v>
      </c>
      <c r="O445" s="76">
        <f t="shared" si="23"/>
        <v>142968.462</v>
      </c>
      <c r="P445" s="69"/>
      <c r="Q445" s="69"/>
      <c r="R445" s="69"/>
      <c r="S445" s="69"/>
      <c r="T445" s="69"/>
      <c r="U445" s="69"/>
      <c r="V445" s="69"/>
      <c r="W445" s="76">
        <f t="shared" si="17"/>
        <v>1046.6774193548388</v>
      </c>
      <c r="X445" s="69"/>
      <c r="Y445" s="76">
        <f t="shared" si="18"/>
        <v>15386.15806451613</v>
      </c>
      <c r="Z445" s="69"/>
      <c r="AA445" s="76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</row>
    <row r="446" spans="1:37" s="140" customFormat="1" ht="12">
      <c r="A446" s="139">
        <v>42979</v>
      </c>
      <c r="B446" s="76">
        <v>30581</v>
      </c>
      <c r="C446" s="76">
        <v>254</v>
      </c>
      <c r="D446" s="76">
        <v>721.58606836448871</v>
      </c>
      <c r="E446" s="76">
        <v>-1173</v>
      </c>
      <c r="F446" s="76">
        <v>27450</v>
      </c>
      <c r="G446" s="76">
        <v>2011</v>
      </c>
      <c r="H446" s="76">
        <v>2063.2198676094845</v>
      </c>
      <c r="I446" s="76">
        <v>21507</v>
      </c>
      <c r="J446" s="76">
        <f t="shared" si="19"/>
        <v>-120</v>
      </c>
      <c r="K446" s="76">
        <v>281327</v>
      </c>
      <c r="L446" s="103">
        <f t="shared" si="22"/>
        <v>-1.1194606905859827E-2</v>
      </c>
      <c r="M446" s="103">
        <f t="shared" si="20"/>
        <v>9.7573286602423509E-2</v>
      </c>
      <c r="N446" s="103">
        <f t="shared" si="21"/>
        <v>0.78349726775956285</v>
      </c>
      <c r="O446" s="76">
        <f t="shared" si="23"/>
        <v>142834.69200000001</v>
      </c>
      <c r="P446" s="69"/>
      <c r="Q446" s="69"/>
      <c r="R446" s="69"/>
      <c r="S446" s="69"/>
      <c r="T446" s="69"/>
      <c r="U446" s="69"/>
      <c r="V446" s="69"/>
      <c r="W446" s="76">
        <f t="shared" si="17"/>
        <v>1019.3666666666667</v>
      </c>
      <c r="X446" s="69"/>
      <c r="Y446" s="76">
        <f t="shared" si="18"/>
        <v>14984.69</v>
      </c>
      <c r="Z446" s="69"/>
      <c r="AA446" s="76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</row>
    <row r="447" spans="1:37" s="140" customFormat="1" ht="12">
      <c r="A447" s="139">
        <v>43009</v>
      </c>
      <c r="B447" s="76">
        <v>32076</v>
      </c>
      <c r="C447" s="76">
        <v>69</v>
      </c>
      <c r="D447" s="76">
        <v>409.70208800430623</v>
      </c>
      <c r="E447" s="76">
        <v>-881</v>
      </c>
      <c r="F447" s="76">
        <v>28756</v>
      </c>
      <c r="G447" s="76">
        <v>2488</v>
      </c>
      <c r="H447" s="76">
        <v>2480.689032741122</v>
      </c>
      <c r="I447" s="76">
        <v>21663</v>
      </c>
      <c r="J447" s="76">
        <f t="shared" si="19"/>
        <v>-136</v>
      </c>
      <c r="K447" s="76">
        <v>290071</v>
      </c>
      <c r="L447" s="103">
        <f t="shared" si="22"/>
        <v>2.9011007722788529E-2</v>
      </c>
      <c r="M447" s="103">
        <f t="shared" si="20"/>
        <v>9.913434986606727E-2</v>
      </c>
      <c r="N447" s="103">
        <f t="shared" si="21"/>
        <v>0.75333843371818054</v>
      </c>
      <c r="O447" s="76">
        <f t="shared" si="23"/>
        <v>143178.16800000001</v>
      </c>
      <c r="P447" s="69"/>
      <c r="Q447" s="69"/>
      <c r="R447" s="69"/>
      <c r="S447" s="69"/>
      <c r="T447" s="69"/>
      <c r="U447" s="69"/>
      <c r="V447" s="69"/>
      <c r="W447" s="76">
        <f t="shared" si="17"/>
        <v>1034.7096774193549</v>
      </c>
      <c r="X447" s="69"/>
      <c r="Y447" s="76">
        <f t="shared" si="18"/>
        <v>15210.232258064516</v>
      </c>
      <c r="Z447" s="69"/>
      <c r="AA447" s="76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</row>
    <row r="448" spans="1:37" s="140" customFormat="1" ht="12">
      <c r="A448" s="139">
        <v>43040</v>
      </c>
      <c r="B448" s="76">
        <v>32469</v>
      </c>
      <c r="C448" s="76">
        <v>469</v>
      </c>
      <c r="D448" s="76">
        <v>1001.0630099702353</v>
      </c>
      <c r="E448" s="76">
        <v>-1595</v>
      </c>
      <c r="F448" s="76">
        <v>27427</v>
      </c>
      <c r="G448" s="76">
        <v>2565</v>
      </c>
      <c r="H448" s="76">
        <v>2490.1964447205255</v>
      </c>
      <c r="I448" s="76">
        <v>23203</v>
      </c>
      <c r="J448" s="76">
        <f t="shared" si="19"/>
        <v>-189</v>
      </c>
      <c r="K448" s="76">
        <v>273314</v>
      </c>
      <c r="L448" s="103">
        <f t="shared" si="22"/>
        <v>-1.3296172882738766E-2</v>
      </c>
      <c r="M448" s="103">
        <f t="shared" si="20"/>
        <v>0.10034978083815685</v>
      </c>
      <c r="N448" s="103">
        <f t="shared" si="21"/>
        <v>0.84599117657782474</v>
      </c>
      <c r="O448" s="76">
        <f t="shared" si="23"/>
        <v>143023.48199999999</v>
      </c>
      <c r="P448" s="76">
        <f>('Weekly Ethanol Data'!B391*2+'Weekly Ethanol Data'!B393*7+'Weekly Ethanol Data'!B394*7+'Weekly Ethanol Data'!B395*7+'Weekly Ethanol Data'!B396*6)</f>
        <v>31118</v>
      </c>
      <c r="Q448" s="69"/>
      <c r="R448" s="69"/>
      <c r="S448" s="69"/>
      <c r="T448" s="69"/>
      <c r="U448" s="69"/>
      <c r="V448" s="69"/>
      <c r="W448" s="76">
        <f t="shared" si="17"/>
        <v>1082.3</v>
      </c>
      <c r="X448" s="69"/>
      <c r="Y448" s="76">
        <f t="shared" si="18"/>
        <v>15909.81</v>
      </c>
      <c r="Z448" s="69"/>
      <c r="AA448" s="76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</row>
    <row r="449" spans="1:37" s="140" customFormat="1" ht="12">
      <c r="A449" s="139">
        <v>43070</v>
      </c>
      <c r="B449" s="76">
        <v>32809</v>
      </c>
      <c r="C449" s="76">
        <v>0</v>
      </c>
      <c r="D449" s="76">
        <v>202.51745391862312</v>
      </c>
      <c r="E449" s="76">
        <v>-848</v>
      </c>
      <c r="F449" s="76">
        <v>28089</v>
      </c>
      <c r="G449" s="76">
        <v>4175</v>
      </c>
      <c r="H449" s="76">
        <v>4286.3266179508018</v>
      </c>
      <c r="I449" s="76">
        <v>23043</v>
      </c>
      <c r="J449" s="76">
        <f t="shared" si="19"/>
        <v>-143</v>
      </c>
      <c r="K449" s="76">
        <v>286643</v>
      </c>
      <c r="L449" s="103">
        <f t="shared" si="22"/>
        <v>-3.9474735821585227E-3</v>
      </c>
      <c r="M449" s="103">
        <f t="shared" si="20"/>
        <v>9.7992973838537833E-2</v>
      </c>
      <c r="N449" s="103">
        <f t="shared" si="21"/>
        <v>0.82035672327245546</v>
      </c>
      <c r="O449" s="76">
        <f t="shared" si="23"/>
        <v>142975.76999999999</v>
      </c>
      <c r="P449" s="69"/>
      <c r="Q449" s="69"/>
      <c r="R449" s="69"/>
      <c r="S449" s="69"/>
      <c r="T449" s="69"/>
      <c r="U449" s="69"/>
      <c r="V449" s="69"/>
      <c r="W449" s="76">
        <f t="shared" si="17"/>
        <v>1058.3548387096773</v>
      </c>
      <c r="X449" s="69"/>
      <c r="Y449" s="76">
        <f t="shared" si="18"/>
        <v>15557.816129032259</v>
      </c>
      <c r="Z449" s="69"/>
      <c r="AA449" s="76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</row>
    <row r="450" spans="1:37" s="140" customFormat="1" ht="12">
      <c r="A450" s="139">
        <v>43101</v>
      </c>
      <c r="B450" s="76">
        <v>32428</v>
      </c>
      <c r="C450" s="76">
        <v>0</v>
      </c>
      <c r="D450" s="76">
        <v>599.19490384195649</v>
      </c>
      <c r="E450" s="76">
        <v>-2294</v>
      </c>
      <c r="F450" s="76">
        <v>26462</v>
      </c>
      <c r="G450" s="76">
        <v>2522</v>
      </c>
      <c r="H450" s="76">
        <v>2521.0944376535426</v>
      </c>
      <c r="I450" s="76">
        <v>24342</v>
      </c>
      <c r="J450" s="76">
        <f t="shared" si="19"/>
        <v>-149</v>
      </c>
      <c r="K450" s="76">
        <v>272415</v>
      </c>
      <c r="L450" s="103">
        <f t="shared" si="22"/>
        <v>3.3017580050662021E-2</v>
      </c>
      <c r="M450" s="103">
        <f t="shared" si="20"/>
        <v>9.7138556981076665E-2</v>
      </c>
      <c r="N450" s="103">
        <f t="shared" si="21"/>
        <v>0.9198851182828206</v>
      </c>
      <c r="O450" s="76">
        <f t="shared" si="23"/>
        <v>143341.46400000001</v>
      </c>
      <c r="P450" s="69"/>
      <c r="Q450" s="69"/>
      <c r="R450" s="69"/>
      <c r="S450" s="69"/>
      <c r="T450" s="69"/>
      <c r="U450" s="69"/>
      <c r="V450" s="69"/>
      <c r="W450" s="76">
        <f t="shared" si="17"/>
        <v>1046.0645161290322</v>
      </c>
      <c r="X450" s="69"/>
      <c r="Y450" s="76">
        <f t="shared" si="18"/>
        <v>15377.148387096773</v>
      </c>
      <c r="Z450" s="69"/>
      <c r="AA450" s="76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</row>
    <row r="451" spans="1:37" s="140" customFormat="1" ht="12">
      <c r="A451" s="139">
        <v>43132</v>
      </c>
      <c r="B451" s="76">
        <v>29519</v>
      </c>
      <c r="C451" s="76">
        <v>0</v>
      </c>
      <c r="D451" s="76">
        <v>341.6107156285895</v>
      </c>
      <c r="E451" s="76">
        <v>453</v>
      </c>
      <c r="F451" s="76">
        <v>24909</v>
      </c>
      <c r="G451" s="76">
        <v>4838</v>
      </c>
      <c r="H451" s="76">
        <v>4747.627054551931</v>
      </c>
      <c r="I451" s="76">
        <v>24722</v>
      </c>
      <c r="J451" s="76">
        <f t="shared" si="19"/>
        <v>-155</v>
      </c>
      <c r="K451" s="76">
        <v>246292</v>
      </c>
      <c r="L451" s="103">
        <f t="shared" si="22"/>
        <v>-2.3491675818838487E-2</v>
      </c>
      <c r="M451" s="103">
        <f t="shared" si="20"/>
        <v>0.10113604989199812</v>
      </c>
      <c r="N451" s="103">
        <f t="shared" si="21"/>
        <v>0.99249267333092461</v>
      </c>
      <c r="O451" s="76">
        <f t="shared" si="23"/>
        <v>143092.614</v>
      </c>
      <c r="P451" s="69"/>
      <c r="Q451" s="69"/>
      <c r="R451" s="69"/>
      <c r="S451" s="69"/>
      <c r="T451" s="69"/>
      <c r="U451" s="69"/>
      <c r="V451" s="69"/>
      <c r="W451" s="76">
        <f t="shared" si="17"/>
        <v>1054.25</v>
      </c>
      <c r="X451" s="69"/>
      <c r="Y451" s="76">
        <f t="shared" si="18"/>
        <v>15497.475</v>
      </c>
      <c r="Z451" s="69"/>
      <c r="AA451" s="76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</row>
    <row r="452" spans="1:37" s="140" customFormat="1" ht="12">
      <c r="A452" s="139">
        <v>43160</v>
      </c>
      <c r="B452" s="76">
        <v>32216</v>
      </c>
      <c r="C452" s="76">
        <v>0</v>
      </c>
      <c r="D452" s="76">
        <v>473.35839320921514</v>
      </c>
      <c r="E452" s="76">
        <v>-26</v>
      </c>
      <c r="F452" s="76">
        <v>28486</v>
      </c>
      <c r="G452" s="76">
        <v>5516</v>
      </c>
      <c r="H452" s="76">
        <v>5515.0379571389458</v>
      </c>
      <c r="I452" s="76">
        <v>23084</v>
      </c>
      <c r="J452" s="76">
        <f t="shared" si="19"/>
        <v>-174</v>
      </c>
      <c r="K452" s="76">
        <v>293401</v>
      </c>
      <c r="L452" s="103">
        <f t="shared" si="22"/>
        <v>1.493688663809345E-2</v>
      </c>
      <c r="M452" s="103">
        <f t="shared" si="20"/>
        <v>9.7088966976936003E-2</v>
      </c>
      <c r="N452" s="103">
        <f t="shared" si="21"/>
        <v>0.81036298532612516</v>
      </c>
      <c r="O452" s="76">
        <f t="shared" ref="O452:O468" si="24">SUM(K441:K452)*42/1000</f>
        <v>143273.97</v>
      </c>
      <c r="P452" s="69"/>
      <c r="Q452" s="69"/>
      <c r="R452" s="69"/>
      <c r="S452" s="69"/>
      <c r="T452" s="69"/>
      <c r="U452" s="69"/>
      <c r="V452" s="69"/>
      <c r="W452" s="76">
        <f t="shared" si="17"/>
        <v>1039.2258064516129</v>
      </c>
      <c r="X452" s="69"/>
      <c r="Y452" s="76">
        <f t="shared" si="18"/>
        <v>15276.619354838711</v>
      </c>
      <c r="Z452" s="69"/>
      <c r="AA452" s="76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</row>
    <row r="453" spans="1:37" s="140" customFormat="1" ht="12">
      <c r="A453" s="139">
        <v>43191</v>
      </c>
      <c r="B453" s="76">
        <v>30532</v>
      </c>
      <c r="C453" s="76">
        <v>0</v>
      </c>
      <c r="D453" s="76">
        <v>340.36665337000045</v>
      </c>
      <c r="E453" s="76">
        <v>754</v>
      </c>
      <c r="F453" s="76">
        <v>27464</v>
      </c>
      <c r="G453" s="76">
        <v>3675</v>
      </c>
      <c r="H453" s="76">
        <v>3674.4356496075598</v>
      </c>
      <c r="I453" s="76">
        <v>23379</v>
      </c>
      <c r="J453" s="76">
        <f t="shared" si="19"/>
        <v>-148</v>
      </c>
      <c r="K453" s="76">
        <v>276179</v>
      </c>
      <c r="L453" s="103">
        <f t="shared" si="22"/>
        <v>-9.5963852181241149E-3</v>
      </c>
      <c r="M453" s="103">
        <f t="shared" si="20"/>
        <v>9.9442752707483192E-2</v>
      </c>
      <c r="N453" s="103">
        <f t="shared" si="21"/>
        <v>0.85125983105155845</v>
      </c>
      <c r="O453" s="76">
        <f t="shared" si="24"/>
        <v>143161.57800000001</v>
      </c>
      <c r="P453" s="69"/>
      <c r="Q453" s="69"/>
      <c r="R453" s="69"/>
      <c r="S453" s="69"/>
      <c r="T453" s="69"/>
      <c r="U453" s="69"/>
      <c r="V453" s="69"/>
      <c r="W453" s="76">
        <f t="shared" si="17"/>
        <v>1017.7333333333333</v>
      </c>
      <c r="X453" s="69"/>
      <c r="Y453" s="76">
        <f t="shared" si="18"/>
        <v>14960.68</v>
      </c>
      <c r="Z453" s="69"/>
      <c r="AA453" s="76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</row>
    <row r="454" spans="1:37" s="140" customFormat="1" ht="12">
      <c r="A454" s="139">
        <v>43221</v>
      </c>
      <c r="B454" s="76">
        <v>32215</v>
      </c>
      <c r="C454" s="76">
        <v>0</v>
      </c>
      <c r="D454" s="76">
        <v>464.32943478098423</v>
      </c>
      <c r="E454" s="76">
        <v>-1429</v>
      </c>
      <c r="F454" s="76">
        <v>29423</v>
      </c>
      <c r="G454" s="76">
        <v>2262</v>
      </c>
      <c r="H454" s="76">
        <v>2171.1733244974025</v>
      </c>
      <c r="I454" s="76">
        <v>22654</v>
      </c>
      <c r="J454" s="76">
        <f t="shared" si="19"/>
        <v>-174</v>
      </c>
      <c r="K454" s="76">
        <v>294973</v>
      </c>
      <c r="L454" s="103">
        <f t="shared" si="22"/>
        <v>-3.6177054762129845E-3</v>
      </c>
      <c r="M454" s="103">
        <f t="shared" si="20"/>
        <v>9.9748112539113754E-2</v>
      </c>
      <c r="N454" s="103">
        <f t="shared" si="21"/>
        <v>0.76994188220099924</v>
      </c>
      <c r="O454" s="76">
        <f t="shared" si="24"/>
        <v>143116.59599999999</v>
      </c>
      <c r="P454" s="69"/>
      <c r="Q454" s="69"/>
      <c r="R454" s="69"/>
      <c r="S454" s="69"/>
      <c r="T454" s="69"/>
      <c r="U454" s="69"/>
      <c r="V454" s="69"/>
      <c r="W454" s="76">
        <f t="shared" ref="W454:W517" si="25">B454/(A455-A454)</f>
        <v>1039.1935483870968</v>
      </c>
      <c r="X454" s="69"/>
      <c r="Y454" s="76">
        <f t="shared" ref="Y454:Y517" si="26">W454*350*42/1000</f>
        <v>15276.145161290324</v>
      </c>
      <c r="Z454" s="69"/>
      <c r="AA454" s="76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</row>
    <row r="455" spans="1:37" s="140" customFormat="1" ht="12">
      <c r="A455" s="139">
        <v>43252</v>
      </c>
      <c r="B455" s="76">
        <v>31924</v>
      </c>
      <c r="C455" s="76">
        <v>0</v>
      </c>
      <c r="D455" s="76">
        <v>348.05772438816149</v>
      </c>
      <c r="E455" s="76">
        <v>-523</v>
      </c>
      <c r="F455" s="76">
        <v>28593</v>
      </c>
      <c r="G455" s="76">
        <v>3585</v>
      </c>
      <c r="H455" s="76">
        <v>3463.2557006783309</v>
      </c>
      <c r="I455" s="76">
        <v>21877</v>
      </c>
      <c r="J455" s="76">
        <f t="shared" si="19"/>
        <v>0</v>
      </c>
      <c r="K455" s="76">
        <v>293911</v>
      </c>
      <c r="L455" s="103">
        <f t="shared" si="22"/>
        <v>2.5343830158817138E-3</v>
      </c>
      <c r="M455" s="103">
        <f t="shared" si="20"/>
        <v>9.7284552126323962E-2</v>
      </c>
      <c r="N455" s="103">
        <f t="shared" si="21"/>
        <v>0.76511733641100965</v>
      </c>
      <c r="O455" s="76">
        <f t="shared" si="24"/>
        <v>143147.802</v>
      </c>
      <c r="P455" s="69"/>
      <c r="Q455" s="69"/>
      <c r="R455" s="69"/>
      <c r="S455" s="69"/>
      <c r="T455" s="69"/>
      <c r="U455" s="69"/>
      <c r="V455" s="69"/>
      <c r="W455" s="76">
        <f t="shared" si="25"/>
        <v>1064.1333333333334</v>
      </c>
      <c r="X455" s="69"/>
      <c r="Y455" s="76">
        <f t="shared" si="26"/>
        <v>15642.76</v>
      </c>
      <c r="Z455" s="69"/>
      <c r="AA455" s="76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</row>
    <row r="456" spans="1:37" s="140" customFormat="1" ht="12">
      <c r="A456" s="139">
        <v>43282</v>
      </c>
      <c r="B456" s="76">
        <v>33496</v>
      </c>
      <c r="C456" s="76">
        <v>0</v>
      </c>
      <c r="D456" s="76">
        <v>337.63142094062653</v>
      </c>
      <c r="E456" s="76">
        <v>-1147</v>
      </c>
      <c r="F456" s="76">
        <v>29053</v>
      </c>
      <c r="G456" s="76">
        <v>2439</v>
      </c>
      <c r="H456" s="76">
        <v>2438.1389460108808</v>
      </c>
      <c r="I456" s="76">
        <v>22668</v>
      </c>
      <c r="J456" s="76">
        <f t="shared" si="19"/>
        <v>66</v>
      </c>
      <c r="K456" s="76">
        <v>298852</v>
      </c>
      <c r="L456" s="103">
        <f t="shared" si="22"/>
        <v>4.7066417438779151E-3</v>
      </c>
      <c r="M456" s="103">
        <f t="shared" si="20"/>
        <v>9.7215344049897609E-2</v>
      </c>
      <c r="N456" s="103">
        <f t="shared" si="21"/>
        <v>0.78022923622345364</v>
      </c>
      <c r="O456" s="76">
        <f t="shared" si="24"/>
        <v>143206.60200000001</v>
      </c>
      <c r="P456" s="69"/>
      <c r="Q456" s="69"/>
      <c r="R456" s="69"/>
      <c r="S456" s="69"/>
      <c r="T456" s="69"/>
      <c r="U456" s="69"/>
      <c r="V456" s="69"/>
      <c r="W456" s="76">
        <f t="shared" si="25"/>
        <v>1080.516129032258</v>
      </c>
      <c r="X456" s="69"/>
      <c r="Y456" s="76">
        <f t="shared" si="26"/>
        <v>15883.587096774192</v>
      </c>
      <c r="Z456" s="69"/>
      <c r="AA456" s="76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</row>
    <row r="457" spans="1:37" s="140" customFormat="1" ht="12">
      <c r="A457" s="139">
        <v>43313</v>
      </c>
      <c r="B457" s="76">
        <v>33773</v>
      </c>
      <c r="C457" s="76">
        <v>304</v>
      </c>
      <c r="D457" s="76">
        <v>987.77448275402253</v>
      </c>
      <c r="E457" s="76">
        <v>-1405</v>
      </c>
      <c r="F457" s="76">
        <v>29718</v>
      </c>
      <c r="G457" s="76">
        <v>2798</v>
      </c>
      <c r="H457" s="76">
        <v>2701.748631116388</v>
      </c>
      <c r="I457" s="76">
        <v>22824</v>
      </c>
      <c r="J457" s="76">
        <f t="shared" si="19"/>
        <v>0</v>
      </c>
      <c r="K457" s="76">
        <v>303123</v>
      </c>
      <c r="L457" s="103">
        <f t="shared" si="22"/>
        <v>2.7125102959613123E-3</v>
      </c>
      <c r="M457" s="103">
        <f t="shared" si="20"/>
        <v>9.8039409744559144E-2</v>
      </c>
      <c r="N457" s="103">
        <f t="shared" si="21"/>
        <v>0.76801938219261057</v>
      </c>
      <c r="O457" s="76">
        <f t="shared" si="24"/>
        <v>143241.04199999999</v>
      </c>
      <c r="P457" s="69"/>
      <c r="Q457" s="69"/>
      <c r="R457" s="69"/>
      <c r="S457" s="69"/>
      <c r="T457" s="69"/>
      <c r="U457" s="69"/>
      <c r="V457" s="69"/>
      <c r="W457" s="76">
        <f t="shared" si="25"/>
        <v>1089.4516129032259</v>
      </c>
      <c r="X457" s="69"/>
      <c r="Y457" s="76">
        <f t="shared" si="26"/>
        <v>16014.938709677419</v>
      </c>
      <c r="Z457" s="69"/>
      <c r="AA457" s="76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</row>
    <row r="458" spans="1:37" s="140" customFormat="1" ht="12">
      <c r="A458" s="139">
        <v>43344</v>
      </c>
      <c r="B458" s="76">
        <v>30667</v>
      </c>
      <c r="C458" s="76">
        <v>35</v>
      </c>
      <c r="D458" s="76">
        <v>388.71501747121556</v>
      </c>
      <c r="E458" s="76">
        <v>629</v>
      </c>
      <c r="F458" s="76">
        <v>27395</v>
      </c>
      <c r="G458" s="76">
        <v>2348</v>
      </c>
      <c r="H458" s="76">
        <v>2347.9212417199319</v>
      </c>
      <c r="I458" s="76">
        <v>24412</v>
      </c>
      <c r="J458" s="76">
        <f t="shared" si="19"/>
        <v>0</v>
      </c>
      <c r="K458" s="76">
        <v>274577</v>
      </c>
      <c r="L458" s="103">
        <f t="shared" si="22"/>
        <v>-2.3993431131743459E-2</v>
      </c>
      <c r="M458" s="103">
        <f t="shared" si="20"/>
        <v>9.9771648754265654E-2</v>
      </c>
      <c r="N458" s="103">
        <f t="shared" si="21"/>
        <v>0.89111151670012778</v>
      </c>
      <c r="O458" s="76">
        <f t="shared" si="24"/>
        <v>142957.54199999999</v>
      </c>
      <c r="P458" s="69"/>
      <c r="Q458" s="69"/>
      <c r="R458" s="69"/>
      <c r="S458" s="69"/>
      <c r="T458" s="69"/>
      <c r="U458" s="69"/>
      <c r="V458" s="69"/>
      <c r="W458" s="76">
        <f t="shared" si="25"/>
        <v>1022.2333333333333</v>
      </c>
      <c r="X458" s="69"/>
      <c r="Y458" s="76">
        <f t="shared" si="26"/>
        <v>15026.83</v>
      </c>
      <c r="Z458" s="69"/>
      <c r="AA458" s="76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</row>
    <row r="459" spans="1:37" s="140" customFormat="1" ht="12">
      <c r="A459" s="139">
        <v>43374</v>
      </c>
      <c r="B459" s="76">
        <v>32380</v>
      </c>
      <c r="C459" s="76">
        <v>464</v>
      </c>
      <c r="D459" s="76">
        <v>954.08243505358485</v>
      </c>
      <c r="E459" s="76">
        <v>-401</v>
      </c>
      <c r="F459" s="76">
        <v>29057</v>
      </c>
      <c r="G459" s="76">
        <v>4078</v>
      </c>
      <c r="H459" s="76">
        <v>4077.4746423014376</v>
      </c>
      <c r="I459" s="76">
        <v>23698</v>
      </c>
      <c r="J459" s="76">
        <f t="shared" si="19"/>
        <v>22</v>
      </c>
      <c r="K459" s="76">
        <v>288109</v>
      </c>
      <c r="L459" s="103">
        <f t="shared" si="22"/>
        <v>-6.7638612615532612E-3</v>
      </c>
      <c r="M459" s="103">
        <f t="shared" si="20"/>
        <v>0.10085419060147374</v>
      </c>
      <c r="N459" s="103">
        <f t="shared" si="21"/>
        <v>0.81556939807963658</v>
      </c>
      <c r="O459" s="76">
        <f t="shared" si="24"/>
        <v>142875.13800000001</v>
      </c>
      <c r="P459" s="69"/>
      <c r="Q459" s="69"/>
      <c r="R459" s="69"/>
      <c r="S459" s="69"/>
      <c r="T459" s="69"/>
      <c r="U459" s="69"/>
      <c r="V459" s="69"/>
      <c r="W459" s="76">
        <f t="shared" si="25"/>
        <v>1044.516129032258</v>
      </c>
      <c r="X459" s="69"/>
      <c r="Y459" s="76">
        <f t="shared" si="26"/>
        <v>15354.387096774193</v>
      </c>
      <c r="Z459" s="69"/>
      <c r="AA459" s="76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</row>
    <row r="460" spans="1:37" s="140" customFormat="1" ht="12">
      <c r="A460" s="139">
        <v>43405</v>
      </c>
      <c r="B460" s="76">
        <v>31514</v>
      </c>
      <c r="C460" s="76">
        <v>236</v>
      </c>
      <c r="D460" s="76">
        <v>587.61962125006016</v>
      </c>
      <c r="E460" s="76">
        <v>-626</v>
      </c>
      <c r="F460" s="76">
        <v>27754</v>
      </c>
      <c r="G460" s="76">
        <v>3465</v>
      </c>
      <c r="H460" s="76">
        <v>3180.266149694296</v>
      </c>
      <c r="I460" s="76">
        <v>23618</v>
      </c>
      <c r="J460" s="76">
        <f t="shared" si="19"/>
        <v>-15</v>
      </c>
      <c r="K460" s="76">
        <v>278712</v>
      </c>
      <c r="L460" s="103">
        <f t="shared" si="22"/>
        <v>1.9750177451575812E-2</v>
      </c>
      <c r="M460" s="103">
        <f t="shared" si="20"/>
        <v>9.9579494244955366E-2</v>
      </c>
      <c r="N460" s="103">
        <f t="shared" si="21"/>
        <v>0.85097643582906968</v>
      </c>
      <c r="O460" s="76">
        <f t="shared" si="24"/>
        <v>143101.85399999999</v>
      </c>
      <c r="P460" s="69"/>
      <c r="Q460" s="69"/>
      <c r="R460" s="69"/>
      <c r="S460" s="69"/>
      <c r="T460" s="69"/>
      <c r="U460" s="69"/>
      <c r="V460" s="69"/>
      <c r="W460" s="76">
        <f t="shared" si="25"/>
        <v>1050.4666666666667</v>
      </c>
      <c r="X460" s="69"/>
      <c r="Y460" s="76">
        <f t="shared" si="26"/>
        <v>15441.860000000002</v>
      </c>
      <c r="Z460" s="69"/>
      <c r="AA460" s="76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</row>
    <row r="461" spans="1:37" s="140" customFormat="1" ht="12">
      <c r="A461" s="139">
        <v>43435</v>
      </c>
      <c r="B461" s="76">
        <v>31736</v>
      </c>
      <c r="C461" s="76">
        <v>255</v>
      </c>
      <c r="D461" s="76">
        <v>656.20480061227556</v>
      </c>
      <c r="E461" s="76">
        <v>-1121</v>
      </c>
      <c r="F461" s="76">
        <v>27891</v>
      </c>
      <c r="G461" s="76">
        <v>3179</v>
      </c>
      <c r="H461" s="76">
        <v>3054.8517799103602</v>
      </c>
      <c r="I461" s="76">
        <v>23418</v>
      </c>
      <c r="J461" s="76">
        <f t="shared" si="19"/>
        <v>0</v>
      </c>
      <c r="K461" s="76">
        <v>284535</v>
      </c>
      <c r="L461" s="103">
        <f t="shared" si="22"/>
        <v>-7.3540955125365182E-3</v>
      </c>
      <c r="M461" s="103">
        <f t="shared" si="20"/>
        <v>9.8023090305234858E-2</v>
      </c>
      <c r="N461" s="103">
        <f t="shared" si="21"/>
        <v>0.83962568570506613</v>
      </c>
      <c r="O461" s="76">
        <f t="shared" si="24"/>
        <v>143013.318</v>
      </c>
      <c r="P461" s="69"/>
      <c r="Q461" s="69"/>
      <c r="R461" s="69"/>
      <c r="S461" s="69"/>
      <c r="T461" s="69"/>
      <c r="U461" s="69"/>
      <c r="V461" s="69"/>
      <c r="W461" s="76">
        <f t="shared" si="25"/>
        <v>1023.741935483871</v>
      </c>
      <c r="X461" s="69"/>
      <c r="Y461" s="76">
        <f t="shared" si="26"/>
        <v>15049.006451612902</v>
      </c>
      <c r="Z461" s="69"/>
      <c r="AA461" s="76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</row>
    <row r="462" spans="1:37" s="140" customFormat="1" ht="12">
      <c r="A462" s="139">
        <v>43466</v>
      </c>
      <c r="B462" s="76">
        <v>31601</v>
      </c>
      <c r="C462" s="76">
        <v>0</v>
      </c>
      <c r="D462" s="76">
        <v>381.37916368372248</v>
      </c>
      <c r="E462" s="76">
        <v>213</v>
      </c>
      <c r="F462" s="76">
        <v>26876</v>
      </c>
      <c r="G462" s="76">
        <v>3243</v>
      </c>
      <c r="H462" s="76">
        <v>3242.3126714210107</v>
      </c>
      <c r="I462" s="76">
        <v>25115</v>
      </c>
      <c r="J462" s="76">
        <f t="shared" si="19"/>
        <v>-2</v>
      </c>
      <c r="K462" s="76">
        <v>272130</v>
      </c>
      <c r="L462" s="103">
        <f t="shared" si="22"/>
        <v>-1.0461978965915497E-3</v>
      </c>
      <c r="M462" s="103">
        <f t="shared" si="20"/>
        <v>9.8761621283945167E-2</v>
      </c>
      <c r="N462" s="103">
        <f t="shared" si="21"/>
        <v>0.9344768566751005</v>
      </c>
      <c r="O462" s="76">
        <f t="shared" si="24"/>
        <v>143001.348</v>
      </c>
      <c r="P462" s="69"/>
      <c r="Q462" s="69"/>
      <c r="R462" s="69"/>
      <c r="S462" s="69"/>
      <c r="T462" s="69"/>
      <c r="U462" s="69"/>
      <c r="V462" s="69"/>
      <c r="W462" s="76">
        <f t="shared" si="25"/>
        <v>1019.3870967741935</v>
      </c>
      <c r="X462" s="69"/>
      <c r="Y462" s="76">
        <f t="shared" si="26"/>
        <v>14984.990322580647</v>
      </c>
      <c r="Z462" s="69"/>
      <c r="AA462" s="76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</row>
    <row r="463" spans="1:37" s="140" customFormat="1" ht="12">
      <c r="A463" s="139">
        <v>43497</v>
      </c>
      <c r="B463" s="76">
        <v>28576</v>
      </c>
      <c r="C463" s="76">
        <v>0</v>
      </c>
      <c r="D463" s="76">
        <v>419.76573337152502</v>
      </c>
      <c r="E463" s="76">
        <v>-2212</v>
      </c>
      <c r="F463" s="76">
        <v>24713</v>
      </c>
      <c r="G463" s="76">
        <v>2283</v>
      </c>
      <c r="H463" s="76">
        <v>2279.9443879828832</v>
      </c>
      <c r="I463" s="76">
        <v>24506</v>
      </c>
      <c r="J463" s="76">
        <f t="shared" si="19"/>
        <v>-23</v>
      </c>
      <c r="K463" s="76">
        <v>254011</v>
      </c>
      <c r="L463" s="103">
        <f t="shared" si="22"/>
        <v>3.1340847449369047E-2</v>
      </c>
      <c r="M463" s="103">
        <f t="shared" si="20"/>
        <v>9.7291062198093789E-2</v>
      </c>
      <c r="N463" s="103">
        <f t="shared" si="21"/>
        <v>0.99162384170274753</v>
      </c>
      <c r="O463" s="76">
        <f t="shared" si="24"/>
        <v>143325.546</v>
      </c>
      <c r="P463" s="69"/>
      <c r="Q463" s="69"/>
      <c r="R463" s="69"/>
      <c r="S463" s="69"/>
      <c r="T463" s="69"/>
      <c r="U463" s="69"/>
      <c r="V463" s="69"/>
      <c r="W463" s="76">
        <f t="shared" si="25"/>
        <v>1020.5714285714286</v>
      </c>
      <c r="X463" s="69"/>
      <c r="Y463" s="76">
        <f t="shared" si="26"/>
        <v>15002.4</v>
      </c>
      <c r="Z463" s="69"/>
      <c r="AA463" s="76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</row>
    <row r="464" spans="1:37" s="140" customFormat="1" ht="12">
      <c r="A464" s="139">
        <v>43525</v>
      </c>
      <c r="B464" s="76">
        <v>30895</v>
      </c>
      <c r="C464" s="76">
        <v>251</v>
      </c>
      <c r="D464" s="76">
        <v>614.3309443362806</v>
      </c>
      <c r="E464" s="76">
        <v>28</v>
      </c>
      <c r="F464" s="76">
        <v>28348</v>
      </c>
      <c r="G464" s="76">
        <v>3904</v>
      </c>
      <c r="H464" s="76">
        <v>3825.6289027507996</v>
      </c>
      <c r="I464" s="76">
        <v>23396</v>
      </c>
      <c r="J464" s="76">
        <f t="shared" si="19"/>
        <v>32</v>
      </c>
      <c r="K464" s="76">
        <v>284706</v>
      </c>
      <c r="L464" s="103">
        <f t="shared" si="22"/>
        <v>-2.9635209150616348E-2</v>
      </c>
      <c r="M464" s="103">
        <f t="shared" si="20"/>
        <v>9.9569380343231262E-2</v>
      </c>
      <c r="N464" s="103">
        <f t="shared" si="21"/>
        <v>0.82531395512910966</v>
      </c>
      <c r="O464" s="76">
        <f t="shared" si="24"/>
        <v>142960.356</v>
      </c>
      <c r="P464" s="69"/>
      <c r="Q464" s="69"/>
      <c r="R464" s="69"/>
      <c r="S464" s="69"/>
      <c r="T464" s="69"/>
      <c r="U464" s="69"/>
      <c r="V464" s="69"/>
      <c r="W464" s="76">
        <f t="shared" si="25"/>
        <v>996.61290322580646</v>
      </c>
      <c r="X464" s="69"/>
      <c r="Y464" s="76">
        <f t="shared" si="26"/>
        <v>14650.209677419352</v>
      </c>
      <c r="Z464" s="69"/>
      <c r="AA464" s="76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</row>
    <row r="465" spans="1:37" s="140" customFormat="1" ht="12">
      <c r="A465" s="139">
        <v>43556</v>
      </c>
      <c r="B465" s="76">
        <v>30951</v>
      </c>
      <c r="C465" s="76">
        <v>313</v>
      </c>
      <c r="D465" s="76">
        <v>545.69716358333699</v>
      </c>
      <c r="E465" s="76">
        <v>50</v>
      </c>
      <c r="F465" s="76">
        <v>27901</v>
      </c>
      <c r="G465" s="76">
        <v>3508</v>
      </c>
      <c r="H465" s="76">
        <v>3423.5065749309915</v>
      </c>
      <c r="I465" s="76">
        <v>23331</v>
      </c>
      <c r="J465" s="76">
        <f t="shared" si="19"/>
        <v>-30</v>
      </c>
      <c r="K465" s="76">
        <v>282318</v>
      </c>
      <c r="L465" s="103">
        <f t="shared" si="22"/>
        <v>2.2228337418847888E-2</v>
      </c>
      <c r="M465" s="103">
        <f t="shared" si="20"/>
        <v>9.8828271665285239E-2</v>
      </c>
      <c r="N465" s="103">
        <f t="shared" si="21"/>
        <v>0.83620658757750621</v>
      </c>
      <c r="O465" s="76">
        <f t="shared" si="24"/>
        <v>143218.19399999999</v>
      </c>
      <c r="P465" s="69"/>
      <c r="Q465" s="69"/>
      <c r="R465" s="69"/>
      <c r="S465" s="69"/>
      <c r="T465" s="69"/>
      <c r="U465" s="69"/>
      <c r="V465" s="69"/>
      <c r="W465" s="76">
        <f t="shared" si="25"/>
        <v>1031.7</v>
      </c>
      <c r="X465" s="69"/>
      <c r="Y465" s="76">
        <f t="shared" si="26"/>
        <v>15165.99</v>
      </c>
      <c r="Z465" s="69"/>
      <c r="AA465" s="76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</row>
    <row r="466" spans="1:37" s="140" customFormat="1" ht="12">
      <c r="A466" s="139">
        <v>43586</v>
      </c>
      <c r="B466" s="76">
        <v>32443</v>
      </c>
      <c r="C466" s="76">
        <v>0</v>
      </c>
      <c r="D466" s="76">
        <v>237.7305735643406</v>
      </c>
      <c r="E466" s="76">
        <v>-1242</v>
      </c>
      <c r="F466" s="76">
        <v>29357</v>
      </c>
      <c r="G466" s="76">
        <v>2355</v>
      </c>
      <c r="H466" s="76">
        <v>2326.1425855487</v>
      </c>
      <c r="I466" s="76">
        <v>22843</v>
      </c>
      <c r="J466" s="76">
        <f t="shared" si="19"/>
        <v>-23</v>
      </c>
      <c r="K466" s="76">
        <v>294420</v>
      </c>
      <c r="L466" s="103">
        <f t="shared" si="22"/>
        <v>-1.8747478582785693E-3</v>
      </c>
      <c r="M466" s="103">
        <f t="shared" si="20"/>
        <v>9.9711296786903061E-2</v>
      </c>
      <c r="N466" s="103">
        <f t="shared" si="21"/>
        <v>0.77811084238852746</v>
      </c>
      <c r="O466" s="76">
        <f t="shared" si="24"/>
        <v>143194.96799999999</v>
      </c>
      <c r="P466" s="69"/>
      <c r="Q466" s="69"/>
      <c r="R466" s="69"/>
      <c r="S466" s="69"/>
      <c r="T466" s="69"/>
      <c r="U466" s="69"/>
      <c r="V466" s="69"/>
      <c r="W466" s="76">
        <f t="shared" si="25"/>
        <v>1046.5483870967741</v>
      </c>
      <c r="X466" s="69"/>
      <c r="Y466" s="76">
        <f t="shared" si="26"/>
        <v>15384.261290322582</v>
      </c>
      <c r="Z466" s="69"/>
      <c r="AA466" s="76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</row>
    <row r="467" spans="1:37" s="140" customFormat="1" ht="12">
      <c r="A467" s="139">
        <v>43617</v>
      </c>
      <c r="B467" s="76">
        <v>31895</v>
      </c>
      <c r="C467" s="76">
        <v>574</v>
      </c>
      <c r="D467" s="76">
        <v>810.18481233900434</v>
      </c>
      <c r="E467" s="76">
        <v>-1449</v>
      </c>
      <c r="F467" s="76">
        <v>28369</v>
      </c>
      <c r="G467" s="76">
        <v>2914</v>
      </c>
      <c r="H467" s="76">
        <v>2848.0149851038341</v>
      </c>
      <c r="I467" s="76">
        <v>22583</v>
      </c>
      <c r="J467" s="76">
        <f t="shared" si="19"/>
        <v>-3</v>
      </c>
      <c r="K467" s="76">
        <v>291099</v>
      </c>
      <c r="L467" s="103">
        <f t="shared" si="22"/>
        <v>-9.5675221410562727E-3</v>
      </c>
      <c r="M467" s="103">
        <f t="shared" si="20"/>
        <v>9.7454817776770106E-2</v>
      </c>
      <c r="N467" s="103">
        <f t="shared" si="21"/>
        <v>0.79604497867390467</v>
      </c>
      <c r="O467" s="76">
        <f t="shared" si="24"/>
        <v>143076.864</v>
      </c>
      <c r="P467" s="69"/>
      <c r="Q467" s="69"/>
      <c r="R467" s="69"/>
      <c r="S467" s="69"/>
      <c r="T467" s="69"/>
      <c r="U467" s="69"/>
      <c r="V467" s="69"/>
      <c r="W467" s="76">
        <f t="shared" si="25"/>
        <v>1063.1666666666667</v>
      </c>
      <c r="X467" s="69"/>
      <c r="Y467" s="76">
        <f t="shared" si="26"/>
        <v>15628.550000000001</v>
      </c>
      <c r="Z467" s="69"/>
      <c r="AA467" s="76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</row>
    <row r="468" spans="1:37" s="140" customFormat="1" ht="12">
      <c r="A468" s="139">
        <v>43647</v>
      </c>
      <c r="B468" s="76">
        <v>32541</v>
      </c>
      <c r="C468" s="76">
        <v>544</v>
      </c>
      <c r="D468" s="76">
        <v>774.59428499976286</v>
      </c>
      <c r="E468" s="76">
        <v>-440</v>
      </c>
      <c r="F468" s="76">
        <v>29480</v>
      </c>
      <c r="G468" s="76">
        <v>2856</v>
      </c>
      <c r="H468" s="76">
        <v>2855.3970438630222</v>
      </c>
      <c r="I468" s="76">
        <v>22892</v>
      </c>
      <c r="J468" s="76">
        <f t="shared" si="19"/>
        <v>0</v>
      </c>
      <c r="K468" s="76">
        <v>295522</v>
      </c>
      <c r="L468" s="103">
        <f t="shared" si="22"/>
        <v>-1.1142639165874768E-2</v>
      </c>
      <c r="M468" s="103">
        <f t="shared" si="20"/>
        <v>9.9755686547871231E-2</v>
      </c>
      <c r="N468" s="103">
        <f t="shared" si="21"/>
        <v>0.77652645861601088</v>
      </c>
      <c r="O468" s="76">
        <f t="shared" si="24"/>
        <v>142937.00399999999</v>
      </c>
      <c r="P468" s="69"/>
      <c r="Q468" s="69"/>
      <c r="R468" s="69"/>
      <c r="S468" s="69"/>
      <c r="T468" s="69"/>
      <c r="U468" s="69"/>
      <c r="V468" s="69"/>
      <c r="W468" s="76">
        <f t="shared" si="25"/>
        <v>1049.7096774193549</v>
      </c>
      <c r="X468" s="69"/>
      <c r="Y468" s="76">
        <f t="shared" si="26"/>
        <v>15430.732258064516</v>
      </c>
      <c r="Z468" s="69"/>
      <c r="AA468" s="76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</row>
    <row r="469" spans="1:37" s="140" customFormat="1" ht="12">
      <c r="A469" s="139">
        <v>43678</v>
      </c>
      <c r="B469" s="76">
        <v>31921</v>
      </c>
      <c r="C469" s="76">
        <v>579</v>
      </c>
      <c r="D469" s="76">
        <v>551.84809823078865</v>
      </c>
      <c r="E469" s="76">
        <v>277</v>
      </c>
      <c r="F469" s="76">
        <v>29966</v>
      </c>
      <c r="G469" s="76">
        <v>2976</v>
      </c>
      <c r="H469" s="76">
        <v>2972.28546420272</v>
      </c>
      <c r="I469" s="76">
        <v>22727</v>
      </c>
      <c r="J469" s="76">
        <f t="shared" si="19"/>
        <v>0</v>
      </c>
      <c r="K469" s="76">
        <v>304844</v>
      </c>
      <c r="L469" s="103">
        <f t="shared" si="22"/>
        <v>5.677563233406957E-3</v>
      </c>
      <c r="M469" s="103">
        <f t="shared" si="20"/>
        <v>9.8299458083478758E-2</v>
      </c>
      <c r="N469" s="103">
        <f t="shared" si="21"/>
        <v>0.75842621637856233</v>
      </c>
      <c r="O469" s="76">
        <f t="shared" ref="O469:O529" si="27">SUM(K458:K469)*42/1000</f>
        <v>143009.28599999999</v>
      </c>
      <c r="P469" s="69"/>
      <c r="Q469" s="69"/>
      <c r="R469" s="69"/>
      <c r="S469" s="69"/>
      <c r="T469" s="69"/>
      <c r="U469" s="69"/>
      <c r="V469" s="69"/>
      <c r="W469" s="76">
        <f t="shared" si="25"/>
        <v>1029.7096774193549</v>
      </c>
      <c r="X469" s="69"/>
      <c r="Y469" s="76">
        <f t="shared" si="26"/>
        <v>15136.732258064516</v>
      </c>
      <c r="Z469" s="69"/>
      <c r="AA469" s="76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</row>
    <row r="470" spans="1:37" s="140" customFormat="1" ht="12">
      <c r="A470" s="139">
        <v>43709</v>
      </c>
      <c r="B470" s="76">
        <v>29232</v>
      </c>
      <c r="C470" s="76">
        <v>1203</v>
      </c>
      <c r="D470" s="76">
        <v>1608.3900076999898</v>
      </c>
      <c r="E470" s="76">
        <v>-108</v>
      </c>
      <c r="F470" s="76">
        <v>27602</v>
      </c>
      <c r="G470" s="76">
        <v>2440</v>
      </c>
      <c r="H470" s="76">
        <v>2283.4030244695141</v>
      </c>
      <c r="I470" s="76">
        <v>23012</v>
      </c>
      <c r="J470" s="76">
        <f t="shared" ref="J470:J534" si="28">I469+B470+C470+E470-F470-G470-I470</f>
        <v>0</v>
      </c>
      <c r="K470" s="76">
        <v>275925</v>
      </c>
      <c r="L470" s="103">
        <f t="shared" si="22"/>
        <v>4.9093696850064372E-3</v>
      </c>
      <c r="M470" s="103">
        <f t="shared" ref="M470:M534" si="29">F470/K470</f>
        <v>0.10003442964573707</v>
      </c>
      <c r="N470" s="103">
        <f t="shared" ref="N470:N534" si="30">I470/F470</f>
        <v>0.83370770234041014</v>
      </c>
      <c r="O470" s="76">
        <f t="shared" si="27"/>
        <v>143065.902</v>
      </c>
      <c r="P470" s="69"/>
      <c r="Q470" s="69"/>
      <c r="R470" s="69"/>
      <c r="S470" s="69"/>
      <c r="T470" s="69"/>
      <c r="U470" s="69"/>
      <c r="V470" s="69"/>
      <c r="W470" s="76">
        <f t="shared" si="25"/>
        <v>974.4</v>
      </c>
      <c r="X470" s="69"/>
      <c r="Y470" s="76">
        <f t="shared" si="26"/>
        <v>14323.68</v>
      </c>
      <c r="Z470" s="69"/>
      <c r="AA470" s="76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</row>
    <row r="471" spans="1:37" s="140" customFormat="1" ht="12">
      <c r="A471" s="139">
        <v>43739</v>
      </c>
      <c r="B471" s="76">
        <v>30941</v>
      </c>
      <c r="C471" s="76">
        <v>522</v>
      </c>
      <c r="D471" s="76">
        <v>765.27774370795339</v>
      </c>
      <c r="E471" s="76">
        <v>-1029</v>
      </c>
      <c r="F471" s="76">
        <v>29142</v>
      </c>
      <c r="G471" s="76">
        <v>2520</v>
      </c>
      <c r="H471" s="76">
        <v>2519.7458386906824</v>
      </c>
      <c r="I471" s="76">
        <v>21784</v>
      </c>
      <c r="J471" s="76">
        <f t="shared" si="28"/>
        <v>0</v>
      </c>
      <c r="K471" s="76">
        <v>288554</v>
      </c>
      <c r="L471" s="103">
        <f t="shared" ref="L471:L534" si="31">K471/K459-1</f>
        <v>1.5445543179837262E-3</v>
      </c>
      <c r="M471" s="103">
        <f t="shared" si="29"/>
        <v>0.10099322830388766</v>
      </c>
      <c r="N471" s="103">
        <f t="shared" si="30"/>
        <v>0.74751218173083522</v>
      </c>
      <c r="O471" s="76">
        <f t="shared" si="27"/>
        <v>143084.592</v>
      </c>
      <c r="P471" s="69"/>
      <c r="Q471" s="69"/>
      <c r="R471" s="69"/>
      <c r="S471" s="69"/>
      <c r="T471" s="69"/>
      <c r="U471" s="69"/>
      <c r="V471" s="69"/>
      <c r="W471" s="76">
        <f t="shared" si="25"/>
        <v>998.09677419354841</v>
      </c>
      <c r="X471" s="69"/>
      <c r="Y471" s="76">
        <f t="shared" si="26"/>
        <v>14672.02258064516</v>
      </c>
      <c r="Z471" s="69"/>
      <c r="AA471" s="76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</row>
    <row r="472" spans="1:37" s="140" customFormat="1" ht="12">
      <c r="A472" s="139">
        <v>43770</v>
      </c>
      <c r="B472" s="76">
        <v>31358</v>
      </c>
      <c r="C472" s="76">
        <v>389</v>
      </c>
      <c r="D472" s="76">
        <v>854.468918948328</v>
      </c>
      <c r="E472" s="76">
        <v>-1880</v>
      </c>
      <c r="F472" s="76">
        <v>27587</v>
      </c>
      <c r="G472" s="76">
        <v>2418</v>
      </c>
      <c r="H472" s="76">
        <v>2426.0105434889674</v>
      </c>
      <c r="I472" s="76">
        <v>21646</v>
      </c>
      <c r="J472" s="76">
        <f t="shared" si="28"/>
        <v>0</v>
      </c>
      <c r="K472" s="76">
        <v>276272</v>
      </c>
      <c r="L472" s="103">
        <f t="shared" si="31"/>
        <v>-8.7545566749906989E-3</v>
      </c>
      <c r="M472" s="103">
        <f t="shared" si="29"/>
        <v>9.9854491226038108E-2</v>
      </c>
      <c r="N472" s="103">
        <f t="shared" si="30"/>
        <v>0.78464494145793307</v>
      </c>
      <c r="O472" s="76">
        <f t="shared" si="27"/>
        <v>142982.11199999999</v>
      </c>
      <c r="P472" s="69"/>
      <c r="Q472" s="69"/>
      <c r="R472" s="69"/>
      <c r="S472" s="69"/>
      <c r="T472" s="69"/>
      <c r="U472" s="69"/>
      <c r="V472" s="69"/>
      <c r="W472" s="76">
        <f t="shared" si="25"/>
        <v>1045.2666666666667</v>
      </c>
      <c r="X472" s="69"/>
      <c r="Y472" s="76">
        <f t="shared" si="26"/>
        <v>15365.42</v>
      </c>
      <c r="Z472" s="69"/>
      <c r="AA472" s="76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</row>
    <row r="473" spans="1:37" s="140" customFormat="1" ht="12">
      <c r="A473" s="139">
        <v>43800</v>
      </c>
      <c r="B473" s="76">
        <v>33275</v>
      </c>
      <c r="C473" s="76">
        <v>269</v>
      </c>
      <c r="D473" s="76">
        <v>525.32106668699532</v>
      </c>
      <c r="E473" s="76">
        <v>-1508</v>
      </c>
      <c r="F473" s="76">
        <v>27827</v>
      </c>
      <c r="G473" s="76">
        <v>3503</v>
      </c>
      <c r="H473" s="76">
        <v>3463.1987841538453</v>
      </c>
      <c r="I473" s="76">
        <v>22352</v>
      </c>
      <c r="J473" s="76">
        <f t="shared" si="28"/>
        <v>0</v>
      </c>
      <c r="K473" s="76">
        <v>278108</v>
      </c>
      <c r="L473" s="103">
        <f t="shared" si="31"/>
        <v>-2.2587730859121025E-2</v>
      </c>
      <c r="M473" s="103">
        <f t="shared" si="29"/>
        <v>0.10005825075150661</v>
      </c>
      <c r="N473" s="103">
        <f t="shared" si="30"/>
        <v>0.80324864340388835</v>
      </c>
      <c r="O473" s="76">
        <f t="shared" si="27"/>
        <v>142712.17800000001</v>
      </c>
      <c r="P473" s="69"/>
      <c r="Q473" s="69"/>
      <c r="R473" s="69"/>
      <c r="S473" s="69"/>
      <c r="T473" s="69"/>
      <c r="U473" s="69"/>
      <c r="V473" s="69"/>
      <c r="W473" s="76">
        <f t="shared" si="25"/>
        <v>1073.3870967741937</v>
      </c>
      <c r="X473" s="69"/>
      <c r="Y473" s="76">
        <f t="shared" si="26"/>
        <v>15778.790322580648</v>
      </c>
      <c r="Z473" s="69"/>
      <c r="AA473" s="76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</row>
    <row r="474" spans="1:37" s="140" customFormat="1" ht="12">
      <c r="A474" s="139">
        <v>43831</v>
      </c>
      <c r="B474" s="76">
        <v>33346</v>
      </c>
      <c r="C474" s="76">
        <v>176</v>
      </c>
      <c r="D474" s="76">
        <v>136.96588316972898</v>
      </c>
      <c r="E474" s="76">
        <v>-1595</v>
      </c>
      <c r="F474" s="76">
        <v>26937</v>
      </c>
      <c r="G474" s="76">
        <v>3458</v>
      </c>
      <c r="H474" s="76">
        <v>3457.6632637516395</v>
      </c>
      <c r="I474" s="76">
        <v>23884</v>
      </c>
      <c r="J474" s="76">
        <f t="shared" si="28"/>
        <v>0</v>
      </c>
      <c r="K474" s="76">
        <v>270430</v>
      </c>
      <c r="L474" s="103">
        <f t="shared" si="31"/>
        <v>-6.2470142946385865E-3</v>
      </c>
      <c r="M474" s="103">
        <f t="shared" si="29"/>
        <v>9.9608031653292906E-2</v>
      </c>
      <c r="N474" s="103">
        <f t="shared" si="30"/>
        <v>0.88666146935441958</v>
      </c>
      <c r="O474" s="76">
        <f t="shared" si="27"/>
        <v>142640.77799999999</v>
      </c>
      <c r="P474" s="69"/>
      <c r="Q474" s="69"/>
      <c r="R474" s="69"/>
      <c r="S474" s="69"/>
      <c r="T474" s="69"/>
      <c r="U474" s="69"/>
      <c r="V474" s="69"/>
      <c r="W474" s="76">
        <f t="shared" si="25"/>
        <v>1075.6774193548388</v>
      </c>
      <c r="X474" s="69"/>
      <c r="Y474" s="76">
        <f t="shared" si="26"/>
        <v>15812.458064516131</v>
      </c>
      <c r="Z474" s="69"/>
      <c r="AA474" s="76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</row>
    <row r="475" spans="1:37" s="140" customFormat="1" ht="12">
      <c r="A475" s="139">
        <v>43862</v>
      </c>
      <c r="B475" s="76">
        <v>30511</v>
      </c>
      <c r="C475" s="76">
        <v>248</v>
      </c>
      <c r="D475" s="76">
        <v>912.81657733244219</v>
      </c>
      <c r="E475" s="76">
        <v>-204</v>
      </c>
      <c r="F475" s="76">
        <v>25963</v>
      </c>
      <c r="G475" s="76">
        <v>3893</v>
      </c>
      <c r="H475" s="76">
        <v>3892.838587906625</v>
      </c>
      <c r="I475" s="76">
        <v>24582</v>
      </c>
      <c r="J475" s="76">
        <f t="shared" si="28"/>
        <v>1</v>
      </c>
      <c r="K475" s="76">
        <v>262463</v>
      </c>
      <c r="L475" s="103">
        <f t="shared" si="31"/>
        <v>3.3274149544704867E-2</v>
      </c>
      <c r="M475" s="103">
        <f t="shared" si="29"/>
        <v>9.8920609762137901E-2</v>
      </c>
      <c r="N475" s="103">
        <f t="shared" si="30"/>
        <v>0.94680892038670417</v>
      </c>
      <c r="O475" s="76">
        <f t="shared" si="27"/>
        <v>142995.76199999999</v>
      </c>
      <c r="P475" s="69"/>
      <c r="Q475" s="69"/>
      <c r="R475" s="69"/>
      <c r="S475" s="69"/>
      <c r="T475" s="69"/>
      <c r="U475" s="69"/>
      <c r="V475" s="69"/>
      <c r="W475" s="76">
        <f t="shared" si="25"/>
        <v>1052.1034482758621</v>
      </c>
      <c r="X475" s="69"/>
      <c r="Y475" s="76">
        <f t="shared" si="26"/>
        <v>15465.920689655171</v>
      </c>
      <c r="Z475" s="69"/>
      <c r="AA475" s="76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</row>
    <row r="476" spans="1:37" s="140" customFormat="1" ht="12">
      <c r="A476" s="139">
        <v>43891</v>
      </c>
      <c r="B476" s="76">
        <v>29409</v>
      </c>
      <c r="C476" s="76">
        <v>255</v>
      </c>
      <c r="D476" s="76">
        <v>554.84062807060832</v>
      </c>
      <c r="E476" s="76">
        <v>1229</v>
      </c>
      <c r="F476" s="76">
        <v>24058</v>
      </c>
      <c r="G476" s="76">
        <v>3912</v>
      </c>
      <c r="H476" s="76">
        <v>3909.9830602736497</v>
      </c>
      <c r="I476" s="76">
        <v>27505</v>
      </c>
      <c r="J476" s="76">
        <f t="shared" si="28"/>
        <v>0</v>
      </c>
      <c r="K476" s="76">
        <v>241149</v>
      </c>
      <c r="L476" s="103">
        <f t="shared" si="31"/>
        <v>-0.1529893995911572</v>
      </c>
      <c r="M476" s="103">
        <f t="shared" si="29"/>
        <v>9.9764046295029218E-2</v>
      </c>
      <c r="N476" s="103">
        <f t="shared" si="30"/>
        <v>1.143278743037659</v>
      </c>
      <c r="O476" s="76">
        <f t="shared" si="27"/>
        <v>141166.36799999999</v>
      </c>
      <c r="P476" s="69"/>
      <c r="Q476" s="69"/>
      <c r="R476" s="69"/>
      <c r="S476" s="69"/>
      <c r="T476" s="69"/>
      <c r="U476" s="69"/>
      <c r="V476" s="69"/>
      <c r="W476" s="76">
        <f t="shared" si="25"/>
        <v>948.67741935483866</v>
      </c>
      <c r="X476" s="69"/>
      <c r="Y476" s="76">
        <f t="shared" si="26"/>
        <v>13945.558064516126</v>
      </c>
      <c r="Z476" s="69"/>
      <c r="AA476" s="76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</row>
    <row r="477" spans="1:37" s="140" customFormat="1" ht="12">
      <c r="A477" s="139">
        <v>43922</v>
      </c>
      <c r="B477" s="76">
        <v>17003</v>
      </c>
      <c r="C477" s="76">
        <v>0</v>
      </c>
      <c r="D477" s="76">
        <v>251.70231921785916</v>
      </c>
      <c r="E477" s="76">
        <v>643</v>
      </c>
      <c r="F477" s="76">
        <v>16847</v>
      </c>
      <c r="G477" s="76">
        <v>2180</v>
      </c>
      <c r="H477" s="76">
        <v>2175.7422955128091</v>
      </c>
      <c r="I477" s="76">
        <v>26124</v>
      </c>
      <c r="J477" s="76">
        <f t="shared" si="28"/>
        <v>0</v>
      </c>
      <c r="K477" s="76">
        <v>175973</v>
      </c>
      <c r="L477" s="103">
        <f t="shared" si="31"/>
        <v>-0.37668515645477796</v>
      </c>
      <c r="M477" s="103">
        <f t="shared" si="29"/>
        <v>9.5736277724423627E-2</v>
      </c>
      <c r="N477" s="103">
        <f t="shared" si="30"/>
        <v>1.5506618389030689</v>
      </c>
      <c r="O477" s="76">
        <f t="shared" si="27"/>
        <v>136699.878</v>
      </c>
      <c r="P477" s="69"/>
      <c r="Q477" s="69"/>
      <c r="R477" s="69"/>
      <c r="S477" s="69"/>
      <c r="T477" s="69"/>
      <c r="U477" s="69"/>
      <c r="V477" s="69"/>
      <c r="W477" s="76">
        <f t="shared" si="25"/>
        <v>566.76666666666665</v>
      </c>
      <c r="X477" s="69"/>
      <c r="Y477" s="76">
        <f t="shared" si="26"/>
        <v>8331.4699999999993</v>
      </c>
      <c r="Z477" s="69"/>
      <c r="AA477" s="76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</row>
    <row r="478" spans="1:37" s="140" customFormat="1" ht="12">
      <c r="A478" s="139">
        <v>43952</v>
      </c>
      <c r="B478" s="76">
        <v>21157</v>
      </c>
      <c r="C478" s="76">
        <v>0</v>
      </c>
      <c r="D478" s="76">
        <v>272.06418855553295</v>
      </c>
      <c r="E478" s="76">
        <v>-1587</v>
      </c>
      <c r="F478" s="76">
        <v>21813</v>
      </c>
      <c r="G478" s="76">
        <v>1691</v>
      </c>
      <c r="H478" s="76">
        <v>1683.6495222697772</v>
      </c>
      <c r="I478" s="76">
        <v>22190</v>
      </c>
      <c r="J478" s="76">
        <f t="shared" si="28"/>
        <v>0</v>
      </c>
      <c r="K478" s="76">
        <v>223138</v>
      </c>
      <c r="L478" s="103">
        <f t="shared" si="31"/>
        <v>-0.24210991101148016</v>
      </c>
      <c r="M478" s="103">
        <f t="shared" si="29"/>
        <v>9.775564897059219E-2</v>
      </c>
      <c r="N478" s="103">
        <f t="shared" si="30"/>
        <v>1.0172832714436346</v>
      </c>
      <c r="O478" s="76">
        <f t="shared" si="27"/>
        <v>133706.03400000001</v>
      </c>
      <c r="P478" s="69"/>
      <c r="Q478" s="69"/>
      <c r="R478" s="69"/>
      <c r="S478" s="69"/>
      <c r="T478" s="69"/>
      <c r="U478" s="69"/>
      <c r="V478" s="69"/>
      <c r="W478" s="76">
        <f t="shared" si="25"/>
        <v>682.48387096774195</v>
      </c>
      <c r="X478" s="69"/>
      <c r="Y478" s="76">
        <f t="shared" si="26"/>
        <v>10032.512903225808</v>
      </c>
      <c r="Z478" s="69"/>
      <c r="AA478" s="76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</row>
    <row r="479" spans="1:37" s="140" customFormat="1" ht="12">
      <c r="A479" s="139">
        <v>43983</v>
      </c>
      <c r="B479" s="76">
        <v>25959</v>
      </c>
      <c r="C479" s="76">
        <v>0</v>
      </c>
      <c r="D479" s="76">
        <v>703.40278923048015</v>
      </c>
      <c r="E479" s="76">
        <v>-2241</v>
      </c>
      <c r="F479" s="76">
        <v>24736</v>
      </c>
      <c r="G479" s="76">
        <v>1950</v>
      </c>
      <c r="H479" s="76">
        <v>1947.4491220111902</v>
      </c>
      <c r="I479" s="76">
        <v>19472</v>
      </c>
      <c r="J479" s="76">
        <f t="shared" si="28"/>
        <v>-250</v>
      </c>
      <c r="K479" s="76">
        <v>248746</v>
      </c>
      <c r="L479" s="103">
        <f t="shared" si="31"/>
        <v>-0.14549345755224163</v>
      </c>
      <c r="M479" s="103">
        <f t="shared" si="29"/>
        <v>9.9442805110433935E-2</v>
      </c>
      <c r="N479" s="103">
        <f t="shared" si="30"/>
        <v>0.78719275549805956</v>
      </c>
      <c r="O479" s="76">
        <f t="shared" si="27"/>
        <v>131927.20800000001</v>
      </c>
      <c r="P479" s="69"/>
      <c r="Q479" s="69"/>
      <c r="R479" s="69"/>
      <c r="S479" s="69"/>
      <c r="T479" s="69"/>
      <c r="U479" s="69"/>
      <c r="V479" s="69"/>
      <c r="W479" s="76">
        <f t="shared" si="25"/>
        <v>865.3</v>
      </c>
      <c r="X479" s="69"/>
      <c r="Y479" s="76">
        <f t="shared" si="26"/>
        <v>12719.91</v>
      </c>
      <c r="Z479" s="69"/>
      <c r="AA479" s="76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</row>
    <row r="480" spans="1:37" s="140" customFormat="1" ht="12">
      <c r="A480" s="139">
        <v>44013</v>
      </c>
      <c r="B480" s="76">
        <v>28708</v>
      </c>
      <c r="C480" s="76">
        <v>264</v>
      </c>
      <c r="D480" s="76">
        <v>439.91414530048388</v>
      </c>
      <c r="E480" s="76">
        <v>-636</v>
      </c>
      <c r="F480" s="76">
        <v>26279</v>
      </c>
      <c r="G480" s="76">
        <v>1745</v>
      </c>
      <c r="H480" s="76">
        <v>1741.5103490708248</v>
      </c>
      <c r="I480" s="76">
        <v>19784</v>
      </c>
      <c r="J480" s="76">
        <f t="shared" si="28"/>
        <v>0</v>
      </c>
      <c r="K480" s="76">
        <v>262269</v>
      </c>
      <c r="L480" s="103">
        <f t="shared" si="31"/>
        <v>-0.11252292553515475</v>
      </c>
      <c r="M480" s="103">
        <f t="shared" si="29"/>
        <v>0.10019865100335915</v>
      </c>
      <c r="N480" s="103">
        <f t="shared" si="30"/>
        <v>0.75284447657825637</v>
      </c>
      <c r="O480" s="76">
        <f t="shared" si="27"/>
        <v>130530.58199999999</v>
      </c>
      <c r="P480" s="69"/>
      <c r="Q480" s="69"/>
      <c r="R480" s="69"/>
      <c r="S480" s="69"/>
      <c r="T480" s="69"/>
      <c r="U480" s="69"/>
      <c r="V480" s="69"/>
      <c r="W480" s="76">
        <f t="shared" si="25"/>
        <v>926.06451612903231</v>
      </c>
      <c r="X480" s="69"/>
      <c r="Y480" s="76">
        <f t="shared" si="26"/>
        <v>13613.148387096775</v>
      </c>
      <c r="Z480" s="69"/>
      <c r="AA480" s="76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</row>
    <row r="481" spans="1:37" s="140" customFormat="1" ht="12">
      <c r="A481" s="139">
        <v>44044</v>
      </c>
      <c r="B481" s="76">
        <v>28420</v>
      </c>
      <c r="C481" s="76">
        <v>846</v>
      </c>
      <c r="D481" s="76">
        <v>1286.5295084724419</v>
      </c>
      <c r="E481" s="76">
        <v>-44</v>
      </c>
      <c r="F481" s="76">
        <v>26565</v>
      </c>
      <c r="G481" s="76">
        <v>2299</v>
      </c>
      <c r="H481" s="76">
        <v>2292.6795185172746</v>
      </c>
      <c r="I481" s="76">
        <v>20142</v>
      </c>
      <c r="J481" s="76">
        <f t="shared" si="28"/>
        <v>0</v>
      </c>
      <c r="K481" s="76">
        <v>264247</v>
      </c>
      <c r="L481" s="103">
        <f t="shared" si="31"/>
        <v>-0.13317303276429915</v>
      </c>
      <c r="M481" s="103">
        <f t="shared" si="29"/>
        <v>0.10053094264078684</v>
      </c>
      <c r="N481" s="103">
        <f t="shared" si="30"/>
        <v>0.75821569734613214</v>
      </c>
      <c r="O481" s="76">
        <f t="shared" si="27"/>
        <v>128825.508</v>
      </c>
      <c r="P481" s="69"/>
      <c r="Q481" s="69"/>
      <c r="R481" s="69"/>
      <c r="S481" s="69"/>
      <c r="T481" s="69"/>
      <c r="U481" s="69"/>
      <c r="V481" s="69"/>
      <c r="W481" s="76">
        <f t="shared" si="25"/>
        <v>916.77419354838707</v>
      </c>
      <c r="X481" s="69"/>
      <c r="Y481" s="76">
        <f t="shared" si="26"/>
        <v>13476.58064516129</v>
      </c>
      <c r="Z481" s="69"/>
      <c r="AA481" s="76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</row>
    <row r="482" spans="1:37" s="140" customFormat="1" ht="12">
      <c r="A482" s="139">
        <v>44075</v>
      </c>
      <c r="B482" s="76">
        <v>27779</v>
      </c>
      <c r="C482" s="76">
        <v>438</v>
      </c>
      <c r="D482" s="76">
        <v>589.76466787707841</v>
      </c>
      <c r="E482" s="76">
        <v>-1039</v>
      </c>
      <c r="F482" s="76">
        <v>25354</v>
      </c>
      <c r="G482" s="76">
        <v>1958</v>
      </c>
      <c r="H482" s="76">
        <v>1955.1840015820137</v>
      </c>
      <c r="I482" s="76">
        <v>20008</v>
      </c>
      <c r="J482" s="76">
        <f t="shared" si="28"/>
        <v>0</v>
      </c>
      <c r="K482" s="76">
        <v>256233</v>
      </c>
      <c r="L482" s="103">
        <f t="shared" si="31"/>
        <v>-7.1367219353085098E-2</v>
      </c>
      <c r="M482" s="103">
        <f t="shared" si="29"/>
        <v>9.8949003446082276E-2</v>
      </c>
      <c r="N482" s="103">
        <f t="shared" si="30"/>
        <v>0.78914569693145065</v>
      </c>
      <c r="O482" s="76">
        <f t="shared" si="27"/>
        <v>127998.444</v>
      </c>
      <c r="P482" s="69"/>
      <c r="Q482" s="69"/>
      <c r="R482" s="69"/>
      <c r="S482" s="69"/>
      <c r="T482" s="69"/>
      <c r="U482" s="69"/>
      <c r="V482" s="69"/>
      <c r="W482" s="76">
        <f t="shared" si="25"/>
        <v>925.9666666666667</v>
      </c>
      <c r="X482" s="69"/>
      <c r="Y482" s="76">
        <f t="shared" si="26"/>
        <v>13611.710000000003</v>
      </c>
      <c r="Z482" s="69"/>
      <c r="AA482" s="76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</row>
    <row r="483" spans="1:37" s="140" customFormat="1" ht="12">
      <c r="A483" s="139">
        <v>44105</v>
      </c>
      <c r="B483" s="76">
        <v>29614</v>
      </c>
      <c r="C483" s="76">
        <v>499</v>
      </c>
      <c r="D483" s="76">
        <v>930.41557679919174</v>
      </c>
      <c r="E483" s="76">
        <v>960</v>
      </c>
      <c r="F483" s="76">
        <v>26318</v>
      </c>
      <c r="G483" s="76">
        <v>3024</v>
      </c>
      <c r="H483" s="76">
        <v>3021.3162039062004</v>
      </c>
      <c r="I483" s="76">
        <v>21738</v>
      </c>
      <c r="J483" s="76">
        <f t="shared" si="28"/>
        <v>1</v>
      </c>
      <c r="K483" s="76">
        <v>257809</v>
      </c>
      <c r="L483" s="103">
        <f t="shared" si="31"/>
        <v>-0.10654851431621115</v>
      </c>
      <c r="M483" s="103">
        <f t="shared" si="29"/>
        <v>0.10208332525241555</v>
      </c>
      <c r="N483" s="103">
        <f t="shared" si="30"/>
        <v>0.82597461813207695</v>
      </c>
      <c r="O483" s="76">
        <f t="shared" si="27"/>
        <v>126707.15399999999</v>
      </c>
      <c r="P483" s="69"/>
      <c r="Q483" s="69"/>
      <c r="R483" s="69"/>
      <c r="S483" s="69"/>
      <c r="T483" s="69"/>
      <c r="U483" s="69"/>
      <c r="V483" s="69"/>
      <c r="W483" s="76">
        <f t="shared" si="25"/>
        <v>955.29032258064512</v>
      </c>
      <c r="X483" s="69"/>
      <c r="Y483" s="76">
        <f t="shared" si="26"/>
        <v>14042.767741935484</v>
      </c>
      <c r="Z483" s="69"/>
      <c r="AA483" s="76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</row>
    <row r="484" spans="1:37" s="140" customFormat="1" ht="12">
      <c r="A484" s="139">
        <v>44136</v>
      </c>
      <c r="B484" s="76">
        <v>29915</v>
      </c>
      <c r="C484" s="76">
        <v>441</v>
      </c>
      <c r="D484" s="76">
        <v>878.21618618150569</v>
      </c>
      <c r="E484" s="76">
        <v>-1908</v>
      </c>
      <c r="F484" s="76">
        <v>24136</v>
      </c>
      <c r="G484" s="76">
        <v>2546</v>
      </c>
      <c r="H484" s="76">
        <v>2542.0544619875736</v>
      </c>
      <c r="I484" s="76">
        <v>23502</v>
      </c>
      <c r="J484" s="76">
        <f t="shared" si="28"/>
        <v>2</v>
      </c>
      <c r="K484" s="76">
        <v>240041</v>
      </c>
      <c r="L484" s="103">
        <f t="shared" si="31"/>
        <v>-0.13114249724908789</v>
      </c>
      <c r="M484" s="103">
        <f t="shared" si="29"/>
        <v>0.10054948946221687</v>
      </c>
      <c r="N484" s="103">
        <f t="shared" si="30"/>
        <v>0.97373218428902886</v>
      </c>
      <c r="O484" s="76">
        <f t="shared" si="27"/>
        <v>125185.452</v>
      </c>
      <c r="P484" s="69"/>
      <c r="Q484" s="69"/>
      <c r="R484" s="69"/>
      <c r="S484" s="69"/>
      <c r="T484" s="69"/>
      <c r="U484" s="69"/>
      <c r="V484" s="69"/>
      <c r="W484" s="76">
        <f t="shared" si="25"/>
        <v>997.16666666666663</v>
      </c>
      <c r="X484" s="69"/>
      <c r="Y484" s="76">
        <f t="shared" si="26"/>
        <v>14658.35</v>
      </c>
      <c r="Z484" s="69"/>
      <c r="AA484" s="76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</row>
    <row r="485" spans="1:37" s="140" customFormat="1" ht="12">
      <c r="A485" s="139">
        <v>44166</v>
      </c>
      <c r="B485" s="76">
        <v>30108</v>
      </c>
      <c r="C485" s="76">
        <v>254</v>
      </c>
      <c r="D485" s="76">
        <v>728.58680716600986</v>
      </c>
      <c r="E485" s="76">
        <v>-1797</v>
      </c>
      <c r="F485" s="76">
        <v>24700</v>
      </c>
      <c r="G485" s="76">
        <v>2704</v>
      </c>
      <c r="H485" s="76">
        <v>2727.9575679101754</v>
      </c>
      <c r="I485" s="76">
        <v>24663</v>
      </c>
      <c r="J485" s="76">
        <f t="shared" si="28"/>
        <v>0</v>
      </c>
      <c r="K485" s="76">
        <v>243518</v>
      </c>
      <c r="L485" s="103">
        <f t="shared" si="31"/>
        <v>-0.12437614164281507</v>
      </c>
      <c r="M485" s="103">
        <f t="shared" si="29"/>
        <v>0.10142987376703159</v>
      </c>
      <c r="N485" s="103">
        <f t="shared" si="30"/>
        <v>0.99850202429149792</v>
      </c>
      <c r="O485" s="76">
        <f t="shared" si="27"/>
        <v>123732.67200000001</v>
      </c>
      <c r="P485" s="69"/>
      <c r="Q485" s="69"/>
      <c r="R485" s="69"/>
      <c r="S485" s="69"/>
      <c r="T485" s="69"/>
      <c r="U485" s="69"/>
      <c r="V485" s="69"/>
      <c r="W485" s="76">
        <f t="shared" si="25"/>
        <v>971.22580645161293</v>
      </c>
      <c r="X485" s="69"/>
      <c r="Y485" s="76">
        <f t="shared" si="26"/>
        <v>14277.019354838711</v>
      </c>
      <c r="Z485" s="69"/>
      <c r="AA485" s="76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</row>
    <row r="486" spans="1:37" s="140" customFormat="1" ht="12">
      <c r="A486" s="139">
        <v>44197</v>
      </c>
      <c r="B486" s="76">
        <v>28809</v>
      </c>
      <c r="C486" s="76">
        <v>0</v>
      </c>
      <c r="D486" s="76">
        <v>298.27430783430265</v>
      </c>
      <c r="E486" s="76">
        <v>364</v>
      </c>
      <c r="F486" s="76">
        <v>23844</v>
      </c>
      <c r="G486" s="76">
        <v>3875</v>
      </c>
      <c r="H486" s="76">
        <v>3867.3701068551295</v>
      </c>
      <c r="I486" s="76">
        <v>26117</v>
      </c>
      <c r="J486" s="76">
        <f t="shared" si="28"/>
        <v>0</v>
      </c>
      <c r="K486" s="76">
        <v>239423</v>
      </c>
      <c r="L486" s="103">
        <f t="shared" si="31"/>
        <v>-0.1146581370410088</v>
      </c>
      <c r="M486" s="103">
        <f t="shared" si="29"/>
        <v>9.9589429586965331E-2</v>
      </c>
      <c r="N486" s="103">
        <f t="shared" si="30"/>
        <v>1.0953279651065257</v>
      </c>
      <c r="O486" s="76">
        <f t="shared" si="27"/>
        <v>122430.378</v>
      </c>
      <c r="P486" s="69"/>
      <c r="Q486" s="69"/>
      <c r="R486" s="69"/>
      <c r="S486" s="69"/>
      <c r="T486" s="69"/>
      <c r="U486" s="69"/>
      <c r="V486" s="69"/>
      <c r="W486" s="76">
        <f t="shared" si="25"/>
        <v>929.32258064516134</v>
      </c>
      <c r="X486" s="69"/>
      <c r="Y486" s="76">
        <f t="shared" si="26"/>
        <v>13661.041935483872</v>
      </c>
      <c r="Z486" s="69"/>
      <c r="AA486" s="76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</row>
    <row r="487" spans="1:37" s="140" customFormat="1" ht="12">
      <c r="A487" s="139">
        <v>44228</v>
      </c>
      <c r="B487" s="76">
        <v>22895</v>
      </c>
      <c r="C487" s="76">
        <v>0</v>
      </c>
      <c r="D487" s="76">
        <v>68.043771065372425</v>
      </c>
      <c r="E487" s="76">
        <v>-223</v>
      </c>
      <c r="F487" s="76">
        <v>21850</v>
      </c>
      <c r="G487" s="76">
        <v>2227</v>
      </c>
      <c r="H487" s="76">
        <v>2223.8105427593487</v>
      </c>
      <c r="I487" s="76">
        <v>24712</v>
      </c>
      <c r="J487" s="76">
        <f t="shared" si="28"/>
        <v>0</v>
      </c>
      <c r="K487" s="76">
        <v>219060</v>
      </c>
      <c r="L487" s="103">
        <f t="shared" si="31"/>
        <v>-0.16536807092809269</v>
      </c>
      <c r="M487" s="103">
        <f t="shared" si="29"/>
        <v>9.9744362275175746E-2</v>
      </c>
      <c r="N487" s="103">
        <f t="shared" si="30"/>
        <v>1.1309839816933638</v>
      </c>
      <c r="O487" s="76">
        <f t="shared" si="27"/>
        <v>120607.452</v>
      </c>
      <c r="P487" s="69"/>
      <c r="Q487" s="69"/>
      <c r="R487" s="69"/>
      <c r="S487" s="69"/>
      <c r="T487" s="69"/>
      <c r="U487" s="69"/>
      <c r="V487" s="69"/>
      <c r="W487" s="76">
        <f t="shared" si="25"/>
        <v>817.67857142857144</v>
      </c>
      <c r="X487" s="69"/>
      <c r="Y487" s="76">
        <f t="shared" si="26"/>
        <v>12019.875</v>
      </c>
      <c r="Z487" s="69"/>
      <c r="AA487" s="76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</row>
    <row r="488" spans="1:37" s="140" customFormat="1" ht="12">
      <c r="A488" s="139">
        <v>44256</v>
      </c>
      <c r="B488" s="76">
        <v>29327</v>
      </c>
      <c r="C488" s="76">
        <v>0</v>
      </c>
      <c r="D488" s="76">
        <v>209.81461906183401</v>
      </c>
      <c r="E488" s="76">
        <v>-1140</v>
      </c>
      <c r="F488" s="76">
        <v>26621</v>
      </c>
      <c r="G488" s="76">
        <v>3409</v>
      </c>
      <c r="H488" s="76">
        <v>3405.9803171600834</v>
      </c>
      <c r="I488" s="76">
        <v>22869</v>
      </c>
      <c r="J488" s="76">
        <f t="shared" si="28"/>
        <v>0</v>
      </c>
      <c r="K488" s="76">
        <v>265148</v>
      </c>
      <c r="L488" s="103">
        <f t="shared" si="31"/>
        <v>9.9519384281087531E-2</v>
      </c>
      <c r="M488" s="103">
        <f t="shared" si="29"/>
        <v>0.10040053102418273</v>
      </c>
      <c r="N488" s="103">
        <f t="shared" si="30"/>
        <v>0.85905863791743364</v>
      </c>
      <c r="O488" s="76">
        <f t="shared" si="27"/>
        <v>121615.41</v>
      </c>
      <c r="P488" s="69"/>
      <c r="Q488" s="69"/>
      <c r="R488" s="69"/>
      <c r="S488" s="69"/>
      <c r="T488" s="69"/>
      <c r="U488" s="69"/>
      <c r="V488" s="69"/>
      <c r="W488" s="76">
        <f t="shared" si="25"/>
        <v>946.0322580645161</v>
      </c>
      <c r="X488" s="69"/>
      <c r="Y488" s="76">
        <f t="shared" si="26"/>
        <v>13906.674193548384</v>
      </c>
      <c r="Z488" s="69"/>
      <c r="AA488" s="76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</row>
    <row r="489" spans="1:37" s="140" customFormat="1" ht="12">
      <c r="A489" s="139">
        <v>44287</v>
      </c>
      <c r="B489" s="76">
        <v>28213</v>
      </c>
      <c r="C489" s="76">
        <v>0</v>
      </c>
      <c r="D489" s="76">
        <v>150.55119524701419</v>
      </c>
      <c r="E489" s="76">
        <v>586</v>
      </c>
      <c r="F489" s="76">
        <v>26791</v>
      </c>
      <c r="G489" s="76">
        <v>2508</v>
      </c>
      <c r="H489" s="76">
        <v>2505.3618020366666</v>
      </c>
      <c r="I489" s="76">
        <v>22368</v>
      </c>
      <c r="J489" s="76">
        <f t="shared" si="28"/>
        <v>1</v>
      </c>
      <c r="K489" s="76">
        <v>265181</v>
      </c>
      <c r="L489" s="103">
        <f t="shared" si="31"/>
        <v>0.50694140578384195</v>
      </c>
      <c r="M489" s="103">
        <f t="shared" si="29"/>
        <v>0.10102910842028652</v>
      </c>
      <c r="N489" s="103">
        <f t="shared" si="30"/>
        <v>0.83490724497032587</v>
      </c>
      <c r="O489" s="76">
        <f t="shared" si="27"/>
        <v>125362.14599999999</v>
      </c>
      <c r="P489" s="69"/>
      <c r="Q489" s="69"/>
      <c r="R489" s="69"/>
      <c r="S489" s="69"/>
      <c r="T489" s="69"/>
      <c r="U489" s="69"/>
      <c r="V489" s="69"/>
      <c r="W489" s="76">
        <f t="shared" si="25"/>
        <v>940.43333333333328</v>
      </c>
      <c r="X489" s="69"/>
      <c r="Y489" s="76">
        <f t="shared" si="26"/>
        <v>13824.369999999999</v>
      </c>
      <c r="Z489" s="69"/>
      <c r="AA489" s="76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</row>
    <row r="490" spans="1:37" s="140" customFormat="1" ht="12">
      <c r="A490" s="139">
        <v>44317</v>
      </c>
      <c r="B490" s="76">
        <v>31224</v>
      </c>
      <c r="C490" s="76">
        <v>0</v>
      </c>
      <c r="D490" s="76">
        <v>88.915700268235398</v>
      </c>
      <c r="E490" s="76">
        <v>-1446</v>
      </c>
      <c r="F490" s="76">
        <v>28193</v>
      </c>
      <c r="G490" s="76">
        <v>1897</v>
      </c>
      <c r="H490" s="76">
        <v>1894.305146036266</v>
      </c>
      <c r="I490" s="76">
        <v>22057</v>
      </c>
      <c r="J490" s="76">
        <f t="shared" si="28"/>
        <v>-1</v>
      </c>
      <c r="K490" s="76">
        <v>281504</v>
      </c>
      <c r="L490" s="103">
        <f t="shared" si="31"/>
        <v>0.26156907384667782</v>
      </c>
      <c r="M490" s="103">
        <f t="shared" si="29"/>
        <v>0.10015132999886325</v>
      </c>
      <c r="N490" s="103">
        <f t="shared" si="30"/>
        <v>0.78235732273968717</v>
      </c>
      <c r="O490" s="76">
        <f t="shared" si="27"/>
        <v>127813.518</v>
      </c>
      <c r="P490" s="69"/>
      <c r="Q490" s="69"/>
      <c r="R490" s="69"/>
      <c r="S490" s="69"/>
      <c r="T490" s="69"/>
      <c r="U490" s="69"/>
      <c r="V490" s="69"/>
      <c r="W490" s="76">
        <f t="shared" si="25"/>
        <v>1007.2258064516129</v>
      </c>
      <c r="X490" s="69"/>
      <c r="Y490" s="76">
        <f t="shared" si="26"/>
        <v>14806.219354838709</v>
      </c>
      <c r="Z490" s="69"/>
      <c r="AA490" s="76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</row>
    <row r="491" spans="1:37" s="140" customFormat="1" ht="12">
      <c r="A491" s="139">
        <v>44348</v>
      </c>
      <c r="B491" s="76">
        <v>30641</v>
      </c>
      <c r="C491" s="76">
        <v>300</v>
      </c>
      <c r="D491" s="76">
        <v>484.56948300624418</v>
      </c>
      <c r="E491" s="76">
        <v>-1247</v>
      </c>
      <c r="F491" s="76">
        <v>27802</v>
      </c>
      <c r="G491" s="76">
        <v>1968</v>
      </c>
      <c r="H491" s="76">
        <v>1968.4524202637169</v>
      </c>
      <c r="I491" s="76">
        <v>21980</v>
      </c>
      <c r="J491" s="76">
        <f t="shared" si="28"/>
        <v>1</v>
      </c>
      <c r="K491" s="76">
        <v>280850</v>
      </c>
      <c r="L491" s="103">
        <f t="shared" si="31"/>
        <v>0.12906338192372946</v>
      </c>
      <c r="M491" s="103">
        <f t="shared" si="29"/>
        <v>9.8992344667972229E-2</v>
      </c>
      <c r="N491" s="103">
        <f t="shared" si="30"/>
        <v>0.7905906049924466</v>
      </c>
      <c r="O491" s="76">
        <f t="shared" si="27"/>
        <v>129161.886</v>
      </c>
      <c r="P491" s="69"/>
      <c r="Q491" s="69"/>
      <c r="R491" s="69"/>
      <c r="S491" s="69"/>
      <c r="T491" s="69"/>
      <c r="U491" s="69"/>
      <c r="V491" s="69"/>
      <c r="W491" s="76">
        <f t="shared" si="25"/>
        <v>1021.3666666666667</v>
      </c>
      <c r="X491" s="69"/>
      <c r="Y491" s="76">
        <f t="shared" si="26"/>
        <v>15014.09</v>
      </c>
      <c r="Z491" s="69"/>
      <c r="AA491" s="76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</row>
    <row r="492" spans="1:37" s="140" customFormat="1" ht="12">
      <c r="A492" s="139">
        <v>44378</v>
      </c>
      <c r="B492" s="76">
        <v>31449</v>
      </c>
      <c r="C492" s="76">
        <v>360</v>
      </c>
      <c r="D492" s="76">
        <v>427.79112056931365</v>
      </c>
      <c r="E492" s="76">
        <v>-1123</v>
      </c>
      <c r="F492" s="76">
        <v>28767</v>
      </c>
      <c r="G492" s="76">
        <v>1243</v>
      </c>
      <c r="H492" s="76">
        <v>1237.0189754874636</v>
      </c>
      <c r="I492" s="76">
        <v>22656</v>
      </c>
      <c r="J492" s="76">
        <f t="shared" si="28"/>
        <v>0</v>
      </c>
      <c r="K492" s="76">
        <v>288209</v>
      </c>
      <c r="L492" s="103">
        <f t="shared" si="31"/>
        <v>9.8906084973824582E-2</v>
      </c>
      <c r="M492" s="103">
        <f t="shared" si="29"/>
        <v>9.9812982939464071E-2</v>
      </c>
      <c r="N492" s="103">
        <f t="shared" si="30"/>
        <v>0.78756908958181249</v>
      </c>
      <c r="O492" s="76">
        <f t="shared" si="27"/>
        <v>130251.36599999999</v>
      </c>
      <c r="P492" s="69"/>
      <c r="Q492" s="69"/>
      <c r="R492" s="69"/>
      <c r="S492" s="69"/>
      <c r="T492" s="69"/>
      <c r="U492" s="69"/>
      <c r="V492" s="69"/>
      <c r="W492" s="76">
        <f t="shared" si="25"/>
        <v>1014.483870967742</v>
      </c>
      <c r="X492" s="69"/>
      <c r="Y492" s="76">
        <f t="shared" si="26"/>
        <v>14912.912903225808</v>
      </c>
      <c r="Z492" s="69"/>
      <c r="AA492" s="76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</row>
    <row r="493" spans="1:37" s="140" customFormat="1" ht="12">
      <c r="A493" s="139">
        <v>44409</v>
      </c>
      <c r="B493" s="76">
        <v>29087</v>
      </c>
      <c r="C493" s="76">
        <v>286</v>
      </c>
      <c r="D493" s="76">
        <v>302.85774542129866</v>
      </c>
      <c r="E493" s="76">
        <v>-286</v>
      </c>
      <c r="F493" s="76">
        <v>28679</v>
      </c>
      <c r="G493" s="76">
        <v>1929</v>
      </c>
      <c r="H493" s="76">
        <v>1929.8156858142434</v>
      </c>
      <c r="I493" s="76">
        <v>21135</v>
      </c>
      <c r="J493" s="76">
        <f t="shared" si="28"/>
        <v>0</v>
      </c>
      <c r="K493" s="76">
        <v>284652</v>
      </c>
      <c r="L493" s="103">
        <f t="shared" si="31"/>
        <v>7.7219419709589898E-2</v>
      </c>
      <c r="M493" s="103">
        <f t="shared" si="29"/>
        <v>0.10075109256214605</v>
      </c>
      <c r="N493" s="103">
        <f t="shared" si="30"/>
        <v>0.73695038181247607</v>
      </c>
      <c r="O493" s="76">
        <f t="shared" si="27"/>
        <v>131108.37599999999</v>
      </c>
      <c r="P493" s="69"/>
      <c r="Q493" s="69"/>
      <c r="R493" s="69"/>
      <c r="S493" s="69"/>
      <c r="T493" s="69"/>
      <c r="U493" s="69"/>
      <c r="V493" s="69"/>
      <c r="W493" s="76">
        <f t="shared" si="25"/>
        <v>938.29032258064512</v>
      </c>
      <c r="X493" s="69"/>
      <c r="Y493" s="76">
        <f t="shared" si="26"/>
        <v>13792.867741935484</v>
      </c>
      <c r="Z493" s="69"/>
      <c r="AA493" s="76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</row>
    <row r="494" spans="1:37" s="140" customFormat="1" ht="12">
      <c r="A494" s="139">
        <v>44440</v>
      </c>
      <c r="B494" s="76">
        <v>28080</v>
      </c>
      <c r="C494" s="76">
        <v>250</v>
      </c>
      <c r="D494" s="76">
        <v>481.87656215386369</v>
      </c>
      <c r="E494" s="76">
        <v>-171</v>
      </c>
      <c r="F494" s="76">
        <v>27206</v>
      </c>
      <c r="G494" s="76">
        <v>1853</v>
      </c>
      <c r="H494" s="76">
        <v>1852.987045122243</v>
      </c>
      <c r="I494" s="76">
        <v>20235</v>
      </c>
      <c r="J494" s="76">
        <f t="shared" si="28"/>
        <v>0</v>
      </c>
      <c r="K494" s="76">
        <v>267974</v>
      </c>
      <c r="L494" s="103">
        <f t="shared" si="31"/>
        <v>4.582157645580387E-2</v>
      </c>
      <c r="M494" s="103">
        <f t="shared" si="29"/>
        <v>0.10152477479158425</v>
      </c>
      <c r="N494" s="103">
        <f t="shared" si="30"/>
        <v>0.7437697566713225</v>
      </c>
      <c r="O494" s="76">
        <f t="shared" si="27"/>
        <v>131601.49799999999</v>
      </c>
      <c r="P494" s="69"/>
      <c r="Q494" s="69"/>
      <c r="R494" s="69"/>
      <c r="S494" s="69"/>
      <c r="T494" s="69"/>
      <c r="U494" s="69"/>
      <c r="V494" s="69"/>
      <c r="W494" s="76">
        <f t="shared" si="25"/>
        <v>936</v>
      </c>
      <c r="X494" s="69"/>
      <c r="Y494" s="76">
        <f t="shared" si="26"/>
        <v>13759.2</v>
      </c>
      <c r="Z494" s="69"/>
      <c r="AA494" s="76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</row>
    <row r="495" spans="1:37" s="140" customFormat="1" ht="12">
      <c r="A495" s="139">
        <v>44470</v>
      </c>
      <c r="B495" s="76">
        <v>32276</v>
      </c>
      <c r="C495" s="76">
        <v>251</v>
      </c>
      <c r="D495" s="76">
        <v>327.50936207325344</v>
      </c>
      <c r="E495" s="76">
        <v>-2250</v>
      </c>
      <c r="F495" s="76">
        <v>27987</v>
      </c>
      <c r="G495" s="76">
        <v>2458</v>
      </c>
      <c r="H495" s="76">
        <v>2462.2466510201261</v>
      </c>
      <c r="I495" s="76">
        <v>20067</v>
      </c>
      <c r="J495" s="76">
        <f t="shared" si="28"/>
        <v>0</v>
      </c>
      <c r="K495" s="76">
        <v>279835</v>
      </c>
      <c r="L495" s="103">
        <f t="shared" si="31"/>
        <v>8.5435341667668752E-2</v>
      </c>
      <c r="M495" s="103">
        <f t="shared" si="29"/>
        <v>0.10001250737041471</v>
      </c>
      <c r="N495" s="103">
        <f t="shared" si="30"/>
        <v>0.71701146961089079</v>
      </c>
      <c r="O495" s="76">
        <f t="shared" si="27"/>
        <v>132526.59</v>
      </c>
      <c r="P495" s="69"/>
      <c r="Q495" s="69"/>
      <c r="R495" s="69"/>
      <c r="S495" s="69"/>
      <c r="T495" s="69"/>
      <c r="U495" s="69"/>
      <c r="V495" s="69"/>
      <c r="W495" s="76">
        <f t="shared" si="25"/>
        <v>1041.1612903225807</v>
      </c>
      <c r="X495" s="69"/>
      <c r="Y495" s="76">
        <f t="shared" si="26"/>
        <v>15305.070967741936</v>
      </c>
      <c r="Z495" s="69"/>
      <c r="AA495" s="76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</row>
    <row r="496" spans="1:37" s="140" customFormat="1" ht="12">
      <c r="A496" s="139">
        <v>44501</v>
      </c>
      <c r="B496" s="76">
        <v>32383</v>
      </c>
      <c r="C496" s="76">
        <v>0</v>
      </c>
      <c r="D496" s="76">
        <v>114.60964345339001</v>
      </c>
      <c r="E496" s="76">
        <v>-1872</v>
      </c>
      <c r="F496" s="76">
        <v>26885</v>
      </c>
      <c r="G496" s="76">
        <v>3190</v>
      </c>
      <c r="H496" s="76">
        <v>3199.6891196663478</v>
      </c>
      <c r="I496" s="76">
        <v>20503</v>
      </c>
      <c r="J496" s="76">
        <f t="shared" si="28"/>
        <v>0</v>
      </c>
      <c r="K496" s="76">
        <v>270632</v>
      </c>
      <c r="L496" s="103">
        <f t="shared" si="31"/>
        <v>0.12744072887548374</v>
      </c>
      <c r="M496" s="103">
        <f t="shared" si="29"/>
        <v>9.9341541281149304E-2</v>
      </c>
      <c r="N496" s="103">
        <f t="shared" si="30"/>
        <v>0.76261856053561461</v>
      </c>
      <c r="O496" s="76">
        <f t="shared" si="27"/>
        <v>133811.41200000001</v>
      </c>
      <c r="P496" s="69"/>
      <c r="Q496" s="69"/>
      <c r="R496" s="69"/>
      <c r="S496" s="69"/>
      <c r="T496" s="69"/>
      <c r="U496" s="69"/>
      <c r="V496" s="69"/>
      <c r="W496" s="76">
        <f t="shared" si="25"/>
        <v>1079.4333333333334</v>
      </c>
      <c r="X496" s="69"/>
      <c r="Y496" s="76">
        <f t="shared" si="26"/>
        <v>15867.67</v>
      </c>
      <c r="Z496" s="69"/>
      <c r="AA496" s="76"/>
      <c r="AB496" s="69"/>
      <c r="AC496" s="69"/>
      <c r="AD496" s="69">
        <v>190.43467141572765</v>
      </c>
      <c r="AE496" s="69">
        <v>92.903215742749637</v>
      </c>
      <c r="AF496" s="76">
        <f>AE496-AD496</f>
        <v>-97.531455672978012</v>
      </c>
      <c r="AG496" s="69"/>
      <c r="AH496" s="69">
        <v>3199.6891196663478</v>
      </c>
      <c r="AI496" s="69">
        <v>132.68058904357216</v>
      </c>
      <c r="AJ496" s="76">
        <f>AI496-AH496</f>
        <v>-3067.0085306227757</v>
      </c>
      <c r="AK496" s="69"/>
    </row>
    <row r="497" spans="1:37" s="140" customFormat="1" ht="12">
      <c r="A497" s="139">
        <v>44531</v>
      </c>
      <c r="B497" s="76">
        <v>33132</v>
      </c>
      <c r="C497" s="76">
        <v>0</v>
      </c>
      <c r="D497" s="76">
        <v>107.89343654204001</v>
      </c>
      <c r="E497" s="76">
        <v>-1454</v>
      </c>
      <c r="F497" s="76">
        <v>27122</v>
      </c>
      <c r="G497" s="76">
        <v>3023</v>
      </c>
      <c r="H497" s="76">
        <v>2887.6230554883591</v>
      </c>
      <c r="I497" s="76">
        <v>22036</v>
      </c>
      <c r="J497" s="76">
        <f t="shared" si="28"/>
        <v>0</v>
      </c>
      <c r="K497" s="76">
        <v>275262</v>
      </c>
      <c r="L497" s="103">
        <f t="shared" si="31"/>
        <v>0.13035586691743517</v>
      </c>
      <c r="M497" s="103">
        <f t="shared" si="29"/>
        <v>9.8531580821181269E-2</v>
      </c>
      <c r="N497" s="103">
        <f t="shared" si="30"/>
        <v>0.81247695597669789</v>
      </c>
      <c r="O497" s="76">
        <f t="shared" si="27"/>
        <v>135144.66</v>
      </c>
      <c r="P497" s="69"/>
      <c r="Q497" s="69"/>
      <c r="R497" s="69"/>
      <c r="S497" s="69"/>
      <c r="T497" s="69"/>
      <c r="U497" s="69"/>
      <c r="V497" s="69"/>
      <c r="W497" s="76">
        <f t="shared" si="25"/>
        <v>1068.7741935483871</v>
      </c>
      <c r="X497" s="69"/>
      <c r="Y497" s="76">
        <f t="shared" si="26"/>
        <v>15710.980645161289</v>
      </c>
      <c r="Z497" s="69"/>
      <c r="AA497" s="76"/>
      <c r="AB497" s="69"/>
      <c r="AC497" s="69"/>
      <c r="AD497" s="69">
        <v>179.27506374411726</v>
      </c>
      <c r="AE497" s="69">
        <v>10.978932772080672</v>
      </c>
      <c r="AF497" s="76">
        <f t="shared" ref="AF497:AF519" si="32">AE497-AD497</f>
        <v>-168.29613097203659</v>
      </c>
      <c r="AG497" s="69"/>
      <c r="AH497" s="69">
        <v>2887.6230554883591</v>
      </c>
      <c r="AI497" s="69">
        <v>161.69476389360099</v>
      </c>
      <c r="AJ497" s="76">
        <f t="shared" ref="AJ497:AJ520" si="33">AI497-AH497</f>
        <v>-2725.9282915947583</v>
      </c>
      <c r="AK497" s="69"/>
    </row>
    <row r="498" spans="1:37" s="140" customFormat="1" ht="12">
      <c r="A498" s="139">
        <v>44562</v>
      </c>
      <c r="B498" s="76">
        <v>32191</v>
      </c>
      <c r="C498" s="76">
        <v>257</v>
      </c>
      <c r="D498" s="76">
        <v>196.14302163189001</v>
      </c>
      <c r="E498" s="76">
        <v>-1312</v>
      </c>
      <c r="F498" s="76">
        <v>24730</v>
      </c>
      <c r="G498" s="76">
        <v>2568</v>
      </c>
      <c r="H498" s="76">
        <v>2564.0228126512307</v>
      </c>
      <c r="I498" s="76">
        <v>25874</v>
      </c>
      <c r="J498" s="76">
        <f t="shared" si="28"/>
        <v>0</v>
      </c>
      <c r="K498" s="76">
        <v>249918</v>
      </c>
      <c r="L498" s="103">
        <f t="shared" si="31"/>
        <v>4.3834552236000635E-2</v>
      </c>
      <c r="M498" s="103">
        <f t="shared" si="29"/>
        <v>9.8952456405701064E-2</v>
      </c>
      <c r="N498" s="103">
        <f t="shared" si="30"/>
        <v>1.0462596037201779</v>
      </c>
      <c r="O498" s="76">
        <f t="shared" si="27"/>
        <v>135585.45000000001</v>
      </c>
      <c r="P498" s="69"/>
      <c r="Q498" s="69"/>
      <c r="R498" s="69"/>
      <c r="S498" s="69"/>
      <c r="T498" s="69"/>
      <c r="U498" s="69"/>
      <c r="V498" s="69"/>
      <c r="W498" s="76">
        <f t="shared" si="25"/>
        <v>1038.4193548387098</v>
      </c>
      <c r="X498" s="69"/>
      <c r="Y498" s="76">
        <f t="shared" si="26"/>
        <v>15264.764516129033</v>
      </c>
      <c r="Z498" s="69"/>
      <c r="AA498" s="76">
        <v>17403</v>
      </c>
      <c r="AB498" s="94">
        <f t="shared" ref="AB498:AB518" si="34">Y498/AA498</f>
        <v>0.87713408700390927</v>
      </c>
      <c r="AC498" s="69"/>
      <c r="AD498" s="69">
        <v>325.91002597567274</v>
      </c>
      <c r="AE498" s="69">
        <v>97.929902793444654</v>
      </c>
      <c r="AF498" s="76">
        <f t="shared" si="32"/>
        <v>-227.98012318222808</v>
      </c>
      <c r="AG498" s="69"/>
      <c r="AH498" s="69">
        <v>2564.0228126512307</v>
      </c>
      <c r="AI498" s="69">
        <v>27.400302992907225</v>
      </c>
      <c r="AJ498" s="76">
        <f t="shared" si="33"/>
        <v>-2536.6225096583235</v>
      </c>
      <c r="AK498" s="69"/>
    </row>
    <row r="499" spans="1:37" s="140" customFormat="1" ht="12">
      <c r="A499" s="139">
        <v>44593</v>
      </c>
      <c r="B499" s="76">
        <v>28304</v>
      </c>
      <c r="C499" s="76">
        <v>0</v>
      </c>
      <c r="D499" s="76">
        <v>112.51449472659</v>
      </c>
      <c r="E499" s="76">
        <v>-16</v>
      </c>
      <c r="F499" s="76">
        <v>24221</v>
      </c>
      <c r="G499" s="76">
        <v>3420</v>
      </c>
      <c r="H499" s="76">
        <v>3417.160461073538</v>
      </c>
      <c r="I499" s="76">
        <v>26521</v>
      </c>
      <c r="J499" s="76">
        <f t="shared" si="28"/>
        <v>0</v>
      </c>
      <c r="K499" s="76">
        <v>242205</v>
      </c>
      <c r="L499" s="103">
        <f t="shared" si="31"/>
        <v>0.10565598466173642</v>
      </c>
      <c r="M499" s="103">
        <f t="shared" si="29"/>
        <v>0.10000206436696187</v>
      </c>
      <c r="N499" s="103">
        <f t="shared" si="30"/>
        <v>1.0949589199455019</v>
      </c>
      <c r="O499" s="76">
        <f t="shared" si="27"/>
        <v>136557.54</v>
      </c>
      <c r="P499" s="69"/>
      <c r="Q499" s="69"/>
      <c r="R499" s="69"/>
      <c r="S499" s="69"/>
      <c r="T499" s="69"/>
      <c r="U499" s="69"/>
      <c r="V499" s="69"/>
      <c r="W499" s="76">
        <f t="shared" si="25"/>
        <v>1010.8571428571429</v>
      </c>
      <c r="X499" s="69"/>
      <c r="Y499" s="76">
        <f t="shared" si="26"/>
        <v>14859.6</v>
      </c>
      <c r="Z499" s="69"/>
      <c r="AA499" s="76">
        <v>17403</v>
      </c>
      <c r="AB499" s="94">
        <f t="shared" si="34"/>
        <v>0.85385278400275821</v>
      </c>
      <c r="AC499" s="69"/>
      <c r="AD499" s="69">
        <v>186.9533853098381</v>
      </c>
      <c r="AE499" s="69">
        <v>60.910839248588651</v>
      </c>
      <c r="AF499" s="76">
        <f t="shared" si="32"/>
        <v>-126.04254606124945</v>
      </c>
      <c r="AG499" s="69"/>
      <c r="AH499" s="69">
        <v>3417.160461073538</v>
      </c>
      <c r="AI499" s="69">
        <v>97.370593686712667</v>
      </c>
      <c r="AJ499" s="76">
        <f t="shared" si="33"/>
        <v>-3319.7898673868253</v>
      </c>
      <c r="AK499" s="69"/>
    </row>
    <row r="500" spans="1:37" s="140" customFormat="1" ht="12">
      <c r="A500" s="139">
        <v>44621</v>
      </c>
      <c r="B500" s="76">
        <v>31581</v>
      </c>
      <c r="C500" s="76">
        <v>0</v>
      </c>
      <c r="D500" s="76">
        <v>43.235847680280003</v>
      </c>
      <c r="E500" s="76">
        <v>-1333</v>
      </c>
      <c r="F500" s="76">
        <v>27375</v>
      </c>
      <c r="G500" s="76">
        <v>2694</v>
      </c>
      <c r="H500" s="76">
        <v>2685.0705798868612</v>
      </c>
      <c r="I500" s="76">
        <v>26700</v>
      </c>
      <c r="J500" s="76">
        <f t="shared" si="28"/>
        <v>0</v>
      </c>
      <c r="K500" s="76">
        <v>279159</v>
      </c>
      <c r="L500" s="103">
        <f t="shared" si="31"/>
        <v>5.2842186250697809E-2</v>
      </c>
      <c r="M500" s="103">
        <f t="shared" si="29"/>
        <v>9.8062394549342846E-2</v>
      </c>
      <c r="N500" s="103">
        <f t="shared" si="30"/>
        <v>0.97534246575342465</v>
      </c>
      <c r="O500" s="76">
        <f t="shared" si="27"/>
        <v>137146.00200000001</v>
      </c>
      <c r="P500" s="69"/>
      <c r="Q500" s="69"/>
      <c r="R500" s="69"/>
      <c r="S500" s="69"/>
      <c r="T500" s="69"/>
      <c r="U500" s="69"/>
      <c r="V500" s="69"/>
      <c r="W500" s="76">
        <f t="shared" si="25"/>
        <v>1018.741935483871</v>
      </c>
      <c r="X500" s="69"/>
      <c r="Y500" s="76">
        <f t="shared" si="26"/>
        <v>14975.506451612902</v>
      </c>
      <c r="Z500" s="69"/>
      <c r="AA500" s="76">
        <v>17403</v>
      </c>
      <c r="AB500" s="94">
        <f t="shared" si="34"/>
        <v>0.86051292602499008</v>
      </c>
      <c r="AC500" s="69"/>
      <c r="AD500" s="69">
        <v>71.84041585229302</v>
      </c>
      <c r="AE500" s="69">
        <v>208.2050745965619</v>
      </c>
      <c r="AF500" s="76">
        <f t="shared" si="32"/>
        <v>136.36465874426887</v>
      </c>
      <c r="AG500" s="69"/>
      <c r="AH500" s="69">
        <v>2685.0705798868612</v>
      </c>
      <c r="AI500" s="69">
        <v>100.47311978912518</v>
      </c>
      <c r="AJ500" s="76">
        <f t="shared" si="33"/>
        <v>-2584.5974600977361</v>
      </c>
      <c r="AK500" s="69"/>
    </row>
    <row r="501" spans="1:37" s="140" customFormat="1" ht="12">
      <c r="A501" s="139">
        <v>44652</v>
      </c>
      <c r="B501" s="76">
        <v>28956</v>
      </c>
      <c r="C501" s="76">
        <v>0</v>
      </c>
      <c r="D501" s="76">
        <v>47.859884982499999</v>
      </c>
      <c r="E501" s="76">
        <v>64</v>
      </c>
      <c r="F501" s="76">
        <v>26808</v>
      </c>
      <c r="G501" s="76">
        <v>4628</v>
      </c>
      <c r="H501" s="76">
        <v>4625.4625308877021</v>
      </c>
      <c r="I501" s="76">
        <v>24284</v>
      </c>
      <c r="J501" s="76">
        <f t="shared" si="28"/>
        <v>0</v>
      </c>
      <c r="K501" s="76">
        <v>263962</v>
      </c>
      <c r="L501" s="103">
        <f t="shared" si="31"/>
        <v>-4.5968602577107776E-3</v>
      </c>
      <c r="M501" s="103">
        <f t="shared" si="29"/>
        <v>0.10156007304081648</v>
      </c>
      <c r="N501" s="103">
        <f t="shared" si="30"/>
        <v>0.90584900029841842</v>
      </c>
      <c r="O501" s="76">
        <f t="shared" si="27"/>
        <v>137094.804</v>
      </c>
      <c r="P501" s="69"/>
      <c r="Q501" s="69"/>
      <c r="R501" s="69"/>
      <c r="S501" s="69"/>
      <c r="T501" s="69"/>
      <c r="U501" s="69"/>
      <c r="V501" s="69"/>
      <c r="W501" s="76">
        <f t="shared" si="25"/>
        <v>965.2</v>
      </c>
      <c r="X501" s="69"/>
      <c r="Y501" s="76">
        <f t="shared" si="26"/>
        <v>14188.44</v>
      </c>
      <c r="Z501" s="69"/>
      <c r="AA501" s="76">
        <v>17403</v>
      </c>
      <c r="AB501" s="94">
        <f t="shared" si="34"/>
        <v>0.81528701947940019</v>
      </c>
      <c r="AC501" s="69"/>
      <c r="AD501" s="69">
        <v>79.523687501423069</v>
      </c>
      <c r="AE501" s="69">
        <v>12.810985688032032</v>
      </c>
      <c r="AF501" s="76">
        <f t="shared" si="32"/>
        <v>-66.712701813391035</v>
      </c>
      <c r="AG501" s="69"/>
      <c r="AH501" s="69">
        <v>4625.4625308877021</v>
      </c>
      <c r="AI501" s="69">
        <v>30.804155201908678</v>
      </c>
      <c r="AJ501" s="76">
        <f t="shared" si="33"/>
        <v>-4594.6583756857935</v>
      </c>
      <c r="AK501" s="69"/>
    </row>
    <row r="502" spans="1:37" s="140" customFormat="1" ht="12">
      <c r="A502" s="139">
        <v>44682</v>
      </c>
      <c r="B502" s="76">
        <v>31256</v>
      </c>
      <c r="C502" s="76">
        <v>250</v>
      </c>
      <c r="D502" s="76">
        <v>285.99059105537003</v>
      </c>
      <c r="E502" s="76">
        <v>-793</v>
      </c>
      <c r="F502" s="76">
        <v>28256</v>
      </c>
      <c r="G502" s="76">
        <v>3314</v>
      </c>
      <c r="H502" s="76">
        <v>3309.0597659359032</v>
      </c>
      <c r="I502" s="76">
        <v>23426</v>
      </c>
      <c r="J502" s="76">
        <f t="shared" si="28"/>
        <v>1</v>
      </c>
      <c r="K502" s="76">
        <v>282692</v>
      </c>
      <c r="L502" s="103">
        <f t="shared" si="31"/>
        <v>4.2201887006934058E-3</v>
      </c>
      <c r="M502" s="103">
        <f t="shared" si="29"/>
        <v>9.9953306071625656E-2</v>
      </c>
      <c r="N502" s="103">
        <f t="shared" si="30"/>
        <v>0.82906285390713474</v>
      </c>
      <c r="O502" s="76">
        <f t="shared" si="27"/>
        <v>137144.70000000001</v>
      </c>
      <c r="P502" s="69"/>
      <c r="Q502" s="69"/>
      <c r="R502" s="69"/>
      <c r="S502" s="69"/>
      <c r="T502" s="69"/>
      <c r="U502" s="69"/>
      <c r="V502" s="69"/>
      <c r="W502" s="76">
        <f t="shared" si="25"/>
        <v>1008.258064516129</v>
      </c>
      <c r="X502" s="69"/>
      <c r="Y502" s="76">
        <f t="shared" si="26"/>
        <v>14821.393548387097</v>
      </c>
      <c r="Z502" s="69"/>
      <c r="AA502" s="76">
        <v>17381</v>
      </c>
      <c r="AB502" s="94">
        <f t="shared" si="34"/>
        <v>0.85273537474179262</v>
      </c>
      <c r="AC502" s="69"/>
      <c r="AD502" s="69">
        <v>475.20018904664164</v>
      </c>
      <c r="AE502" s="69">
        <v>9.5866196037643778</v>
      </c>
      <c r="AF502" s="76">
        <f t="shared" si="32"/>
        <v>-465.61356944287724</v>
      </c>
      <c r="AG502" s="69"/>
      <c r="AH502" s="69">
        <v>3309.0597659359032</v>
      </c>
      <c r="AI502" s="69">
        <v>78.528758475052271</v>
      </c>
      <c r="AJ502" s="76">
        <f t="shared" si="33"/>
        <v>-3230.531007460851</v>
      </c>
      <c r="AK502" s="69"/>
    </row>
    <row r="503" spans="1:37" s="140" customFormat="1" ht="12">
      <c r="A503" s="139">
        <v>44713</v>
      </c>
      <c r="B503" s="76">
        <v>31288</v>
      </c>
      <c r="C503" s="76">
        <v>0</v>
      </c>
      <c r="D503" s="76">
        <v>119.54560989584</v>
      </c>
      <c r="E503" s="76">
        <v>-1585</v>
      </c>
      <c r="F503" s="76">
        <v>27384</v>
      </c>
      <c r="G503" s="76">
        <v>2360</v>
      </c>
      <c r="H503" s="76">
        <v>2357.8948106646562</v>
      </c>
      <c r="I503" s="76">
        <v>23384</v>
      </c>
      <c r="J503" s="76">
        <f t="shared" si="28"/>
        <v>1</v>
      </c>
      <c r="K503" s="76">
        <v>272253</v>
      </c>
      <c r="L503" s="103">
        <f t="shared" si="31"/>
        <v>-3.0610646252447915E-2</v>
      </c>
      <c r="M503" s="103">
        <f t="shared" si="29"/>
        <v>0.10058291368690152</v>
      </c>
      <c r="N503" s="103">
        <f t="shared" si="30"/>
        <v>0.8539293017820625</v>
      </c>
      <c r="O503" s="76">
        <f t="shared" si="27"/>
        <v>136783.62599999999</v>
      </c>
      <c r="P503" s="69"/>
      <c r="Q503" s="69"/>
      <c r="R503" s="69"/>
      <c r="S503" s="69"/>
      <c r="T503" s="69"/>
      <c r="U503" s="69"/>
      <c r="V503" s="69"/>
      <c r="W503" s="76">
        <f t="shared" si="25"/>
        <v>1042.9333333333334</v>
      </c>
      <c r="X503" s="69"/>
      <c r="Y503" s="76">
        <f t="shared" si="26"/>
        <v>15331.12</v>
      </c>
      <c r="Z503" s="69"/>
      <c r="AA503" s="76">
        <v>17441</v>
      </c>
      <c r="AB503" s="94">
        <f t="shared" si="34"/>
        <v>0.87902757869388226</v>
      </c>
      <c r="AC503" s="69"/>
      <c r="AD503" s="69">
        <v>198.63624258603929</v>
      </c>
      <c r="AE503" s="69">
        <v>111.44532875032345</v>
      </c>
      <c r="AF503" s="76">
        <f t="shared" si="32"/>
        <v>-87.190913835715833</v>
      </c>
      <c r="AG503" s="69"/>
      <c r="AH503" s="69">
        <v>2357.8948106646562</v>
      </c>
      <c r="AI503" s="69">
        <v>110.82861880344846</v>
      </c>
      <c r="AJ503" s="76">
        <f t="shared" si="33"/>
        <v>-2247.0661918612077</v>
      </c>
      <c r="AK503" s="69"/>
    </row>
    <row r="504" spans="1:37" s="140" customFormat="1" ht="12">
      <c r="A504" s="139">
        <v>44743</v>
      </c>
      <c r="B504" s="76">
        <v>31498</v>
      </c>
      <c r="C504" s="76">
        <v>0</v>
      </c>
      <c r="D504" s="76">
        <v>127.3302525651</v>
      </c>
      <c r="E504" s="76">
        <v>-358</v>
      </c>
      <c r="F504" s="76">
        <v>27712</v>
      </c>
      <c r="G504" s="76">
        <v>2615</v>
      </c>
      <c r="H504" s="76">
        <v>2612.1572413178869</v>
      </c>
      <c r="I504" s="76">
        <v>24197</v>
      </c>
      <c r="J504" s="76">
        <f t="shared" si="28"/>
        <v>0</v>
      </c>
      <c r="K504" s="76">
        <v>273158</v>
      </c>
      <c r="L504" s="103">
        <f t="shared" si="31"/>
        <v>-5.2222519074699214E-2</v>
      </c>
      <c r="M504" s="103">
        <f t="shared" si="29"/>
        <v>0.10145044260098551</v>
      </c>
      <c r="N504" s="103">
        <f t="shared" si="30"/>
        <v>0.87315964203233254</v>
      </c>
      <c r="O504" s="76">
        <f t="shared" si="27"/>
        <v>136151.484</v>
      </c>
      <c r="P504" s="69"/>
      <c r="Q504" s="69"/>
      <c r="R504" s="69"/>
      <c r="S504" s="69"/>
      <c r="T504" s="69"/>
      <c r="U504" s="69"/>
      <c r="V504" s="69"/>
      <c r="W504" s="76">
        <f t="shared" si="25"/>
        <v>1016.0645161290323</v>
      </c>
      <c r="X504" s="69"/>
      <c r="Y504" s="76">
        <f t="shared" si="26"/>
        <v>14936.148387096775</v>
      </c>
      <c r="Z504" s="69"/>
      <c r="AA504" s="76">
        <v>17314</v>
      </c>
      <c r="AB504" s="94">
        <f t="shared" si="34"/>
        <v>0.86266306960244743</v>
      </c>
      <c r="AC504" s="69"/>
      <c r="AD504" s="69">
        <v>211.57115647408639</v>
      </c>
      <c r="AE504" s="69">
        <v>26.698259143093388</v>
      </c>
      <c r="AF504" s="76">
        <f t="shared" si="32"/>
        <v>-184.872897330993</v>
      </c>
      <c r="AG504" s="69"/>
      <c r="AH504" s="69">
        <v>2612.1572413178869</v>
      </c>
      <c r="AI504" s="69">
        <v>68.602476349985849</v>
      </c>
      <c r="AJ504" s="76">
        <f t="shared" si="33"/>
        <v>-2543.5547649679011</v>
      </c>
      <c r="AK504" s="69"/>
    </row>
    <row r="505" spans="1:37" s="140" customFormat="1" ht="12">
      <c r="A505" s="139">
        <v>44774</v>
      </c>
      <c r="B505" s="76">
        <v>30520</v>
      </c>
      <c r="C505" s="76">
        <v>445</v>
      </c>
      <c r="D505" s="76">
        <v>431.89386693563</v>
      </c>
      <c r="E505" s="76">
        <v>-1297</v>
      </c>
      <c r="F505" s="76">
        <v>28443</v>
      </c>
      <c r="G505" s="76">
        <v>1914</v>
      </c>
      <c r="H505" s="76">
        <v>1910.0635384403854</v>
      </c>
      <c r="I505" s="76">
        <v>23509</v>
      </c>
      <c r="J505" s="76">
        <f t="shared" si="28"/>
        <v>-1</v>
      </c>
      <c r="K505" s="76">
        <v>282576</v>
      </c>
      <c r="L505" s="103">
        <f t="shared" si="31"/>
        <v>-7.2931158045613786E-3</v>
      </c>
      <c r="M505" s="103">
        <f t="shared" si="29"/>
        <v>0.10065610667572618</v>
      </c>
      <c r="N505" s="103">
        <f t="shared" si="30"/>
        <v>0.82653025348943499</v>
      </c>
      <c r="O505" s="76">
        <f t="shared" si="27"/>
        <v>136064.29199999999</v>
      </c>
      <c r="P505" s="69"/>
      <c r="Q505" s="69"/>
      <c r="R505" s="69"/>
      <c r="S505" s="69"/>
      <c r="T505" s="69"/>
      <c r="U505" s="69"/>
      <c r="V505" s="69"/>
      <c r="W505" s="76">
        <f t="shared" si="25"/>
        <v>984.51612903225805</v>
      </c>
      <c r="X505" s="69"/>
      <c r="Y505" s="76">
        <f t="shared" si="26"/>
        <v>14472.387096774193</v>
      </c>
      <c r="Z505" s="69"/>
      <c r="AA505" s="76">
        <v>17175</v>
      </c>
      <c r="AB505" s="94">
        <f t="shared" si="34"/>
        <v>0.8426426257219326</v>
      </c>
      <c r="AC505" s="69"/>
      <c r="AD505" s="69">
        <v>717.63216565457265</v>
      </c>
      <c r="AE505" s="69">
        <v>83.064078986977691</v>
      </c>
      <c r="AF505" s="76">
        <f t="shared" si="32"/>
        <v>-634.56808666759491</v>
      </c>
      <c r="AG505" s="69"/>
      <c r="AH505" s="69">
        <v>1910.0635384403854</v>
      </c>
      <c r="AI505" s="69">
        <v>79.394576494890586</v>
      </c>
      <c r="AJ505" s="76">
        <f t="shared" si="33"/>
        <v>-1830.6689619454949</v>
      </c>
      <c r="AK505" s="69"/>
    </row>
    <row r="506" spans="1:37" s="140" customFormat="1" ht="12">
      <c r="A506" s="139">
        <v>44805</v>
      </c>
      <c r="B506" s="76">
        <v>27072</v>
      </c>
      <c r="C506" s="76">
        <v>0</v>
      </c>
      <c r="D506" s="76">
        <v>47.016639480080002</v>
      </c>
      <c r="E506" s="76">
        <v>224</v>
      </c>
      <c r="F506" s="76">
        <v>27120</v>
      </c>
      <c r="G506" s="76">
        <v>2144</v>
      </c>
      <c r="H506" s="76">
        <v>2139.6981530968337</v>
      </c>
      <c r="I506" s="76">
        <v>21540</v>
      </c>
      <c r="J506" s="76">
        <f t="shared" si="28"/>
        <v>1</v>
      </c>
      <c r="K506" s="76">
        <v>265399</v>
      </c>
      <c r="L506" s="103">
        <f t="shared" si="31"/>
        <v>-9.6091411853388431E-3</v>
      </c>
      <c r="M506" s="103">
        <f t="shared" si="29"/>
        <v>0.10218576558314085</v>
      </c>
      <c r="N506" s="103">
        <f t="shared" si="30"/>
        <v>0.79424778761061943</v>
      </c>
      <c r="O506" s="76">
        <f t="shared" si="27"/>
        <v>135956.14199999999</v>
      </c>
      <c r="P506" s="69"/>
      <c r="Q506" s="69"/>
      <c r="R506" s="69"/>
      <c r="S506" s="69"/>
      <c r="T506" s="69"/>
      <c r="U506" s="69"/>
      <c r="V506" s="69"/>
      <c r="W506" s="76">
        <f t="shared" si="25"/>
        <v>902.4</v>
      </c>
      <c r="X506" s="69"/>
      <c r="Y506" s="76">
        <f t="shared" si="26"/>
        <v>13265.28</v>
      </c>
      <c r="Z506" s="69"/>
      <c r="AA506" s="76">
        <v>17175</v>
      </c>
      <c r="AB506" s="94">
        <f t="shared" si="34"/>
        <v>0.77235982532751091</v>
      </c>
      <c r="AC506" s="69"/>
      <c r="AD506" s="69">
        <v>78.122556014250705</v>
      </c>
      <c r="AE506" s="69">
        <v>45.59591645164938</v>
      </c>
      <c r="AF506" s="76">
        <f t="shared" si="32"/>
        <v>-32.526639562601325</v>
      </c>
      <c r="AG506" s="69"/>
      <c r="AH506" s="69">
        <v>2139.6981530968337</v>
      </c>
      <c r="AI506" s="69">
        <v>185.25121704750856</v>
      </c>
      <c r="AJ506" s="76">
        <f t="shared" si="33"/>
        <v>-1954.4469360493251</v>
      </c>
      <c r="AK506" s="69"/>
    </row>
    <row r="507" spans="1:37" s="140" customFormat="1" ht="12">
      <c r="A507" s="139">
        <v>44835</v>
      </c>
      <c r="B507" s="76">
        <v>31440</v>
      </c>
      <c r="C507" s="76">
        <v>193</v>
      </c>
      <c r="D507" s="76">
        <v>353.38870319482999</v>
      </c>
      <c r="E507" s="76">
        <v>-1514</v>
      </c>
      <c r="F507" s="76">
        <v>27916</v>
      </c>
      <c r="G507" s="76">
        <v>2036</v>
      </c>
      <c r="H507" s="76">
        <v>2030.63033619935</v>
      </c>
      <c r="I507" s="76">
        <v>21708</v>
      </c>
      <c r="J507" s="76">
        <f t="shared" si="28"/>
        <v>-1</v>
      </c>
      <c r="K507" s="76">
        <v>273011</v>
      </c>
      <c r="L507" s="103">
        <f t="shared" si="31"/>
        <v>-2.4385798774277712E-2</v>
      </c>
      <c r="M507" s="103">
        <f t="shared" si="29"/>
        <v>0.10225229020076114</v>
      </c>
      <c r="N507" s="103">
        <f t="shared" si="30"/>
        <v>0.77761856999570134</v>
      </c>
      <c r="O507" s="76">
        <f t="shared" si="27"/>
        <v>135669.53400000001</v>
      </c>
      <c r="P507" s="69"/>
      <c r="Q507" s="69"/>
      <c r="R507" s="69"/>
      <c r="S507" s="69"/>
      <c r="T507" s="69"/>
      <c r="U507" s="69"/>
      <c r="V507" s="69"/>
      <c r="W507" s="76">
        <f t="shared" si="25"/>
        <v>1014.1935483870968</v>
      </c>
      <c r="X507" s="69"/>
      <c r="Y507" s="76">
        <f t="shared" si="26"/>
        <v>14908.645161290324</v>
      </c>
      <c r="Z507" s="69"/>
      <c r="AA507" s="76">
        <v>17175</v>
      </c>
      <c r="AB507" s="94">
        <f t="shared" si="34"/>
        <v>0.86804338639244971</v>
      </c>
      <c r="AC507" s="69"/>
      <c r="AD507" s="69">
        <v>587.18847338798673</v>
      </c>
      <c r="AE507" s="69">
        <v>145.14279827020059</v>
      </c>
      <c r="AF507" s="76">
        <f t="shared" si="32"/>
        <v>-442.04567511778612</v>
      </c>
      <c r="AG507" s="69"/>
      <c r="AH507" s="69">
        <v>2030.63033619935</v>
      </c>
      <c r="AI507" s="69">
        <v>66.532850879460611</v>
      </c>
      <c r="AJ507" s="76">
        <f t="shared" si="33"/>
        <v>-1964.0974853198895</v>
      </c>
      <c r="AK507" s="69"/>
    </row>
    <row r="508" spans="1:37" s="140" customFormat="1" ht="12">
      <c r="A508" s="139">
        <v>44866</v>
      </c>
      <c r="B508" s="76">
        <v>31580</v>
      </c>
      <c r="C508" s="76">
        <v>500</v>
      </c>
      <c r="D508" s="76">
        <v>465.35160311786001</v>
      </c>
      <c r="E508" s="76">
        <v>-1524</v>
      </c>
      <c r="F508" s="76">
        <v>26775</v>
      </c>
      <c r="G508" s="76">
        <v>1914</v>
      </c>
      <c r="H508" s="76">
        <v>1908.0195502506426</v>
      </c>
      <c r="I508" s="76">
        <v>23575</v>
      </c>
      <c r="J508" s="76">
        <f t="shared" si="28"/>
        <v>0</v>
      </c>
      <c r="K508" s="76">
        <v>264805</v>
      </c>
      <c r="L508" s="103">
        <f t="shared" si="31"/>
        <v>-2.1531082798782131E-2</v>
      </c>
      <c r="M508" s="103">
        <f t="shared" si="29"/>
        <v>0.10111213912124016</v>
      </c>
      <c r="N508" s="103">
        <f t="shared" si="30"/>
        <v>0.88048552754435105</v>
      </c>
      <c r="O508" s="76">
        <f t="shared" si="27"/>
        <v>135424.79999999999</v>
      </c>
      <c r="P508" s="69"/>
      <c r="Q508" s="69"/>
      <c r="R508" s="69"/>
      <c r="S508" s="69"/>
      <c r="T508" s="69"/>
      <c r="U508" s="69"/>
      <c r="V508" s="69"/>
      <c r="W508" s="76">
        <f t="shared" si="25"/>
        <v>1052.6666666666667</v>
      </c>
      <c r="X508" s="69"/>
      <c r="Y508" s="76">
        <f t="shared" si="26"/>
        <v>15474.200000000003</v>
      </c>
      <c r="Z508" s="69"/>
      <c r="AA508" s="76">
        <v>17177</v>
      </c>
      <c r="AB508" s="94">
        <f t="shared" si="34"/>
        <v>0.90086743901729072</v>
      </c>
      <c r="AC508" s="69"/>
      <c r="AD508" s="69">
        <v>773.22533219965726</v>
      </c>
      <c r="AE508" s="69">
        <v>18.016177652518238</v>
      </c>
      <c r="AF508" s="76">
        <f t="shared" si="32"/>
        <v>-755.20915454713906</v>
      </c>
      <c r="AG508" s="69"/>
      <c r="AH508" s="69">
        <v>1908.0195502506426</v>
      </c>
      <c r="AI508" s="69">
        <v>101.61716771951859</v>
      </c>
      <c r="AJ508" s="76">
        <f t="shared" si="33"/>
        <v>-1806.402382531124</v>
      </c>
      <c r="AK508" s="69"/>
    </row>
    <row r="509" spans="1:37" s="140" customFormat="1" ht="12">
      <c r="A509" s="139">
        <v>44896</v>
      </c>
      <c r="B509" s="76">
        <v>30046</v>
      </c>
      <c r="C509" s="76">
        <v>0</v>
      </c>
      <c r="D509" s="76">
        <v>87.306673527539999</v>
      </c>
      <c r="E509" s="76">
        <v>-726</v>
      </c>
      <c r="F509" s="76">
        <v>26982</v>
      </c>
      <c r="G509" s="76">
        <v>1668</v>
      </c>
      <c r="H509" s="76">
        <v>1722.0497785922666</v>
      </c>
      <c r="I509" s="76">
        <v>24245</v>
      </c>
      <c r="J509" s="76">
        <f t="shared" si="28"/>
        <v>0</v>
      </c>
      <c r="K509" s="76">
        <v>266473</v>
      </c>
      <c r="L509" s="103">
        <f t="shared" si="31"/>
        <v>-3.1929579818500198E-2</v>
      </c>
      <c r="M509" s="103">
        <f t="shared" si="29"/>
        <v>0.10125603719701433</v>
      </c>
      <c r="N509" s="103">
        <f t="shared" si="30"/>
        <v>0.89856200429916244</v>
      </c>
      <c r="O509" s="76">
        <f t="shared" si="27"/>
        <v>135055.66200000001</v>
      </c>
      <c r="P509" s="69"/>
      <c r="Q509" s="69"/>
      <c r="R509" s="69"/>
      <c r="S509" s="69"/>
      <c r="T509" s="69"/>
      <c r="U509" s="69"/>
      <c r="V509" s="69"/>
      <c r="W509" s="76">
        <f t="shared" si="25"/>
        <v>969.22580645161293</v>
      </c>
      <c r="X509" s="69"/>
      <c r="Y509" s="76">
        <f t="shared" si="26"/>
        <v>14247.619354838711</v>
      </c>
      <c r="Z509" s="69"/>
      <c r="AA509" s="76">
        <v>17177</v>
      </c>
      <c r="AB509" s="94">
        <f t="shared" si="34"/>
        <v>0.82945912294572455</v>
      </c>
      <c r="AC509" s="69"/>
      <c r="AD509" s="69">
        <v>145.06822623856183</v>
      </c>
      <c r="AE509" s="69">
        <v>81.486732078213578</v>
      </c>
      <c r="AF509" s="76">
        <f t="shared" si="32"/>
        <v>-63.581494160348257</v>
      </c>
      <c r="AG509" s="69"/>
      <c r="AH509" s="69">
        <v>1722.0497785922666</v>
      </c>
      <c r="AI509" s="69">
        <v>149.76850340549382</v>
      </c>
      <c r="AJ509" s="76">
        <f t="shared" si="33"/>
        <v>-1572.2812751867727</v>
      </c>
      <c r="AK509" s="69"/>
    </row>
    <row r="510" spans="1:37" s="140" customFormat="1" ht="12">
      <c r="A510" s="139">
        <v>44927</v>
      </c>
      <c r="B510" s="76">
        <v>31064</v>
      </c>
      <c r="C510" s="76">
        <v>0</v>
      </c>
      <c r="D510" s="76">
        <v>67.58271717092579</v>
      </c>
      <c r="E510" s="76">
        <v>-1640</v>
      </c>
      <c r="F510" s="76">
        <v>25640</v>
      </c>
      <c r="G510" s="76">
        <v>2790</v>
      </c>
      <c r="H510" s="76">
        <v>2786.2448249326881</v>
      </c>
      <c r="I510" s="76">
        <v>25240</v>
      </c>
      <c r="J510" s="76">
        <f t="shared" si="28"/>
        <v>-1</v>
      </c>
      <c r="K510" s="76">
        <v>257022</v>
      </c>
      <c r="L510" s="103">
        <f t="shared" si="31"/>
        <v>2.8425323506110045E-2</v>
      </c>
      <c r="M510" s="103">
        <f t="shared" si="29"/>
        <v>9.9757997369874951E-2</v>
      </c>
      <c r="N510" s="103">
        <f t="shared" si="30"/>
        <v>0.98439937597503901</v>
      </c>
      <c r="O510" s="76">
        <f t="shared" si="27"/>
        <v>135354.03</v>
      </c>
      <c r="P510" s="69"/>
      <c r="Q510" s="69"/>
      <c r="R510" s="69"/>
      <c r="S510" s="69"/>
      <c r="T510" s="69"/>
      <c r="U510" s="69"/>
      <c r="V510" s="69"/>
      <c r="W510" s="76">
        <f t="shared" si="25"/>
        <v>1002.0645161290323</v>
      </c>
      <c r="X510" s="69"/>
      <c r="Y510" s="76">
        <f t="shared" si="26"/>
        <v>14730.348387096776</v>
      </c>
      <c r="Z510" s="69"/>
      <c r="AA510" s="76">
        <v>17219</v>
      </c>
      <c r="AB510" s="94">
        <f t="shared" si="34"/>
        <v>0.85547060729988822</v>
      </c>
      <c r="AC510" s="69"/>
      <c r="AD510" s="69">
        <v>67.663212175167288</v>
      </c>
      <c r="AE510" s="69">
        <v>93.447919901989607</v>
      </c>
      <c r="AF510" s="76">
        <f t="shared" si="32"/>
        <v>25.784707726822319</v>
      </c>
      <c r="AG510" s="69"/>
      <c r="AH510" s="69">
        <v>2808.4406532801818</v>
      </c>
      <c r="AI510" s="69">
        <v>86.758306736855957</v>
      </c>
      <c r="AJ510" s="76">
        <f t="shared" si="33"/>
        <v>-2721.6823465433258</v>
      </c>
      <c r="AK510" s="69"/>
    </row>
    <row r="511" spans="1:37" s="140" customFormat="1" ht="12">
      <c r="A511" s="139">
        <v>44958</v>
      </c>
      <c r="B511" s="76">
        <v>27980</v>
      </c>
      <c r="C511" s="76">
        <v>0</v>
      </c>
      <c r="D511" s="76">
        <v>46.839884774698739</v>
      </c>
      <c r="E511" s="76">
        <v>-3</v>
      </c>
      <c r="F511" s="76">
        <v>24381</v>
      </c>
      <c r="G511" s="76">
        <v>2551</v>
      </c>
      <c r="H511" s="76">
        <v>2548.0432135637698</v>
      </c>
      <c r="I511" s="76">
        <v>26284</v>
      </c>
      <c r="J511" s="76">
        <f t="shared" si="28"/>
        <v>1</v>
      </c>
      <c r="K511" s="76">
        <v>243457</v>
      </c>
      <c r="L511" s="103">
        <f t="shared" si="31"/>
        <v>5.1691748725253284E-3</v>
      </c>
      <c r="M511" s="103">
        <f t="shared" si="29"/>
        <v>0.10014499480401057</v>
      </c>
      <c r="N511" s="103">
        <f t="shared" si="30"/>
        <v>1.0780525819285509</v>
      </c>
      <c r="O511" s="76">
        <f t="shared" si="27"/>
        <v>135406.614</v>
      </c>
      <c r="P511" s="69"/>
      <c r="Q511" s="69"/>
      <c r="R511" s="69"/>
      <c r="S511" s="69"/>
      <c r="T511" s="69"/>
      <c r="U511" s="69"/>
      <c r="V511" s="69"/>
      <c r="W511" s="76">
        <f t="shared" si="25"/>
        <v>999.28571428571433</v>
      </c>
      <c r="X511" s="69"/>
      <c r="Y511" s="76">
        <f t="shared" si="26"/>
        <v>14689.5</v>
      </c>
      <c r="Z511" s="69"/>
      <c r="AA511" s="76">
        <v>17395</v>
      </c>
      <c r="AB511" s="94">
        <f t="shared" si="34"/>
        <v>0.84446680080482894</v>
      </c>
      <c r="AC511" s="69"/>
      <c r="AD511" s="69">
        <v>46.839909522287385</v>
      </c>
      <c r="AE511" s="69">
        <v>9.6465049203325908</v>
      </c>
      <c r="AF511" s="76">
        <f t="shared" si="32"/>
        <v>-37.193404601954796</v>
      </c>
      <c r="AG511" s="69"/>
      <c r="AH511" s="69">
        <v>2479.5705843526289</v>
      </c>
      <c r="AI511" s="69">
        <v>131.61353472310543</v>
      </c>
      <c r="AJ511" s="76">
        <f t="shared" si="33"/>
        <v>-2347.9570496295237</v>
      </c>
      <c r="AK511" s="69"/>
    </row>
    <row r="512" spans="1:37" s="140" customFormat="1" ht="12">
      <c r="A512" s="139">
        <v>44986</v>
      </c>
      <c r="B512" s="76">
        <v>30602</v>
      </c>
      <c r="C512" s="76">
        <v>0</v>
      </c>
      <c r="D512" s="76">
        <v>69.249422582824593</v>
      </c>
      <c r="E512" s="76">
        <v>-1486</v>
      </c>
      <c r="F512" s="76">
        <v>27618</v>
      </c>
      <c r="G512" s="76">
        <v>2817</v>
      </c>
      <c r="H512" s="76">
        <v>2811.7347785204288</v>
      </c>
      <c r="I512" s="76">
        <v>24966</v>
      </c>
      <c r="J512" s="76">
        <f t="shared" si="28"/>
        <v>-1</v>
      </c>
      <c r="K512" s="76">
        <v>281385</v>
      </c>
      <c r="L512" s="103">
        <f t="shared" si="31"/>
        <v>7.9739503293820846E-3</v>
      </c>
      <c r="M512" s="103">
        <f t="shared" si="29"/>
        <v>9.8150221227144299E-2</v>
      </c>
      <c r="N512" s="103">
        <f t="shared" si="30"/>
        <v>0.90397566804258089</v>
      </c>
      <c r="O512" s="76">
        <f t="shared" si="27"/>
        <v>135500.106</v>
      </c>
      <c r="P512" s="69"/>
      <c r="Q512" s="69"/>
      <c r="R512" s="69"/>
      <c r="S512" s="69"/>
      <c r="T512" s="69"/>
      <c r="U512" s="69"/>
      <c r="V512" s="69"/>
      <c r="W512" s="76">
        <f t="shared" si="25"/>
        <v>987.16129032258061</v>
      </c>
      <c r="X512" s="69"/>
      <c r="Y512" s="76">
        <f t="shared" si="26"/>
        <v>14511.270967741935</v>
      </c>
      <c r="Z512" s="69"/>
      <c r="AA512" s="76">
        <v>17734</v>
      </c>
      <c r="AB512" s="94">
        <f t="shared" si="34"/>
        <v>0.81827399163989711</v>
      </c>
      <c r="AC512" s="69"/>
      <c r="AD512" s="69">
        <v>68.007522868819279</v>
      </c>
      <c r="AE512" s="69">
        <v>71.648708619472686</v>
      </c>
      <c r="AF512" s="76">
        <f t="shared" si="32"/>
        <v>3.6411857506534062</v>
      </c>
      <c r="AG512" s="69"/>
      <c r="AH512" s="69">
        <v>3152.6533076054789</v>
      </c>
      <c r="AI512" s="69">
        <v>50.609331995364158</v>
      </c>
      <c r="AJ512" s="76">
        <f t="shared" si="33"/>
        <v>-3102.0439756101146</v>
      </c>
      <c r="AK512" s="69"/>
    </row>
    <row r="513" spans="1:37" s="140" customFormat="1" ht="12">
      <c r="A513" s="139">
        <v>45017</v>
      </c>
      <c r="B513" s="76">
        <v>29162</v>
      </c>
      <c r="C513" s="76">
        <v>0</v>
      </c>
      <c r="D513" s="76">
        <v>250.4279649902108</v>
      </c>
      <c r="E513" s="76">
        <v>-97</v>
      </c>
      <c r="F513" s="76">
        <v>27014</v>
      </c>
      <c r="G513" s="76">
        <v>2853</v>
      </c>
      <c r="H513" s="76">
        <v>2848.559448495334</v>
      </c>
      <c r="I513" s="76">
        <v>24165</v>
      </c>
      <c r="J513" s="76">
        <f t="shared" si="28"/>
        <v>-1</v>
      </c>
      <c r="K513" s="76">
        <v>268322</v>
      </c>
      <c r="L513" s="103">
        <f t="shared" si="31"/>
        <v>1.651752903827064E-2</v>
      </c>
      <c r="M513" s="103">
        <f t="shared" si="29"/>
        <v>0.10067754414472165</v>
      </c>
      <c r="N513" s="103">
        <f t="shared" si="30"/>
        <v>0.89453616643222034</v>
      </c>
      <c r="O513" s="76">
        <f t="shared" si="27"/>
        <v>135683.226</v>
      </c>
      <c r="P513" s="69"/>
      <c r="Q513" s="69"/>
      <c r="R513" s="69"/>
      <c r="S513" s="69"/>
      <c r="T513" s="69"/>
      <c r="U513" s="69"/>
      <c r="V513" s="69"/>
      <c r="W513" s="76">
        <f t="shared" si="25"/>
        <v>972.06666666666672</v>
      </c>
      <c r="X513" s="69"/>
      <c r="Y513" s="76">
        <f t="shared" si="26"/>
        <v>14289.380000000001</v>
      </c>
      <c r="Z513" s="69"/>
      <c r="AA513" s="76">
        <v>17770</v>
      </c>
      <c r="AB513" s="94">
        <f t="shared" si="34"/>
        <v>0.80412943162633654</v>
      </c>
      <c r="AC513" s="69"/>
      <c r="AD513" s="69">
        <v>252.22149931296366</v>
      </c>
      <c r="AE513" s="69">
        <v>105.21021752566024</v>
      </c>
      <c r="AF513" s="76">
        <f t="shared" si="32"/>
        <v>-147.0112817873034</v>
      </c>
      <c r="AG513" s="69"/>
      <c r="AH513" s="69">
        <v>2995.3577778138392</v>
      </c>
      <c r="AI513" s="69">
        <v>64.278474710105627</v>
      </c>
      <c r="AJ513" s="76">
        <f t="shared" si="33"/>
        <v>-2931.0793031037338</v>
      </c>
      <c r="AK513" s="69"/>
    </row>
    <row r="514" spans="1:37" s="140" customFormat="1" ht="12">
      <c r="A514" s="139">
        <v>45047</v>
      </c>
      <c r="B514" s="76">
        <v>30820</v>
      </c>
      <c r="C514" s="76">
        <v>0</v>
      </c>
      <c r="D514" s="76">
        <v>223.49768255709273</v>
      </c>
      <c r="E514" s="76">
        <v>-487</v>
      </c>
      <c r="F514" s="76">
        <v>28714</v>
      </c>
      <c r="G514" s="76">
        <v>2676</v>
      </c>
      <c r="H514" s="76">
        <v>2671.4347643759029</v>
      </c>
      <c r="I514" s="76">
        <v>23108</v>
      </c>
      <c r="J514" s="76">
        <f t="shared" si="28"/>
        <v>0</v>
      </c>
      <c r="K514" s="76">
        <v>281476</v>
      </c>
      <c r="L514" s="103">
        <f t="shared" si="31"/>
        <v>-4.3015012805456276E-3</v>
      </c>
      <c r="M514" s="103">
        <f t="shared" si="29"/>
        <v>0.10201224971223123</v>
      </c>
      <c r="N514" s="103">
        <f t="shared" si="30"/>
        <v>0.80476422650971646</v>
      </c>
      <c r="O514" s="76">
        <f t="shared" si="27"/>
        <v>135632.15400000001</v>
      </c>
      <c r="P514" s="69"/>
      <c r="Q514" s="69"/>
      <c r="R514" s="69"/>
      <c r="S514" s="69"/>
      <c r="T514" s="69"/>
      <c r="U514" s="69"/>
      <c r="V514" s="69"/>
      <c r="W514" s="76">
        <f t="shared" si="25"/>
        <v>994.19354838709683</v>
      </c>
      <c r="X514" s="69"/>
      <c r="Y514" s="76">
        <f t="shared" si="26"/>
        <v>14614.645161290324</v>
      </c>
      <c r="Z514" s="69"/>
      <c r="AA514" s="76">
        <v>17700</v>
      </c>
      <c r="AB514" s="94">
        <f t="shared" si="34"/>
        <v>0.82568616730453803</v>
      </c>
      <c r="AC514" s="69"/>
      <c r="AD514" s="69">
        <v>176.89777832457222</v>
      </c>
      <c r="AE514" s="69">
        <v>32.297438750108334</v>
      </c>
      <c r="AF514" s="76">
        <f t="shared" si="32"/>
        <v>-144.60033957446387</v>
      </c>
      <c r="AG514" s="69"/>
      <c r="AH514" s="69">
        <v>2700.1867319901562</v>
      </c>
      <c r="AI514" s="69">
        <v>119.31093580980912</v>
      </c>
      <c r="AJ514" s="76">
        <f t="shared" si="33"/>
        <v>-2580.8757961803472</v>
      </c>
      <c r="AK514" s="69"/>
    </row>
    <row r="515" spans="1:37" s="140" customFormat="1" ht="12">
      <c r="A515" s="139">
        <v>45078</v>
      </c>
      <c r="B515" s="76">
        <v>31089</v>
      </c>
      <c r="C515" s="76">
        <v>0</v>
      </c>
      <c r="D515" s="76">
        <v>265.52801348213313</v>
      </c>
      <c r="E515" s="76">
        <v>-1517</v>
      </c>
      <c r="F515" s="76">
        <v>27711</v>
      </c>
      <c r="G515" s="76">
        <v>2656</v>
      </c>
      <c r="H515" s="76">
        <v>2650.2406066335966</v>
      </c>
      <c r="I515" s="76">
        <v>22314</v>
      </c>
      <c r="J515" s="76">
        <f t="shared" si="28"/>
        <v>-1</v>
      </c>
      <c r="K515" s="76">
        <v>280972</v>
      </c>
      <c r="L515" s="103">
        <f t="shared" si="31"/>
        <v>3.2025358765559897E-2</v>
      </c>
      <c r="M515" s="103">
        <f t="shared" si="29"/>
        <v>9.8625485813533018E-2</v>
      </c>
      <c r="N515" s="103">
        <f t="shared" si="30"/>
        <v>0.80523979647071564</v>
      </c>
      <c r="O515" s="76">
        <f t="shared" si="27"/>
        <v>135998.35200000001</v>
      </c>
      <c r="P515" s="69"/>
      <c r="Q515" s="69"/>
      <c r="R515" s="69"/>
      <c r="S515" s="69"/>
      <c r="T515" s="69"/>
      <c r="U515" s="69"/>
      <c r="V515" s="69"/>
      <c r="W515" s="76">
        <f t="shared" si="25"/>
        <v>1036.3</v>
      </c>
      <c r="X515" s="69"/>
      <c r="Y515" s="76">
        <f t="shared" si="26"/>
        <v>15233.61</v>
      </c>
      <c r="Z515" s="69"/>
      <c r="AA515" s="76">
        <v>17707</v>
      </c>
      <c r="AB515" s="94">
        <f>Y515/AA515</f>
        <v>0.86031569435816346</v>
      </c>
      <c r="AC515" s="69"/>
      <c r="AD515" s="69">
        <v>265.53060679971634</v>
      </c>
      <c r="AE515" s="69">
        <v>15.028428071136787</v>
      </c>
      <c r="AF515" s="76">
        <f t="shared" si="32"/>
        <v>-250.50217872857957</v>
      </c>
      <c r="AG515" s="69"/>
      <c r="AH515" s="69">
        <v>2669.4633694456697</v>
      </c>
      <c r="AI515" s="69">
        <v>107.6734972785863</v>
      </c>
      <c r="AJ515" s="76">
        <f t="shared" si="33"/>
        <v>-2561.7898721670836</v>
      </c>
      <c r="AK515" s="69"/>
    </row>
    <row r="516" spans="1:37" s="140" customFormat="1" ht="12">
      <c r="A516" s="139">
        <v>45108</v>
      </c>
      <c r="B516" s="76">
        <v>32014</v>
      </c>
      <c r="C516" s="76">
        <v>0</v>
      </c>
      <c r="D516" s="76">
        <v>308.54792027921928</v>
      </c>
      <c r="E516" s="76">
        <v>-370</v>
      </c>
      <c r="F516" s="76">
        <v>28224</v>
      </c>
      <c r="G516" s="76">
        <v>2678</v>
      </c>
      <c r="H516" s="76">
        <v>2673.9317876602272</v>
      </c>
      <c r="I516" s="76">
        <v>23057</v>
      </c>
      <c r="J516" s="76">
        <f t="shared" si="28"/>
        <v>-1</v>
      </c>
      <c r="K516" s="76">
        <v>278349</v>
      </c>
      <c r="L516" s="103">
        <f t="shared" si="31"/>
        <v>1.9003653563139267E-2</v>
      </c>
      <c r="M516" s="103">
        <f t="shared" si="29"/>
        <v>0.10139788538848711</v>
      </c>
      <c r="N516" s="103">
        <f t="shared" si="30"/>
        <v>0.81692885487528344</v>
      </c>
      <c r="O516" s="76">
        <f t="shared" si="27"/>
        <v>136216.37400000001</v>
      </c>
      <c r="P516" s="69"/>
      <c r="Q516" s="69"/>
      <c r="R516" s="69"/>
      <c r="S516" s="69"/>
      <c r="T516" s="69"/>
      <c r="U516" s="69"/>
      <c r="V516" s="69"/>
      <c r="W516" s="76">
        <f t="shared" si="25"/>
        <v>1032.7096774193549</v>
      </c>
      <c r="X516" s="69"/>
      <c r="Y516" s="76">
        <f t="shared" si="26"/>
        <v>15180.832258064516</v>
      </c>
      <c r="Z516" s="69"/>
      <c r="AA516" s="76">
        <v>17709</v>
      </c>
      <c r="AB516" s="94">
        <f t="shared" si="34"/>
        <v>0.85723825501521922</v>
      </c>
      <c r="AC516" s="69"/>
      <c r="AD516" s="69">
        <v>308.54808329877085</v>
      </c>
      <c r="AE516" s="69">
        <v>104.54840961430737</v>
      </c>
      <c r="AF516" s="76">
        <f t="shared" si="32"/>
        <v>-203.99967368446346</v>
      </c>
      <c r="AG516" s="69"/>
      <c r="AH516" s="69">
        <v>2703.843491319617</v>
      </c>
      <c r="AI516" s="69">
        <v>126.5284656213248</v>
      </c>
      <c r="AJ516" s="76">
        <f t="shared" si="33"/>
        <v>-2577.3150256982922</v>
      </c>
      <c r="AK516" s="69"/>
    </row>
    <row r="517" spans="1:37" s="140" customFormat="1" ht="12">
      <c r="A517" s="139">
        <v>45139</v>
      </c>
      <c r="B517" s="76">
        <v>31132</v>
      </c>
      <c r="C517" s="76">
        <v>249</v>
      </c>
      <c r="D517" s="76">
        <v>611.73387152976693</v>
      </c>
      <c r="E517" s="76">
        <v>-1260</v>
      </c>
      <c r="F517" s="76">
        <v>28983</v>
      </c>
      <c r="G517" s="76">
        <v>2395</v>
      </c>
      <c r="H517" s="76">
        <v>2391.9115893681674</v>
      </c>
      <c r="I517" s="76">
        <v>21800</v>
      </c>
      <c r="J517" s="76">
        <f t="shared" si="28"/>
        <v>0</v>
      </c>
      <c r="K517" s="76">
        <v>286579</v>
      </c>
      <c r="L517" s="103">
        <f t="shared" si="31"/>
        <v>1.4166100447313257E-2</v>
      </c>
      <c r="M517" s="103">
        <f t="shared" si="29"/>
        <v>0.10113441668789409</v>
      </c>
      <c r="N517" s="103">
        <f t="shared" si="30"/>
        <v>0.75216506227788704</v>
      </c>
      <c r="O517" s="76">
        <f t="shared" si="27"/>
        <v>136384.5</v>
      </c>
      <c r="P517" s="69"/>
      <c r="Q517" s="69"/>
      <c r="R517" s="69"/>
      <c r="S517" s="69"/>
      <c r="T517" s="69"/>
      <c r="U517" s="69"/>
      <c r="V517" s="69"/>
      <c r="W517" s="76">
        <f t="shared" si="25"/>
        <v>1004.258064516129</v>
      </c>
      <c r="X517" s="69"/>
      <c r="Y517" s="76">
        <f t="shared" si="26"/>
        <v>14762.593548387098</v>
      </c>
      <c r="Z517" s="69"/>
      <c r="AA517" s="76">
        <v>17719</v>
      </c>
      <c r="AB517" s="94">
        <f t="shared" si="34"/>
        <v>0.83315049090733662</v>
      </c>
      <c r="AC517" s="69"/>
      <c r="AD517" s="69">
        <v>611.73791830563482</v>
      </c>
      <c r="AE517" s="69">
        <v>26.136937295966305</v>
      </c>
      <c r="AF517" s="76">
        <f t="shared" si="32"/>
        <v>-585.60098100966854</v>
      </c>
      <c r="AG517" s="69"/>
      <c r="AH517" s="69">
        <v>2438.7963447628053</v>
      </c>
      <c r="AI517" s="69">
        <v>107.40709221785248</v>
      </c>
      <c r="AJ517" s="76">
        <f t="shared" si="33"/>
        <v>-2331.3892525449528</v>
      </c>
      <c r="AK517" s="69"/>
    </row>
    <row r="518" spans="1:37" s="140" customFormat="1" ht="12">
      <c r="A518" s="139">
        <v>45170</v>
      </c>
      <c r="B518" s="76">
        <v>30104</v>
      </c>
      <c r="C518" s="76">
        <v>400</v>
      </c>
      <c r="D518" s="76">
        <v>403.10638892272806</v>
      </c>
      <c r="E518" s="76">
        <v>-296</v>
      </c>
      <c r="F518" s="76">
        <v>26949</v>
      </c>
      <c r="G518" s="76">
        <v>2899</v>
      </c>
      <c r="H518" s="76">
        <v>2894.4670827300779</v>
      </c>
      <c r="I518" s="76">
        <v>22159</v>
      </c>
      <c r="J518" s="76">
        <f t="shared" si="28"/>
        <v>1</v>
      </c>
      <c r="K518" s="76">
        <v>265293</v>
      </c>
      <c r="L518" s="103">
        <f t="shared" si="31"/>
        <v>-3.9939864129101554E-4</v>
      </c>
      <c r="M518" s="103">
        <f t="shared" si="29"/>
        <v>0.10158202440320702</v>
      </c>
      <c r="N518" s="103">
        <f t="shared" si="30"/>
        <v>0.82225685554194961</v>
      </c>
      <c r="O518" s="76">
        <f t="shared" si="27"/>
        <v>136380.04800000001</v>
      </c>
      <c r="P518" s="69"/>
      <c r="Q518" s="69"/>
      <c r="R518" s="69"/>
      <c r="S518" s="69"/>
      <c r="T518" s="69"/>
      <c r="U518" s="69"/>
      <c r="V518" s="69"/>
      <c r="W518" s="76">
        <f t="shared" ref="W518" si="35">B518/(A519-A518)</f>
        <v>1003.4666666666667</v>
      </c>
      <c r="X518" s="69"/>
      <c r="Y518" s="76">
        <f t="shared" ref="Y518" si="36">W518*350*42/1000</f>
        <v>14750.960000000003</v>
      </c>
      <c r="Z518" s="69"/>
      <c r="AA518" s="76">
        <v>17721</v>
      </c>
      <c r="AB518" s="94">
        <f t="shared" si="34"/>
        <v>0.8323999774279105</v>
      </c>
      <c r="AC518" s="69"/>
      <c r="AD518" s="69">
        <v>393.29284454436026</v>
      </c>
      <c r="AE518" s="69">
        <v>7.0685115445128233</v>
      </c>
      <c r="AF518" s="76">
        <f t="shared" si="32"/>
        <v>-386.22433299984743</v>
      </c>
      <c r="AG518" s="69"/>
      <c r="AH518" s="69">
        <v>2911.5575327375368</v>
      </c>
      <c r="AI518" s="69">
        <v>121.03265281322612</v>
      </c>
      <c r="AJ518" s="76">
        <f t="shared" si="33"/>
        <v>-2790.5248799243109</v>
      </c>
      <c r="AK518" s="69"/>
    </row>
    <row r="519" spans="1:37" s="140" customFormat="1" ht="12">
      <c r="A519" s="139">
        <v>45200</v>
      </c>
      <c r="B519" s="76">
        <v>31858</v>
      </c>
      <c r="C519" s="76">
        <v>0</v>
      </c>
      <c r="D519" s="76">
        <v>129.80425153948141</v>
      </c>
      <c r="E519" s="76">
        <v>-1876</v>
      </c>
      <c r="F519" s="76">
        <v>28161</v>
      </c>
      <c r="G519" s="76">
        <v>2777</v>
      </c>
      <c r="H519" s="76">
        <v>2773.4145929035944</v>
      </c>
      <c r="I519" s="76">
        <v>21203</v>
      </c>
      <c r="J519" s="76">
        <f t="shared" si="28"/>
        <v>0</v>
      </c>
      <c r="K519" s="76">
        <v>282095</v>
      </c>
      <c r="L519" s="103">
        <f t="shared" si="31"/>
        <v>3.327338458889928E-2</v>
      </c>
      <c r="M519" s="103">
        <f t="shared" si="29"/>
        <v>9.9828072103369428E-2</v>
      </c>
      <c r="N519" s="103">
        <f t="shared" si="30"/>
        <v>0.75292070594084015</v>
      </c>
      <c r="O519" s="76">
        <f t="shared" si="27"/>
        <v>136761.576</v>
      </c>
      <c r="P519" s="69"/>
      <c r="Q519" s="69"/>
      <c r="R519" s="69"/>
      <c r="S519" s="69"/>
      <c r="T519" s="69"/>
      <c r="U519" s="69"/>
      <c r="V519" s="69"/>
      <c r="W519" s="76">
        <f>B519/(A520-A519)</f>
        <v>1027.6774193548388</v>
      </c>
      <c r="X519" s="69"/>
      <c r="Y519" s="76">
        <f>W519*350*42/1000</f>
        <v>15106.858064516131</v>
      </c>
      <c r="Z519" s="69"/>
      <c r="AA519" s="76">
        <v>17721</v>
      </c>
      <c r="AB519" s="94">
        <f>Y519/AA519</f>
        <v>0.85248338493968345</v>
      </c>
      <c r="AC519" s="69"/>
      <c r="AD519" s="69">
        <v>129.95011171338174</v>
      </c>
      <c r="AE519" s="69">
        <v>74.544884802690433</v>
      </c>
      <c r="AF519" s="76">
        <f t="shared" si="32"/>
        <v>-55.405226910691312</v>
      </c>
      <c r="AG519" s="69"/>
      <c r="AH519" s="69">
        <v>2792.1250274078634</v>
      </c>
      <c r="AI519" s="69">
        <v>117.49116061026793</v>
      </c>
      <c r="AJ519" s="76">
        <f t="shared" si="33"/>
        <v>-2674.6338667975956</v>
      </c>
      <c r="AK519" s="69"/>
    </row>
    <row r="520" spans="1:37" s="140" customFormat="1" ht="12">
      <c r="A520" s="139">
        <v>45231</v>
      </c>
      <c r="B520" s="76">
        <v>31603</v>
      </c>
      <c r="C520" s="76">
        <v>0</v>
      </c>
      <c r="D520" s="76">
        <v>148.1346082829356</v>
      </c>
      <c r="E520" s="76">
        <v>-1419</v>
      </c>
      <c r="F520" s="76">
        <v>26849</v>
      </c>
      <c r="G520" s="76">
        <v>2746</v>
      </c>
      <c r="H520" s="76">
        <v>2743.3767101302633</v>
      </c>
      <c r="I520" s="76">
        <v>21791</v>
      </c>
      <c r="J520" s="76">
        <f t="shared" si="28"/>
        <v>1</v>
      </c>
      <c r="K520" s="76">
        <v>267295</v>
      </c>
      <c r="L520" s="103">
        <f t="shared" si="31"/>
        <v>9.4031457109948757E-3</v>
      </c>
      <c r="M520" s="103">
        <f t="shared" si="29"/>
        <v>0.10044707158757178</v>
      </c>
      <c r="N520" s="103">
        <f t="shared" si="30"/>
        <v>0.81161309545979365</v>
      </c>
      <c r="O520" s="76">
        <f t="shared" si="27"/>
        <v>136866.15599999999</v>
      </c>
      <c r="P520" s="69"/>
      <c r="Q520" s="69"/>
      <c r="R520" s="69"/>
      <c r="S520" s="69"/>
      <c r="T520" s="69"/>
      <c r="U520" s="69"/>
      <c r="V520" s="69"/>
      <c r="W520" s="76">
        <f t="shared" ref="W520:W529" si="37">B520/(A521-A520)</f>
        <v>1053.4333333333334</v>
      </c>
      <c r="X520" s="69"/>
      <c r="Y520" s="76">
        <f t="shared" ref="Y520:Y539" si="38">W520*350*42/1000</f>
        <v>15485.47</v>
      </c>
      <c r="Z520" s="69"/>
      <c r="AA520" s="76">
        <v>17829</v>
      </c>
      <c r="AB520" s="94">
        <f t="shared" ref="AB520:AB522" si="39">Y520/AA520</f>
        <v>0.86855516293678836</v>
      </c>
      <c r="AC520" s="69"/>
      <c r="AD520" s="69"/>
      <c r="AE520" s="69">
        <v>21.437131865064373</v>
      </c>
      <c r="AF520" s="76"/>
      <c r="AG520" s="69"/>
      <c r="AH520" s="69"/>
      <c r="AI520" s="69">
        <v>91.439198697857591</v>
      </c>
      <c r="AJ520" s="76">
        <f t="shared" si="33"/>
        <v>91.439198697857591</v>
      </c>
      <c r="AK520" s="69"/>
    </row>
    <row r="521" spans="1:37" s="140" customFormat="1" ht="12">
      <c r="A521" s="139">
        <v>45261</v>
      </c>
      <c r="B521" s="76">
        <v>33530</v>
      </c>
      <c r="C521" s="76">
        <v>0</v>
      </c>
      <c r="D521" s="76">
        <v>385.87612631006061</v>
      </c>
      <c r="E521" s="76">
        <v>-1476</v>
      </c>
      <c r="F521" s="76">
        <v>26640</v>
      </c>
      <c r="G521" s="76">
        <v>3707</v>
      </c>
      <c r="H521" s="76">
        <v>3704.5239033677813</v>
      </c>
      <c r="I521" s="76">
        <v>23498</v>
      </c>
      <c r="J521" s="76">
        <f t="shared" si="28"/>
        <v>0</v>
      </c>
      <c r="K521" s="76">
        <v>272672</v>
      </c>
      <c r="L521" s="103">
        <f t="shared" si="31"/>
        <v>2.3263144858953755E-2</v>
      </c>
      <c r="M521" s="103">
        <f t="shared" si="29"/>
        <v>9.7699800492899891E-2</v>
      </c>
      <c r="N521" s="103">
        <f t="shared" si="30"/>
        <v>0.88205705705705706</v>
      </c>
      <c r="O521" s="76">
        <f t="shared" si="27"/>
        <v>137126.514</v>
      </c>
      <c r="P521" s="69"/>
      <c r="Q521" s="69"/>
      <c r="R521" s="69"/>
      <c r="S521" s="69"/>
      <c r="T521" s="69"/>
      <c r="U521" s="69"/>
      <c r="V521" s="69"/>
      <c r="W521" s="76">
        <f t="shared" si="37"/>
        <v>1081.6129032258063</v>
      </c>
      <c r="X521" s="69"/>
      <c r="Y521" s="76">
        <f t="shared" si="38"/>
        <v>15899.709677419352</v>
      </c>
      <c r="Z521" s="69"/>
      <c r="AA521" s="76">
        <v>17829</v>
      </c>
      <c r="AB521" s="94">
        <f t="shared" si="39"/>
        <v>0.89178920171739029</v>
      </c>
      <c r="AC521" s="69"/>
      <c r="AD521" s="69"/>
      <c r="AE521" s="69"/>
      <c r="AF521" s="76"/>
      <c r="AG521" s="69"/>
      <c r="AH521" s="69"/>
      <c r="AI521" s="69"/>
      <c r="AJ521" s="76"/>
      <c r="AK521" s="69"/>
    </row>
    <row r="522" spans="1:37" s="140" customFormat="1" ht="12">
      <c r="A522" s="139">
        <v>45292</v>
      </c>
      <c r="B522" s="76">
        <v>30843</v>
      </c>
      <c r="C522" s="76">
        <v>0</v>
      </c>
      <c r="D522" s="76">
        <v>357.07865075817625</v>
      </c>
      <c r="E522" s="76">
        <v>-494</v>
      </c>
      <c r="F522" s="76">
        <v>25382</v>
      </c>
      <c r="G522" s="76">
        <v>3580</v>
      </c>
      <c r="H522" s="76">
        <v>3573.8656842687265</v>
      </c>
      <c r="I522" s="76">
        <v>24806</v>
      </c>
      <c r="J522" s="76">
        <f t="shared" si="28"/>
        <v>79</v>
      </c>
      <c r="K522" s="76">
        <v>255368</v>
      </c>
      <c r="L522" s="103">
        <f t="shared" si="31"/>
        <v>-6.4352467882127229E-3</v>
      </c>
      <c r="M522" s="103">
        <f t="shared" si="29"/>
        <v>9.9393815983208553E-2</v>
      </c>
      <c r="N522" s="103">
        <f t="shared" si="30"/>
        <v>0.97730675281695689</v>
      </c>
      <c r="O522" s="76">
        <f t="shared" si="27"/>
        <v>137057.046</v>
      </c>
      <c r="P522" s="69"/>
      <c r="Q522" s="69"/>
      <c r="R522" s="69"/>
      <c r="S522" s="69"/>
      <c r="T522" s="69"/>
      <c r="U522" s="69"/>
      <c r="V522" s="69"/>
      <c r="W522" s="76">
        <f t="shared" si="37"/>
        <v>994.93548387096769</v>
      </c>
      <c r="X522" s="69"/>
      <c r="Y522" s="76">
        <f t="shared" si="38"/>
        <v>14625.551612903224</v>
      </c>
      <c r="Z522" s="69"/>
      <c r="AA522" s="76">
        <v>17829</v>
      </c>
      <c r="AB522" s="94">
        <f t="shared" si="39"/>
        <v>0.82032372050609814</v>
      </c>
      <c r="AC522" s="69"/>
      <c r="AD522" s="69"/>
      <c r="AE522" s="69"/>
      <c r="AF522" s="76"/>
      <c r="AG522" s="69"/>
      <c r="AH522" s="69"/>
      <c r="AI522" s="69"/>
      <c r="AJ522" s="76"/>
      <c r="AK522" s="69"/>
    </row>
    <row r="523" spans="1:37" s="140" customFormat="1" ht="12">
      <c r="A523" s="139">
        <v>45323</v>
      </c>
      <c r="B523" s="76">
        <v>31149</v>
      </c>
      <c r="C523" s="76">
        <v>0</v>
      </c>
      <c r="D523" s="76">
        <v>218.21560670026835</v>
      </c>
      <c r="E523" s="76">
        <v>-1213</v>
      </c>
      <c r="F523" s="76">
        <v>25089</v>
      </c>
      <c r="G523" s="76">
        <v>3317</v>
      </c>
      <c r="H523" s="76">
        <v>3314.2698928966051</v>
      </c>
      <c r="I523" s="76">
        <v>26233</v>
      </c>
      <c r="J523" s="76">
        <f t="shared" si="28"/>
        <v>103</v>
      </c>
      <c r="K523" s="76">
        <v>249428</v>
      </c>
      <c r="L523" s="103">
        <f t="shared" si="31"/>
        <v>2.4525891635894581E-2</v>
      </c>
      <c r="M523" s="103">
        <f t="shared" si="29"/>
        <v>0.10058614109081579</v>
      </c>
      <c r="N523" s="103">
        <f t="shared" si="30"/>
        <v>1.0455976722866596</v>
      </c>
      <c r="O523" s="76">
        <f t="shared" si="27"/>
        <v>137307.82800000001</v>
      </c>
      <c r="P523" s="69"/>
      <c r="Q523" s="69"/>
      <c r="R523" s="69"/>
      <c r="S523" s="69"/>
      <c r="T523" s="69"/>
      <c r="U523" s="69"/>
      <c r="V523" s="69"/>
      <c r="W523" s="76">
        <f t="shared" si="37"/>
        <v>1074.1034482758621</v>
      </c>
      <c r="X523" s="69"/>
      <c r="Y523" s="76">
        <f t="shared" si="38"/>
        <v>15789.320689655171</v>
      </c>
      <c r="Z523" s="69"/>
      <c r="AA523" s="76"/>
      <c r="AB523" s="94"/>
      <c r="AC523" s="69"/>
      <c r="AD523" s="69"/>
      <c r="AE523" s="69"/>
      <c r="AF523" s="76"/>
      <c r="AG523" s="69"/>
      <c r="AH523" s="69"/>
      <c r="AI523" s="69"/>
      <c r="AJ523" s="76"/>
      <c r="AK523" s="69"/>
    </row>
    <row r="524" spans="1:37" s="140" customFormat="1" ht="12">
      <c r="A524" s="139">
        <v>45352</v>
      </c>
      <c r="B524" s="76">
        <v>33129</v>
      </c>
      <c r="C524" s="76">
        <v>0</v>
      </c>
      <c r="D524" s="76">
        <v>291.82651590846524</v>
      </c>
      <c r="E524" s="76">
        <v>-779</v>
      </c>
      <c r="F524" s="76">
        <v>27417</v>
      </c>
      <c r="G524" s="76">
        <v>3807</v>
      </c>
      <c r="H524" s="76">
        <v>3797.100396142323</v>
      </c>
      <c r="I524" s="76">
        <v>27189</v>
      </c>
      <c r="J524" s="76">
        <f t="shared" si="28"/>
        <v>170</v>
      </c>
      <c r="K524" s="76">
        <v>275509</v>
      </c>
      <c r="L524" s="103">
        <f t="shared" si="31"/>
        <v>-2.0882420882420871E-2</v>
      </c>
      <c r="M524" s="103">
        <f t="shared" si="29"/>
        <v>9.9513990468550931E-2</v>
      </c>
      <c r="N524" s="103">
        <f t="shared" si="30"/>
        <v>0.99168399168399168</v>
      </c>
      <c r="O524" s="76">
        <f t="shared" si="27"/>
        <v>137061.03599999999</v>
      </c>
      <c r="P524" s="69"/>
      <c r="Q524" s="69"/>
      <c r="R524" s="69"/>
      <c r="S524" s="69"/>
      <c r="T524" s="69"/>
      <c r="U524" s="69"/>
      <c r="V524" s="69"/>
      <c r="W524" s="76">
        <f t="shared" si="37"/>
        <v>1068.6774193548388</v>
      </c>
      <c r="X524" s="69"/>
      <c r="Y524" s="76">
        <f t="shared" si="38"/>
        <v>15709.558064516132</v>
      </c>
      <c r="Z524" s="69"/>
      <c r="AA524" s="76"/>
      <c r="AB524" s="94"/>
      <c r="AC524" s="69"/>
      <c r="AD524" s="69"/>
      <c r="AE524" s="69"/>
      <c r="AF524" s="76"/>
      <c r="AG524" s="69"/>
      <c r="AH524" s="69"/>
      <c r="AI524" s="69"/>
      <c r="AJ524" s="76"/>
      <c r="AK524" s="69"/>
    </row>
    <row r="525" spans="1:37" s="140" customFormat="1" ht="12">
      <c r="A525" s="139">
        <v>45383</v>
      </c>
      <c r="B525" s="76">
        <v>29466</v>
      </c>
      <c r="C525" s="76">
        <v>0</v>
      </c>
      <c r="D525" s="76">
        <v>257.74497062985608</v>
      </c>
      <c r="E525" s="76">
        <v>1277</v>
      </c>
      <c r="F525" s="76">
        <v>27208</v>
      </c>
      <c r="G525" s="76">
        <v>5108</v>
      </c>
      <c r="H525" s="76">
        <v>5103.9347833711299</v>
      </c>
      <c r="I525" s="76">
        <v>25516</v>
      </c>
      <c r="J525" s="76">
        <f t="shared" si="28"/>
        <v>100</v>
      </c>
      <c r="K525" s="76">
        <v>264935</v>
      </c>
      <c r="L525" s="103">
        <f t="shared" si="31"/>
        <v>-1.2622893389286016E-2</v>
      </c>
      <c r="M525" s="103">
        <f t="shared" si="29"/>
        <v>0.10269688791590389</v>
      </c>
      <c r="N525" s="103">
        <f t="shared" si="30"/>
        <v>0.93781240811526023</v>
      </c>
      <c r="O525" s="76">
        <f t="shared" si="27"/>
        <v>136918.78200000001</v>
      </c>
      <c r="P525" s="69"/>
      <c r="Q525" s="69"/>
      <c r="R525" s="69"/>
      <c r="S525" s="69"/>
      <c r="T525" s="69"/>
      <c r="U525" s="69"/>
      <c r="V525" s="69"/>
      <c r="W525" s="76">
        <f t="shared" si="37"/>
        <v>982.2</v>
      </c>
      <c r="X525" s="69"/>
      <c r="Y525" s="76">
        <f t="shared" si="38"/>
        <v>14438.34</v>
      </c>
      <c r="Z525" s="69"/>
      <c r="AA525" s="76"/>
      <c r="AB525" s="94"/>
      <c r="AC525" s="69"/>
      <c r="AD525" s="69"/>
      <c r="AE525" s="69"/>
      <c r="AF525" s="76"/>
      <c r="AG525" s="69"/>
      <c r="AH525" s="69"/>
      <c r="AI525" s="69"/>
      <c r="AJ525" s="76"/>
      <c r="AK525" s="69"/>
    </row>
    <row r="526" spans="1:37" s="140" customFormat="1" ht="12">
      <c r="A526" s="139">
        <v>45413</v>
      </c>
      <c r="B526" s="76">
        <v>31783</v>
      </c>
      <c r="C526" s="76">
        <v>0</v>
      </c>
      <c r="D526" s="76">
        <v>276.58541841806436</v>
      </c>
      <c r="E526" s="76">
        <v>-2024</v>
      </c>
      <c r="F526" s="76">
        <v>28821</v>
      </c>
      <c r="G526" s="76">
        <v>3685</v>
      </c>
      <c r="H526" s="76">
        <v>3679.5387070655652</v>
      </c>
      <c r="I526" s="76">
        <v>22679</v>
      </c>
      <c r="J526" s="76">
        <f t="shared" si="28"/>
        <v>90</v>
      </c>
      <c r="K526" s="76">
        <v>291276</v>
      </c>
      <c r="L526" s="103">
        <f t="shared" si="31"/>
        <v>3.481646747857714E-2</v>
      </c>
      <c r="M526" s="103">
        <f t="shared" si="29"/>
        <v>9.8947390104231037E-2</v>
      </c>
      <c r="N526" s="103">
        <f t="shared" si="30"/>
        <v>0.78689150272370845</v>
      </c>
      <c r="O526" s="76">
        <f t="shared" si="27"/>
        <v>137330.38200000001</v>
      </c>
      <c r="P526" s="69"/>
      <c r="Q526" s="69"/>
      <c r="R526" s="69"/>
      <c r="S526" s="69"/>
      <c r="T526" s="69"/>
      <c r="U526" s="69"/>
      <c r="V526" s="69"/>
      <c r="W526" s="76">
        <f t="shared" si="37"/>
        <v>1025.258064516129</v>
      </c>
      <c r="X526" s="69"/>
      <c r="Y526" s="76">
        <f t="shared" si="38"/>
        <v>15071.293548387097</v>
      </c>
      <c r="Z526" s="69"/>
      <c r="AA526" s="76"/>
      <c r="AB526" s="94"/>
      <c r="AC526" s="69"/>
      <c r="AD526" s="69"/>
      <c r="AE526" s="69"/>
      <c r="AF526" s="76"/>
      <c r="AG526" s="69"/>
      <c r="AH526" s="69"/>
      <c r="AI526" s="69"/>
      <c r="AJ526" s="76"/>
      <c r="AK526" s="69"/>
    </row>
    <row r="527" spans="1:37" s="140" customFormat="1" ht="12">
      <c r="A527" s="139">
        <v>45444</v>
      </c>
      <c r="B527" s="76">
        <v>31304</v>
      </c>
      <c r="C527" s="76">
        <v>0</v>
      </c>
      <c r="D527" s="76">
        <v>262.71306544074741</v>
      </c>
      <c r="E527" s="76">
        <v>-239</v>
      </c>
      <c r="F527" s="76">
        <v>27480</v>
      </c>
      <c r="G527" s="76">
        <v>3481</v>
      </c>
      <c r="H527" s="76">
        <v>3476.6543685777579</v>
      </c>
      <c r="I527" s="76">
        <v>22612</v>
      </c>
      <c r="J527" s="76">
        <f t="shared" si="28"/>
        <v>171</v>
      </c>
      <c r="K527" s="76">
        <v>273595</v>
      </c>
      <c r="L527" s="103">
        <f t="shared" si="31"/>
        <v>-2.6255285224150438E-2</v>
      </c>
      <c r="M527" s="103">
        <f t="shared" si="29"/>
        <v>0.10044043202543906</v>
      </c>
      <c r="N527" s="103">
        <f t="shared" si="30"/>
        <v>0.82285298398835516</v>
      </c>
      <c r="O527" s="76">
        <f t="shared" si="27"/>
        <v>137020.54800000001</v>
      </c>
      <c r="P527" s="69"/>
      <c r="Q527" s="69"/>
      <c r="R527" s="69"/>
      <c r="S527" s="69"/>
      <c r="T527" s="69"/>
      <c r="U527" s="69"/>
      <c r="V527" s="69"/>
      <c r="W527" s="76">
        <f t="shared" si="37"/>
        <v>1043.4666666666667</v>
      </c>
      <c r="X527" s="69"/>
      <c r="Y527" s="76">
        <f t="shared" si="38"/>
        <v>15338.960000000003</v>
      </c>
      <c r="Z527" s="69"/>
      <c r="AA527" s="76"/>
      <c r="AB527" s="94"/>
      <c r="AC527" s="69"/>
      <c r="AD527" s="69"/>
      <c r="AE527" s="69"/>
      <c r="AF527" s="76"/>
      <c r="AG527" s="69"/>
      <c r="AH527" s="69"/>
      <c r="AI527" s="69"/>
      <c r="AJ527" s="76"/>
      <c r="AK527" s="69"/>
    </row>
    <row r="528" spans="1:37" s="140" customFormat="1" ht="12">
      <c r="A528" s="139">
        <v>45474</v>
      </c>
      <c r="B528" s="76">
        <v>33810</v>
      </c>
      <c r="C528" s="76">
        <v>0</v>
      </c>
      <c r="D528" s="76">
        <v>259.22600712821702</v>
      </c>
      <c r="E528" s="76">
        <v>-1520</v>
      </c>
      <c r="F528" s="76">
        <v>28319</v>
      </c>
      <c r="G528" s="76">
        <v>3247</v>
      </c>
      <c r="H528" s="76">
        <v>3242.0170229441715</v>
      </c>
      <c r="I528" s="76">
        <v>23349</v>
      </c>
      <c r="J528" s="76">
        <f t="shared" si="28"/>
        <v>-13</v>
      </c>
      <c r="K528" s="76">
        <v>288203</v>
      </c>
      <c r="L528" s="103">
        <f t="shared" si="31"/>
        <v>3.5401600149452594E-2</v>
      </c>
      <c r="M528" s="103">
        <f t="shared" si="29"/>
        <v>9.8260601034687353E-2</v>
      </c>
      <c r="N528" s="103">
        <f t="shared" si="30"/>
        <v>0.82449945266428903</v>
      </c>
      <c r="O528" s="76">
        <f t="shared" si="27"/>
        <v>137434.416</v>
      </c>
      <c r="P528" s="69"/>
      <c r="Q528" s="69"/>
      <c r="R528" s="69"/>
      <c r="S528" s="69"/>
      <c r="T528" s="69"/>
      <c r="U528" s="69"/>
      <c r="V528" s="69"/>
      <c r="W528" s="76">
        <f t="shared" si="37"/>
        <v>1090.6451612903227</v>
      </c>
      <c r="X528" s="69"/>
      <c r="Y528" s="76">
        <f t="shared" si="38"/>
        <v>16032.483870967742</v>
      </c>
      <c r="Z528" s="69"/>
      <c r="AA528" s="76"/>
      <c r="AB528" s="94"/>
      <c r="AC528" s="69"/>
      <c r="AD528" s="69"/>
      <c r="AE528" s="69"/>
      <c r="AF528" s="76"/>
      <c r="AG528" s="69"/>
      <c r="AH528" s="69"/>
      <c r="AI528" s="69"/>
      <c r="AJ528" s="76"/>
      <c r="AK528" s="69"/>
    </row>
    <row r="529" spans="1:37" s="140" customFormat="1" ht="12">
      <c r="A529" s="139">
        <v>45505</v>
      </c>
      <c r="B529" s="76">
        <v>33506</v>
      </c>
      <c r="C529" s="76">
        <v>0</v>
      </c>
      <c r="D529" s="76">
        <v>386.09877930881828</v>
      </c>
      <c r="E529" s="76">
        <v>-971</v>
      </c>
      <c r="F529" s="76">
        <v>28754</v>
      </c>
      <c r="G529" s="76">
        <v>3374</v>
      </c>
      <c r="H529" s="76">
        <v>3365.712465946337</v>
      </c>
      <c r="I529" s="76">
        <v>23797</v>
      </c>
      <c r="J529" s="76">
        <f t="shared" si="28"/>
        <v>-41</v>
      </c>
      <c r="K529" s="76">
        <v>286989</v>
      </c>
      <c r="L529" s="103">
        <f t="shared" si="31"/>
        <v>1.4306700770119196E-3</v>
      </c>
      <c r="M529" s="103">
        <f t="shared" si="29"/>
        <v>0.10019199342135064</v>
      </c>
      <c r="N529" s="103">
        <f t="shared" si="30"/>
        <v>0.82760659386520141</v>
      </c>
      <c r="O529" s="76">
        <f t="shared" si="27"/>
        <v>137451.636</v>
      </c>
      <c r="P529" s="69"/>
      <c r="Q529" s="69"/>
      <c r="R529" s="69"/>
      <c r="S529" s="69"/>
      <c r="T529" s="69"/>
      <c r="U529" s="69"/>
      <c r="V529" s="69"/>
      <c r="W529" s="76">
        <f t="shared" si="37"/>
        <v>1080.8387096774193</v>
      </c>
      <c r="X529" s="69"/>
      <c r="Y529" s="76">
        <f t="shared" si="38"/>
        <v>15888.329032258063</v>
      </c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</row>
    <row r="530" spans="1:37" s="140" customFormat="1" ht="12">
      <c r="A530" s="139">
        <v>45536</v>
      </c>
      <c r="B530" s="76">
        <v>31220</v>
      </c>
      <c r="C530" s="76">
        <v>0</v>
      </c>
      <c r="D530" s="76">
        <v>91.425130399091486</v>
      </c>
      <c r="E530" s="76">
        <v>-1179</v>
      </c>
      <c r="F530" s="76">
        <v>26782</v>
      </c>
      <c r="G530" s="76">
        <v>3543</v>
      </c>
      <c r="H530" s="76">
        <v>3538.5604437949337</v>
      </c>
      <c r="I530" s="76">
        <v>23474</v>
      </c>
      <c r="J530" s="76">
        <f t="shared" si="28"/>
        <v>39</v>
      </c>
      <c r="K530" s="76">
        <v>269811</v>
      </c>
      <c r="L530" s="103">
        <f t="shared" si="31"/>
        <v>1.7030226956610273E-2</v>
      </c>
      <c r="M530" s="103">
        <f t="shared" si="29"/>
        <v>9.9262076045824668E-2</v>
      </c>
      <c r="N530" s="103">
        <f t="shared" si="30"/>
        <v>0.8764842058098723</v>
      </c>
      <c r="O530" s="76">
        <f>SUM(K519:K530)*42/1000</f>
        <v>137641.39199999999</v>
      </c>
      <c r="P530" s="69"/>
      <c r="Q530" s="69"/>
      <c r="R530" s="69"/>
      <c r="S530" s="69"/>
      <c r="T530" s="69"/>
      <c r="U530" s="69"/>
      <c r="V530" s="69"/>
      <c r="W530" s="76">
        <f>B530/(A531-A530)</f>
        <v>1040.6666666666667</v>
      </c>
      <c r="X530" s="69"/>
      <c r="Y530" s="76">
        <f t="shared" si="38"/>
        <v>15297.800000000001</v>
      </c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</row>
    <row r="531" spans="1:37" s="140" customFormat="1" ht="12">
      <c r="A531" s="139">
        <v>45566</v>
      </c>
      <c r="B531" s="76">
        <v>32539</v>
      </c>
      <c r="C531" s="76">
        <v>0</v>
      </c>
      <c r="D531" s="76">
        <v>89.700747425718973</v>
      </c>
      <c r="E531" s="76">
        <v>-2062</v>
      </c>
      <c r="F531" s="76">
        <v>28603</v>
      </c>
      <c r="G531" s="76">
        <v>3553</v>
      </c>
      <c r="H531" s="76">
        <v>3417.027393583578</v>
      </c>
      <c r="I531" s="76">
        <v>22156</v>
      </c>
      <c r="J531" s="76">
        <f t="shared" si="28"/>
        <v>-361</v>
      </c>
      <c r="K531" s="76">
        <v>281113</v>
      </c>
      <c r="L531" s="103">
        <f t="shared" si="31"/>
        <v>-3.4810967936333981E-3</v>
      </c>
      <c r="M531" s="103">
        <f t="shared" si="29"/>
        <v>0.10174911868181123</v>
      </c>
      <c r="N531" s="103">
        <f t="shared" si="30"/>
        <v>0.7746040625109254</v>
      </c>
      <c r="O531" s="76">
        <f t="shared" ref="O531:O539" si="40">SUM(K520:K531)*42/1000</f>
        <v>137600.14799999999</v>
      </c>
      <c r="P531" s="69"/>
      <c r="Q531" s="69"/>
      <c r="R531" s="69"/>
      <c r="S531" s="69"/>
      <c r="T531" s="69"/>
      <c r="U531" s="69"/>
      <c r="V531" s="69"/>
      <c r="W531" s="76">
        <f t="shared" ref="W531:W539" si="41">B531/(A532-A531)</f>
        <v>1049.6451612903227</v>
      </c>
      <c r="X531" s="69"/>
      <c r="Y531" s="76">
        <f t="shared" si="38"/>
        <v>15429.783870967742</v>
      </c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</row>
    <row r="532" spans="1:37" s="140" customFormat="1" ht="12">
      <c r="A532" s="139">
        <v>45597</v>
      </c>
      <c r="B532" s="76">
        <v>33383</v>
      </c>
      <c r="C532" s="76">
        <v>0</v>
      </c>
      <c r="D532" s="76">
        <v>430.75974796075542</v>
      </c>
      <c r="E532" s="76">
        <v>-1550</v>
      </c>
      <c r="F532" s="76">
        <v>26626</v>
      </c>
      <c r="G532" s="76">
        <v>4472</v>
      </c>
      <c r="H532" s="76">
        <v>4467.013617640815</v>
      </c>
      <c r="I532" s="76">
        <v>23062</v>
      </c>
      <c r="J532" s="76">
        <f t="shared" si="28"/>
        <v>-171</v>
      </c>
      <c r="K532" s="76">
        <v>264243</v>
      </c>
      <c r="L532" s="103">
        <f t="shared" si="31"/>
        <v>-1.1418096111038389E-2</v>
      </c>
      <c r="M532" s="103">
        <f t="shared" si="29"/>
        <v>0.10076331255700245</v>
      </c>
      <c r="N532" s="103">
        <f t="shared" si="30"/>
        <v>0.86614587245549468</v>
      </c>
      <c r="O532" s="76">
        <f t="shared" si="40"/>
        <v>137471.96400000001</v>
      </c>
      <c r="P532" s="69"/>
      <c r="Q532" s="69"/>
      <c r="R532" s="69"/>
      <c r="S532" s="69"/>
      <c r="T532" s="69"/>
      <c r="U532" s="69"/>
      <c r="V532" s="69"/>
      <c r="W532" s="76">
        <f t="shared" si="41"/>
        <v>1112.7666666666667</v>
      </c>
      <c r="X532" s="69"/>
      <c r="Y532" s="76">
        <f t="shared" si="38"/>
        <v>16357.67</v>
      </c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</row>
    <row r="533" spans="1:37" s="140" customFormat="1" ht="12">
      <c r="A533" s="139">
        <v>45627</v>
      </c>
      <c r="B533" s="76">
        <v>34184</v>
      </c>
      <c r="C533" s="76">
        <v>0</v>
      </c>
      <c r="D533" s="76">
        <v>95.601923031539684</v>
      </c>
      <c r="E533" s="76">
        <v>-1046</v>
      </c>
      <c r="F533" s="76">
        <v>27326</v>
      </c>
      <c r="G533" s="76">
        <v>4635</v>
      </c>
      <c r="H533" s="76">
        <v>4629.8203660337549</v>
      </c>
      <c r="I533" s="76">
        <v>24358</v>
      </c>
      <c r="J533" s="76">
        <f t="shared" si="28"/>
        <v>-119</v>
      </c>
      <c r="K533" s="76">
        <v>272628</v>
      </c>
      <c r="L533" s="103">
        <f t="shared" si="31"/>
        <v>-1.6136603685013018E-4</v>
      </c>
      <c r="M533" s="103">
        <f t="shared" si="29"/>
        <v>0.10023181771498159</v>
      </c>
      <c r="N533" s="103">
        <f t="shared" si="30"/>
        <v>0.89138549366903319</v>
      </c>
      <c r="O533" s="76">
        <f t="shared" si="40"/>
        <v>137470.11600000001</v>
      </c>
      <c r="P533" s="69"/>
      <c r="Q533" s="69"/>
      <c r="R533" s="69"/>
      <c r="S533" s="69"/>
      <c r="T533" s="69"/>
      <c r="U533" s="69"/>
      <c r="V533" s="69"/>
      <c r="W533" s="76">
        <f t="shared" si="41"/>
        <v>1102.7096774193549</v>
      </c>
      <c r="X533" s="69"/>
      <c r="Y533" s="76">
        <f t="shared" si="38"/>
        <v>16209.832258064516</v>
      </c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</row>
    <row r="534" spans="1:37" s="140" customFormat="1" ht="12">
      <c r="A534" s="139">
        <v>45658</v>
      </c>
      <c r="B534" s="76">
        <v>33596</v>
      </c>
      <c r="C534" s="76">
        <v>0</v>
      </c>
      <c r="D534" s="76">
        <v>338.43077809533776</v>
      </c>
      <c r="E534" s="76">
        <v>-1721</v>
      </c>
      <c r="F534" s="76">
        <v>25734</v>
      </c>
      <c r="G534" s="76">
        <v>4724</v>
      </c>
      <c r="H534" s="76">
        <v>4719.2641118060601</v>
      </c>
      <c r="I534" s="76">
        <v>25744</v>
      </c>
      <c r="J534" s="76">
        <f t="shared" si="28"/>
        <v>31</v>
      </c>
      <c r="K534" s="76">
        <v>262966</v>
      </c>
      <c r="L534" s="103">
        <f t="shared" si="31"/>
        <v>2.975314056577183E-2</v>
      </c>
      <c r="M534" s="103">
        <f t="shared" si="29"/>
        <v>9.7860559920293883E-2</v>
      </c>
      <c r="N534" s="103">
        <f t="shared" si="30"/>
        <v>1.0003885909691459</v>
      </c>
      <c r="O534" s="76">
        <f t="shared" si="40"/>
        <v>137789.23199999999</v>
      </c>
      <c r="P534" s="69"/>
      <c r="Q534" s="69"/>
      <c r="R534" s="69"/>
      <c r="S534" s="69"/>
      <c r="T534" s="69"/>
      <c r="U534" s="69"/>
      <c r="V534" s="69"/>
      <c r="W534" s="76">
        <f t="shared" si="41"/>
        <v>1083.741935483871</v>
      </c>
      <c r="X534" s="69"/>
      <c r="Y534" s="76">
        <f t="shared" si="38"/>
        <v>15931.006451612902</v>
      </c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</row>
    <row r="535" spans="1:37" s="140" customFormat="1" ht="12">
      <c r="A535" s="139">
        <v>45689</v>
      </c>
      <c r="B535" s="76">
        <v>30354</v>
      </c>
      <c r="C535" s="76">
        <v>0</v>
      </c>
      <c r="D535" s="76"/>
      <c r="E535" s="76">
        <v>-1510</v>
      </c>
      <c r="F535" s="76">
        <v>23966</v>
      </c>
      <c r="G535" s="76">
        <v>3313</v>
      </c>
      <c r="H535" s="76"/>
      <c r="I535" s="76">
        <v>27339</v>
      </c>
      <c r="J535" s="76">
        <f t="shared" ref="J535:J539" si="42">I534+B535+C535+E535-F535-G535-I535</f>
        <v>-30</v>
      </c>
      <c r="K535" s="76">
        <v>243080</v>
      </c>
      <c r="L535" s="103">
        <f t="shared" ref="L535:L539" si="43">K535/K523-1</f>
        <v>-2.5450230126529472E-2</v>
      </c>
      <c r="M535" s="103">
        <f t="shared" ref="M535:M539" si="44">F535/K535</f>
        <v>9.8593055784104003E-2</v>
      </c>
      <c r="N535" s="103">
        <f t="shared" ref="N535:N539" si="45">I535/F535</f>
        <v>1.1407410498205792</v>
      </c>
      <c r="O535" s="76">
        <f t="shared" si="40"/>
        <v>137522.61600000001</v>
      </c>
      <c r="P535" s="69"/>
      <c r="Q535" s="69"/>
      <c r="R535" s="69"/>
      <c r="S535" s="69"/>
      <c r="T535" s="69"/>
      <c r="U535" s="69"/>
      <c r="V535" s="69"/>
      <c r="W535" s="76">
        <f t="shared" si="41"/>
        <v>1084.0714285714287</v>
      </c>
      <c r="X535" s="69"/>
      <c r="Y535" s="76">
        <f t="shared" si="38"/>
        <v>15935.850000000002</v>
      </c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</row>
    <row r="536" spans="1:37" s="140" customFormat="1" ht="12">
      <c r="A536" s="139">
        <v>45717</v>
      </c>
      <c r="B536" s="76">
        <v>32683</v>
      </c>
      <c r="C536" s="76">
        <v>0</v>
      </c>
      <c r="D536" s="76"/>
      <c r="E536" s="76">
        <v>-555</v>
      </c>
      <c r="F536" s="76">
        <v>27418</v>
      </c>
      <c r="G536" s="76">
        <v>4671</v>
      </c>
      <c r="H536" s="76"/>
      <c r="I536" s="76">
        <v>27378</v>
      </c>
      <c r="J536" s="76">
        <f t="shared" si="42"/>
        <v>0</v>
      </c>
      <c r="K536" s="76">
        <v>271701</v>
      </c>
      <c r="L536" s="103">
        <f t="shared" si="43"/>
        <v>-1.382169003553424E-2</v>
      </c>
      <c r="M536" s="103">
        <f t="shared" si="44"/>
        <v>0.10091240002797193</v>
      </c>
      <c r="N536" s="103">
        <f t="shared" si="45"/>
        <v>0.99854110438398136</v>
      </c>
      <c r="O536" s="76">
        <f t="shared" si="40"/>
        <v>137362.68</v>
      </c>
      <c r="P536" s="69"/>
      <c r="Q536" s="69"/>
      <c r="R536" s="69"/>
      <c r="S536" s="69"/>
      <c r="T536" s="69"/>
      <c r="U536" s="69"/>
      <c r="V536" s="69"/>
      <c r="W536" s="76">
        <f t="shared" si="41"/>
        <v>1054.2903225806451</v>
      </c>
      <c r="X536" s="69"/>
      <c r="Y536" s="76">
        <f t="shared" si="38"/>
        <v>15498.067741935483</v>
      </c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</row>
    <row r="537" spans="1:37" s="140" customFormat="1" ht="12">
      <c r="A537" s="139">
        <v>45748</v>
      </c>
      <c r="B537" s="76">
        <v>30649</v>
      </c>
      <c r="C537" s="76">
        <v>0</v>
      </c>
      <c r="D537" s="76"/>
      <c r="E537" s="76">
        <v>-1296</v>
      </c>
      <c r="F537" s="76">
        <v>27245</v>
      </c>
      <c r="G537" s="76">
        <v>5526</v>
      </c>
      <c r="H537" s="76"/>
      <c r="I537" s="76">
        <v>25376</v>
      </c>
      <c r="J537" s="76">
        <f t="shared" si="42"/>
        <v>-1416</v>
      </c>
      <c r="K537" s="76">
        <v>267294</v>
      </c>
      <c r="L537" s="103">
        <f t="shared" si="43"/>
        <v>8.9040708098213628E-3</v>
      </c>
      <c r="M537" s="103">
        <f t="shared" si="44"/>
        <v>0.10192896211662066</v>
      </c>
      <c r="N537" s="103">
        <f t="shared" si="45"/>
        <v>0.93140025692787665</v>
      </c>
      <c r="O537" s="76">
        <f t="shared" si="40"/>
        <v>137461.758</v>
      </c>
      <c r="P537" s="69"/>
      <c r="Q537" s="69"/>
      <c r="R537" s="69"/>
      <c r="S537" s="69"/>
      <c r="T537" s="69"/>
      <c r="U537" s="69"/>
      <c r="V537" s="69"/>
      <c r="W537" s="76">
        <f t="shared" si="41"/>
        <v>1021.6333333333333</v>
      </c>
      <c r="X537" s="69"/>
      <c r="Y537" s="76">
        <f t="shared" si="38"/>
        <v>15018.01</v>
      </c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</row>
    <row r="538" spans="1:37" s="140" customFormat="1" ht="12">
      <c r="A538" s="139">
        <v>45778</v>
      </c>
      <c r="B538" s="76">
        <v>32098</v>
      </c>
      <c r="C538" s="76">
        <v>0</v>
      </c>
      <c r="D538" s="76"/>
      <c r="E538" s="76">
        <v>277</v>
      </c>
      <c r="F538" s="76">
        <v>28633</v>
      </c>
      <c r="G538" s="76">
        <v>4410</v>
      </c>
      <c r="H538" s="76"/>
      <c r="I538" s="76">
        <v>24708</v>
      </c>
      <c r="J538" s="76">
        <f t="shared" si="42"/>
        <v>0</v>
      </c>
      <c r="K538" s="76">
        <v>280757</v>
      </c>
      <c r="L538" s="103">
        <f t="shared" si="43"/>
        <v>-3.6113514330051277E-2</v>
      </c>
      <c r="M538" s="103">
        <f t="shared" si="44"/>
        <v>0.10198499057904166</v>
      </c>
      <c r="N538" s="103">
        <f t="shared" si="45"/>
        <v>0.86292040652394086</v>
      </c>
      <c r="O538" s="76">
        <f t="shared" si="40"/>
        <v>137019.96</v>
      </c>
      <c r="P538" s="69"/>
      <c r="Q538" s="69"/>
      <c r="R538" s="69"/>
      <c r="S538" s="69"/>
      <c r="T538" s="69"/>
      <c r="U538" s="69"/>
      <c r="V538" s="69"/>
      <c r="W538" s="76">
        <f t="shared" si="41"/>
        <v>1035.4193548387098</v>
      </c>
      <c r="X538" s="69"/>
      <c r="Y538" s="76">
        <f t="shared" si="38"/>
        <v>15220.664516129034</v>
      </c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</row>
    <row r="539" spans="1:37" s="140" customFormat="1" ht="12">
      <c r="A539" s="139">
        <v>45809</v>
      </c>
      <c r="B539" s="76">
        <v>32317</v>
      </c>
      <c r="C539" s="76">
        <v>0</v>
      </c>
      <c r="D539" s="76"/>
      <c r="E539" s="76">
        <v>-1654</v>
      </c>
      <c r="F539" s="76">
        <v>27622</v>
      </c>
      <c r="G539" s="76">
        <v>4143</v>
      </c>
      <c r="H539" s="76"/>
      <c r="I539" s="76">
        <v>23605</v>
      </c>
      <c r="J539" s="76">
        <f t="shared" si="42"/>
        <v>1</v>
      </c>
      <c r="K539" s="76">
        <v>277848</v>
      </c>
      <c r="L539" s="103">
        <f t="shared" si="43"/>
        <v>1.5544874723587787E-2</v>
      </c>
      <c r="M539" s="103">
        <f t="shared" si="44"/>
        <v>9.9414068123578364E-2</v>
      </c>
      <c r="N539" s="103">
        <f t="shared" si="45"/>
        <v>0.85457244225617257</v>
      </c>
      <c r="O539" s="76">
        <f t="shared" si="40"/>
        <v>137198.58600000001</v>
      </c>
      <c r="P539" s="69"/>
      <c r="Q539" s="69"/>
      <c r="R539" s="69"/>
      <c r="S539" s="69"/>
      <c r="T539" s="69"/>
      <c r="U539" s="69"/>
      <c r="V539" s="69"/>
      <c r="W539" s="76">
        <f t="shared" si="41"/>
        <v>1077.2333333333333</v>
      </c>
      <c r="X539" s="69"/>
      <c r="Y539" s="76">
        <f t="shared" si="38"/>
        <v>15835.33</v>
      </c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</row>
    <row r="540" spans="1:37" s="140" customFormat="1" ht="12">
      <c r="A540" s="139">
        <v>45839</v>
      </c>
      <c r="B540" s="88">
        <f>SUM('Weekly Ethanol Production'!Q28/7*4,'Weekly Ethanol Production'!Q29:Q31,'Weekly Ethanol Production'!Q32/7*6)*31/4</f>
        <v>37258.678571428572</v>
      </c>
      <c r="C540" s="76"/>
      <c r="D540" s="76"/>
      <c r="E540" s="76"/>
      <c r="F540" s="76"/>
      <c r="G540" s="76"/>
      <c r="H540" s="76"/>
      <c r="I540" s="76"/>
      <c r="J540" s="76"/>
      <c r="K540" s="76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</row>
    <row r="541" spans="1:37" s="140" customFormat="1" ht="12">
      <c r="A541" s="139">
        <v>45870</v>
      </c>
      <c r="B541" s="88">
        <f>SUM('Weekly Ethanol Production'!Q32/7*1,'Weekly Ethanol Production'!Q33:Q36,'Weekly Ethanol Production'!Q37/7*2)*31/4</f>
        <v>37046.107142857138</v>
      </c>
      <c r="C541" s="76"/>
      <c r="D541" s="76"/>
      <c r="E541" s="76"/>
      <c r="F541" s="76"/>
      <c r="G541" s="76"/>
      <c r="H541" s="76"/>
      <c r="I541" s="76"/>
      <c r="J541" s="76"/>
      <c r="K541" s="76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</row>
    <row r="542" spans="1:37" ht="12" customHeight="1">
      <c r="A542" s="139">
        <v>45901</v>
      </c>
      <c r="B542" s="88">
        <f>SUM('Weekly Ethanol Production'!Q37/7*5,'Weekly Ethanol Production'!Q38:Q40,'Weekly Ethanol Production'!Q41/7*4)*30/4</f>
        <v>33564.642857142855</v>
      </c>
      <c r="C542" s="76"/>
      <c r="D542" s="76"/>
      <c r="E542" s="76"/>
      <c r="F542" s="76"/>
      <c r="G542" s="76"/>
      <c r="H542" s="76"/>
      <c r="I542" s="76"/>
      <c r="J542" s="76"/>
      <c r="K542" s="76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</row>
    <row r="543" spans="1:37" ht="12" customHeight="1">
      <c r="A543" s="139">
        <v>45931</v>
      </c>
      <c r="B543" s="88">
        <f>SUM('Weekly Ethanol Production'!Q41/7*3,'Weekly Ethanol Production'!Q42:Q45)*31/4</f>
        <v>37990.5</v>
      </c>
      <c r="C543" s="76"/>
      <c r="D543" s="76"/>
      <c r="E543" s="76"/>
      <c r="F543" s="76"/>
      <c r="G543" s="76"/>
      <c r="H543" s="76"/>
      <c r="I543" s="76"/>
      <c r="J543" s="76"/>
      <c r="K543" s="76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</row>
    <row r="544" spans="1:37" ht="12" customHeight="1">
      <c r="A544" s="139">
        <v>45962</v>
      </c>
      <c r="B544" s="88">
        <f>SUM('Weekly Ethanol Production'!Q46,'Weekly Ethanol Production'!Q47:Q49,'Weekly Ethanol Production'!Q50/7*2)*30/4</f>
        <v>36085.71428571429</v>
      </c>
      <c r="C544" s="76"/>
      <c r="D544" s="76"/>
      <c r="E544" s="76"/>
      <c r="F544" s="76"/>
      <c r="G544" s="76"/>
      <c r="H544" s="76"/>
      <c r="I544" s="76"/>
      <c r="J544" s="76"/>
      <c r="K544" s="76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</row>
    <row r="545" spans="1:37" ht="12" customHeight="1">
      <c r="A545" s="139">
        <v>45992</v>
      </c>
      <c r="B545" s="88">
        <f>SUM('Weekly Ethanol Production'!Q50/7*5,'Weekly Ethanol Production'!Q51:Q53,'Weekly Ethanol Production'!Q54/7*5)*31/4</f>
        <v>31942.178571428569</v>
      </c>
      <c r="C545" s="76"/>
      <c r="D545" s="76"/>
      <c r="E545" s="76"/>
      <c r="F545" s="76"/>
      <c r="G545" s="76"/>
      <c r="H545" s="76"/>
      <c r="I545" s="76"/>
      <c r="J545" s="76"/>
      <c r="K545" s="76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</row>
    <row r="546" spans="1:37" ht="12" customHeight="1">
      <c r="A546" s="69"/>
      <c r="B546" s="69"/>
      <c r="C546" s="69"/>
      <c r="D546" s="69"/>
      <c r="E546" s="76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</row>
    <row r="547" spans="1:37" ht="12" customHeight="1">
      <c r="A547" s="69"/>
      <c r="B547" s="69"/>
      <c r="C547" s="69"/>
      <c r="D547" s="69"/>
      <c r="E547" s="76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</row>
    <row r="548" spans="1:37" ht="12" customHeight="1">
      <c r="A548" s="69"/>
      <c r="B548" s="69"/>
      <c r="C548" s="69"/>
      <c r="D548" s="69"/>
      <c r="E548" s="76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</row>
    <row r="549" spans="1:37" ht="12" customHeight="1">
      <c r="A549" s="69"/>
      <c r="B549" s="69"/>
      <c r="C549" s="69"/>
      <c r="D549" s="69"/>
      <c r="E549" s="76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</row>
    <row r="550" spans="1:37" ht="12" customHeight="1">
      <c r="A550" s="69"/>
      <c r="B550" s="69"/>
      <c r="C550" s="69"/>
      <c r="D550" s="69"/>
      <c r="E550" s="76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</row>
    <row r="551" spans="1:37" ht="12" customHeight="1"/>
    <row r="552" spans="1:37" ht="12" customHeight="1"/>
    <row r="553" spans="1:37" ht="12" customHeight="1"/>
    <row r="554" spans="1:37" ht="12" customHeight="1"/>
    <row r="555" spans="1:37" ht="12" customHeight="1"/>
    <row r="556" spans="1:37" ht="12" customHeight="1"/>
    <row r="557" spans="1:37" ht="12" customHeight="1"/>
  </sheetData>
  <hyperlinks>
    <hyperlink ref="A3" r:id="rId1" xr:uid="{26653FA4-6FFF-4B5F-84F0-A572AD97E2B7}"/>
    <hyperlink ref="K4" r:id="rId2" display="Finished Gasoline" xr:uid="{2BA9F0AA-61FB-419C-B583-8D5D780751A1}"/>
    <hyperlink ref="I4" r:id="rId3" xr:uid="{9A7DD336-A730-44E7-8734-DFEDCFD5039E}"/>
    <hyperlink ref="F4" r:id="rId4" xr:uid="{D2950D03-4E35-4E9A-B432-4B86819A75F9}"/>
    <hyperlink ref="E4" r:id="rId5" location="'Data 1'!A1" xr:uid="{37F6D56B-575D-4931-AA3F-72D2D8D30C5A}"/>
    <hyperlink ref="C4" r:id="rId6" location="'Data 1'!A1" xr:uid="{9BA9C81E-C44E-4155-A2A4-C3D631E22437}"/>
    <hyperlink ref="B4" r:id="rId7" xr:uid="{CF214AF4-3951-4F50-81F5-E62BD06C7B7C}"/>
    <hyperlink ref="G4" r:id="rId8" xr:uid="{A14F8735-C0DF-4AB3-BB70-2AF5DC689AD3}"/>
  </hyperlinks>
  <pageMargins left="0.7" right="0.7" top="0.75" bottom="0.75" header="0.3" footer="0.3"/>
  <pageSetup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8E40-AB17-4F75-802B-CFC8CF059217}">
  <dimension ref="A1:AH81"/>
  <sheetViews>
    <sheetView zoomScale="145" zoomScaleNormal="145" workbookViewId="0">
      <pane xSplit="1" ySplit="1" topLeftCell="I35" activePane="bottomRight" state="frozen"/>
      <selection activeCell="J39" sqref="J39"/>
      <selection pane="topRight" activeCell="J39" sqref="J39"/>
      <selection pane="bottomLeft" activeCell="J39" sqref="J39"/>
      <selection pane="bottomRight" activeCell="Q43" sqref="Q43"/>
    </sheetView>
  </sheetViews>
  <sheetFormatPr defaultColWidth="9.140625" defaultRowHeight="12.75"/>
  <cols>
    <col min="1" max="1" width="10.7109375" style="143" bestFit="1" customWidth="1"/>
    <col min="2" max="16" width="9.28515625" style="143" bestFit="1" customWidth="1"/>
    <col min="17" max="17" width="9.28515625" style="143" customWidth="1"/>
    <col min="18" max="18" width="9.28515625" style="143" bestFit="1" customWidth="1"/>
    <col min="19" max="19" width="10.7109375" style="143" bestFit="1" customWidth="1"/>
    <col min="20" max="20" width="8.85546875" style="143" bestFit="1" customWidth="1"/>
    <col min="21" max="34" width="9.28515625" style="143" bestFit="1" customWidth="1"/>
    <col min="35" max="16384" width="9.140625" style="143"/>
  </cols>
  <sheetData>
    <row r="1" spans="1:34">
      <c r="A1" s="142" t="s">
        <v>124</v>
      </c>
      <c r="B1" s="143">
        <v>2010</v>
      </c>
      <c r="C1" s="143">
        <v>2011</v>
      </c>
      <c r="D1" s="143">
        <v>2012</v>
      </c>
      <c r="E1" s="143">
        <v>2013</v>
      </c>
      <c r="F1" s="143">
        <v>2014</v>
      </c>
      <c r="G1" s="143">
        <v>2015</v>
      </c>
      <c r="H1" s="143">
        <v>2016</v>
      </c>
      <c r="I1" s="143">
        <v>2017</v>
      </c>
      <c r="J1" s="143">
        <v>2018</v>
      </c>
      <c r="K1" s="143">
        <v>2019</v>
      </c>
      <c r="L1" s="143">
        <v>2020</v>
      </c>
      <c r="M1" s="143">
        <v>2021</v>
      </c>
      <c r="N1" s="143">
        <v>2022</v>
      </c>
      <c r="O1" s="143">
        <v>2023</v>
      </c>
      <c r="P1" s="143">
        <v>2024</v>
      </c>
      <c r="Q1" s="143">
        <v>2025</v>
      </c>
      <c r="R1" s="143" t="s">
        <v>237</v>
      </c>
      <c r="T1" s="143">
        <v>2010</v>
      </c>
      <c r="U1" s="143">
        <v>2011</v>
      </c>
      <c r="V1" s="143">
        <v>2012</v>
      </c>
      <c r="W1" s="143">
        <v>2013</v>
      </c>
      <c r="X1" s="143">
        <v>2014</v>
      </c>
      <c r="Y1" s="143">
        <v>2015</v>
      </c>
      <c r="Z1" s="143">
        <v>2016</v>
      </c>
      <c r="AA1" s="143">
        <v>2017</v>
      </c>
      <c r="AB1" s="143">
        <v>2018</v>
      </c>
      <c r="AC1" s="143">
        <v>2019</v>
      </c>
      <c r="AD1" s="143">
        <v>2020</v>
      </c>
      <c r="AE1" s="143">
        <v>2021</v>
      </c>
      <c r="AF1" s="143">
        <v>2022</v>
      </c>
      <c r="AG1" s="143">
        <v>2023</v>
      </c>
      <c r="AH1" s="143">
        <v>2024</v>
      </c>
    </row>
    <row r="2" spans="1:34" s="146" customFormat="1" ht="12">
      <c r="A2" s="144">
        <v>45660</v>
      </c>
      <c r="B2" s="145"/>
      <c r="C2" s="145">
        <v>888</v>
      </c>
      <c r="D2" s="145">
        <v>944</v>
      </c>
      <c r="E2" s="145">
        <v>826</v>
      </c>
      <c r="F2" s="145">
        <v>919</v>
      </c>
      <c r="G2" s="145">
        <v>949</v>
      </c>
      <c r="H2" s="145">
        <v>996</v>
      </c>
      <c r="I2" s="145">
        <v>1049</v>
      </c>
      <c r="J2" s="145">
        <v>996</v>
      </c>
      <c r="K2" s="145">
        <v>1000</v>
      </c>
      <c r="L2" s="145">
        <v>1062</v>
      </c>
      <c r="M2" s="145">
        <v>935</v>
      </c>
      <c r="N2" s="145">
        <v>1006</v>
      </c>
      <c r="O2" s="145">
        <v>943</v>
      </c>
      <c r="P2" s="145">
        <v>1062</v>
      </c>
      <c r="Q2" s="145">
        <v>1102</v>
      </c>
      <c r="S2" s="144">
        <f>A2</f>
        <v>45660</v>
      </c>
      <c r="T2" s="145"/>
      <c r="U2" s="145">
        <f t="shared" ref="U2:AH20" si="0">C2*42*7/1000</f>
        <v>261.072</v>
      </c>
      <c r="V2" s="145">
        <f t="shared" si="0"/>
        <v>277.536</v>
      </c>
      <c r="W2" s="145">
        <f t="shared" si="0"/>
        <v>242.84399999999999</v>
      </c>
      <c r="X2" s="145">
        <f t="shared" si="0"/>
        <v>270.18599999999998</v>
      </c>
      <c r="Y2" s="145">
        <f t="shared" si="0"/>
        <v>279.00599999999997</v>
      </c>
      <c r="Z2" s="145">
        <f t="shared" si="0"/>
        <v>292.82400000000001</v>
      </c>
      <c r="AA2" s="145">
        <f t="shared" si="0"/>
        <v>308.40600000000001</v>
      </c>
      <c r="AB2" s="145">
        <f t="shared" si="0"/>
        <v>292.82400000000001</v>
      </c>
      <c r="AC2" s="145">
        <f t="shared" si="0"/>
        <v>294</v>
      </c>
      <c r="AD2" s="145">
        <f t="shared" si="0"/>
        <v>312.22800000000001</v>
      </c>
      <c r="AE2" s="145">
        <f t="shared" si="0"/>
        <v>274.89</v>
      </c>
      <c r="AF2" s="145">
        <f t="shared" si="0"/>
        <v>295.76400000000001</v>
      </c>
      <c r="AG2" s="145">
        <f t="shared" si="0"/>
        <v>277.24200000000002</v>
      </c>
      <c r="AH2" s="145">
        <f t="shared" si="0"/>
        <v>312.22800000000001</v>
      </c>
    </row>
    <row r="3" spans="1:34" s="146" customFormat="1" ht="12">
      <c r="A3" s="144">
        <f>A2+7</f>
        <v>45667</v>
      </c>
      <c r="B3" s="145"/>
      <c r="C3" s="145">
        <v>913</v>
      </c>
      <c r="D3" s="145">
        <v>941</v>
      </c>
      <c r="E3" s="145">
        <v>784</v>
      </c>
      <c r="F3" s="145">
        <v>868</v>
      </c>
      <c r="G3" s="145">
        <v>978</v>
      </c>
      <c r="H3" s="145">
        <v>1003</v>
      </c>
      <c r="I3" s="145">
        <v>1054</v>
      </c>
      <c r="J3" s="145">
        <v>1061</v>
      </c>
      <c r="K3" s="145">
        <v>1051</v>
      </c>
      <c r="L3" s="145">
        <v>1095</v>
      </c>
      <c r="M3" s="145">
        <v>941</v>
      </c>
      <c r="N3" s="145">
        <v>1053</v>
      </c>
      <c r="O3" s="145">
        <v>1008</v>
      </c>
      <c r="P3" s="145">
        <v>1054</v>
      </c>
      <c r="Q3" s="145">
        <v>1095</v>
      </c>
      <c r="R3" s="147">
        <f>(SUM(L2:P2)-SUM(L3:P3))/5</f>
        <v>-28.6</v>
      </c>
      <c r="S3" s="144">
        <f t="shared" ref="S3:S55" si="1">A3</f>
        <v>45667</v>
      </c>
      <c r="T3" s="145"/>
      <c r="U3" s="145">
        <f t="shared" si="0"/>
        <v>268.42200000000003</v>
      </c>
      <c r="V3" s="145">
        <f t="shared" si="0"/>
        <v>276.654</v>
      </c>
      <c r="W3" s="145">
        <f t="shared" si="0"/>
        <v>230.49600000000001</v>
      </c>
      <c r="X3" s="145">
        <f t="shared" si="0"/>
        <v>255.19200000000001</v>
      </c>
      <c r="Y3" s="145">
        <f t="shared" si="0"/>
        <v>287.53199999999998</v>
      </c>
      <c r="Z3" s="145">
        <f t="shared" si="0"/>
        <v>294.88200000000001</v>
      </c>
      <c r="AA3" s="145">
        <f t="shared" si="0"/>
        <v>309.87599999999998</v>
      </c>
      <c r="AB3" s="145">
        <f t="shared" si="0"/>
        <v>311.93400000000003</v>
      </c>
      <c r="AC3" s="145">
        <f t="shared" si="0"/>
        <v>308.99400000000003</v>
      </c>
      <c r="AD3" s="145">
        <f t="shared" si="0"/>
        <v>321.93</v>
      </c>
      <c r="AE3" s="145">
        <f t="shared" si="0"/>
        <v>276.654</v>
      </c>
      <c r="AF3" s="145">
        <f t="shared" si="0"/>
        <v>309.58199999999999</v>
      </c>
      <c r="AG3" s="145">
        <f t="shared" si="0"/>
        <v>296.35199999999998</v>
      </c>
      <c r="AH3" s="145">
        <f t="shared" si="0"/>
        <v>309.87599999999998</v>
      </c>
    </row>
    <row r="4" spans="1:34" s="146" customFormat="1" ht="12">
      <c r="A4" s="144">
        <f t="shared" ref="A4:A53" si="2">A3+7</f>
        <v>45674</v>
      </c>
      <c r="B4" s="145"/>
      <c r="C4" s="145">
        <v>922</v>
      </c>
      <c r="D4" s="145">
        <v>934</v>
      </c>
      <c r="E4" s="145">
        <v>792</v>
      </c>
      <c r="F4" s="145">
        <v>905</v>
      </c>
      <c r="G4" s="145">
        <v>979</v>
      </c>
      <c r="H4" s="145">
        <v>983</v>
      </c>
      <c r="I4" s="145">
        <v>1051</v>
      </c>
      <c r="J4" s="145">
        <v>1062</v>
      </c>
      <c r="K4" s="145">
        <v>1031</v>
      </c>
      <c r="L4" s="145">
        <v>1049</v>
      </c>
      <c r="M4" s="145">
        <v>945</v>
      </c>
      <c r="N4" s="145">
        <v>1035</v>
      </c>
      <c r="O4" s="145">
        <v>1012</v>
      </c>
      <c r="P4" s="145">
        <v>818</v>
      </c>
      <c r="Q4" s="145">
        <v>1099</v>
      </c>
      <c r="R4" s="147">
        <f t="shared" ref="R4:R53" si="3">(SUM(L3:P3)-SUM(L4:P4))/5</f>
        <v>58.4</v>
      </c>
      <c r="S4" s="144">
        <f t="shared" si="1"/>
        <v>45674</v>
      </c>
      <c r="T4" s="145"/>
      <c r="U4" s="145">
        <f t="shared" si="0"/>
        <v>271.06799999999998</v>
      </c>
      <c r="V4" s="145">
        <f t="shared" si="0"/>
        <v>274.596</v>
      </c>
      <c r="W4" s="145">
        <f t="shared" si="0"/>
        <v>232.84800000000001</v>
      </c>
      <c r="X4" s="145">
        <f t="shared" si="0"/>
        <v>266.07</v>
      </c>
      <c r="Y4" s="145">
        <f t="shared" si="0"/>
        <v>287.82600000000002</v>
      </c>
      <c r="Z4" s="145">
        <f t="shared" si="0"/>
        <v>289.00200000000001</v>
      </c>
      <c r="AA4" s="145">
        <f t="shared" si="0"/>
        <v>308.99400000000003</v>
      </c>
      <c r="AB4" s="145">
        <f t="shared" si="0"/>
        <v>312.22800000000001</v>
      </c>
      <c r="AC4" s="145">
        <f t="shared" si="0"/>
        <v>303.11399999999998</v>
      </c>
      <c r="AD4" s="145">
        <f t="shared" si="0"/>
        <v>308.40600000000001</v>
      </c>
      <c r="AE4" s="145">
        <f t="shared" si="0"/>
        <v>277.83</v>
      </c>
      <c r="AF4" s="145">
        <f t="shared" si="0"/>
        <v>304.29000000000002</v>
      </c>
      <c r="AG4" s="145">
        <f t="shared" si="0"/>
        <v>297.52800000000002</v>
      </c>
      <c r="AH4" s="145">
        <f t="shared" si="0"/>
        <v>240.49199999999999</v>
      </c>
    </row>
    <row r="5" spans="1:34" s="146" customFormat="1" ht="12">
      <c r="A5" s="144">
        <f t="shared" si="2"/>
        <v>45681</v>
      </c>
      <c r="B5" s="145"/>
      <c r="C5" s="145">
        <v>908</v>
      </c>
      <c r="D5" s="145">
        <v>939</v>
      </c>
      <c r="E5" s="145">
        <v>770</v>
      </c>
      <c r="F5" s="145">
        <v>900</v>
      </c>
      <c r="G5" s="145">
        <v>978</v>
      </c>
      <c r="H5" s="145">
        <v>961</v>
      </c>
      <c r="I5" s="145">
        <v>1061</v>
      </c>
      <c r="J5" s="145">
        <v>1040</v>
      </c>
      <c r="K5" s="145">
        <v>1012</v>
      </c>
      <c r="L5" s="145">
        <v>1029</v>
      </c>
      <c r="M5" s="145">
        <v>933</v>
      </c>
      <c r="N5" s="145">
        <v>1041</v>
      </c>
      <c r="O5" s="145">
        <v>1028</v>
      </c>
      <c r="P5" s="145">
        <v>991</v>
      </c>
      <c r="Q5" s="145">
        <v>1015</v>
      </c>
      <c r="R5" s="147">
        <f t="shared" si="3"/>
        <v>-32.6</v>
      </c>
      <c r="S5" s="144">
        <f t="shared" si="1"/>
        <v>45681</v>
      </c>
      <c r="T5" s="145"/>
      <c r="U5" s="145">
        <f t="shared" si="0"/>
        <v>266.952</v>
      </c>
      <c r="V5" s="145">
        <f t="shared" si="0"/>
        <v>276.06599999999997</v>
      </c>
      <c r="W5" s="145">
        <f t="shared" si="0"/>
        <v>226.38</v>
      </c>
      <c r="X5" s="145">
        <f t="shared" si="0"/>
        <v>264.60000000000002</v>
      </c>
      <c r="Y5" s="145">
        <f t="shared" si="0"/>
        <v>287.53199999999998</v>
      </c>
      <c r="Z5" s="145">
        <f t="shared" si="0"/>
        <v>282.53399999999999</v>
      </c>
      <c r="AA5" s="145">
        <f t="shared" si="0"/>
        <v>311.93400000000003</v>
      </c>
      <c r="AB5" s="145">
        <f t="shared" si="0"/>
        <v>305.76</v>
      </c>
      <c r="AC5" s="145">
        <f t="shared" si="0"/>
        <v>297.52800000000002</v>
      </c>
      <c r="AD5" s="145">
        <f t="shared" si="0"/>
        <v>302.52600000000001</v>
      </c>
      <c r="AE5" s="145">
        <f t="shared" si="0"/>
        <v>274.30200000000002</v>
      </c>
      <c r="AF5" s="145">
        <f t="shared" si="0"/>
        <v>306.05399999999997</v>
      </c>
      <c r="AG5" s="145">
        <f t="shared" si="0"/>
        <v>302.23200000000003</v>
      </c>
      <c r="AH5" s="145">
        <f t="shared" si="0"/>
        <v>291.35399999999998</v>
      </c>
    </row>
    <row r="6" spans="1:34" s="146" customFormat="1" ht="12">
      <c r="A6" s="144">
        <f t="shared" si="2"/>
        <v>45688</v>
      </c>
      <c r="B6" s="145"/>
      <c r="C6" s="145">
        <v>900</v>
      </c>
      <c r="D6" s="145">
        <v>923</v>
      </c>
      <c r="E6" s="145">
        <v>774</v>
      </c>
      <c r="F6" s="145">
        <v>895</v>
      </c>
      <c r="G6" s="145">
        <v>948</v>
      </c>
      <c r="H6" s="145">
        <v>959</v>
      </c>
      <c r="I6" s="145">
        <v>1055</v>
      </c>
      <c r="J6" s="145">
        <v>1057</v>
      </c>
      <c r="K6" s="145">
        <v>967</v>
      </c>
      <c r="L6" s="145">
        <v>1081</v>
      </c>
      <c r="M6" s="145">
        <v>936</v>
      </c>
      <c r="N6" s="145">
        <v>994</v>
      </c>
      <c r="O6" s="145">
        <v>1000</v>
      </c>
      <c r="P6" s="145">
        <v>1033</v>
      </c>
      <c r="Q6" s="145">
        <v>1112</v>
      </c>
      <c r="R6" s="147">
        <f t="shared" si="3"/>
        <v>-4.4000000000000004</v>
      </c>
      <c r="S6" s="144">
        <f t="shared" si="1"/>
        <v>45688</v>
      </c>
      <c r="T6" s="145"/>
      <c r="U6" s="145">
        <f t="shared" si="0"/>
        <v>264.60000000000002</v>
      </c>
      <c r="V6" s="145">
        <f t="shared" si="0"/>
        <v>271.36200000000002</v>
      </c>
      <c r="W6" s="145">
        <f t="shared" si="0"/>
        <v>227.55600000000001</v>
      </c>
      <c r="X6" s="145">
        <f t="shared" si="0"/>
        <v>263.13</v>
      </c>
      <c r="Y6" s="145">
        <f t="shared" si="0"/>
        <v>278.71199999999999</v>
      </c>
      <c r="Z6" s="145">
        <f t="shared" si="0"/>
        <v>281.94600000000003</v>
      </c>
      <c r="AA6" s="145">
        <f t="shared" si="0"/>
        <v>310.17</v>
      </c>
      <c r="AB6" s="145">
        <f t="shared" si="0"/>
        <v>310.75799999999998</v>
      </c>
      <c r="AC6" s="145">
        <f t="shared" si="0"/>
        <v>284.298</v>
      </c>
      <c r="AD6" s="145">
        <f t="shared" si="0"/>
        <v>317.81400000000002</v>
      </c>
      <c r="AE6" s="145">
        <f t="shared" si="0"/>
        <v>275.18400000000003</v>
      </c>
      <c r="AF6" s="145">
        <f t="shared" si="0"/>
        <v>292.23599999999999</v>
      </c>
      <c r="AG6" s="145">
        <f t="shared" si="0"/>
        <v>294</v>
      </c>
      <c r="AH6" s="145">
        <f t="shared" si="0"/>
        <v>303.702</v>
      </c>
    </row>
    <row r="7" spans="1:34" s="146" customFormat="1" ht="12">
      <c r="A7" s="144">
        <f t="shared" si="2"/>
        <v>45695</v>
      </c>
      <c r="B7" s="145"/>
      <c r="C7" s="145">
        <v>893</v>
      </c>
      <c r="D7" s="145">
        <v>928</v>
      </c>
      <c r="E7" s="145">
        <v>789</v>
      </c>
      <c r="F7" s="145">
        <v>902</v>
      </c>
      <c r="G7" s="145">
        <v>961</v>
      </c>
      <c r="H7" s="145">
        <v>969</v>
      </c>
      <c r="I7" s="145">
        <v>1040</v>
      </c>
      <c r="J7" s="145">
        <v>1016</v>
      </c>
      <c r="K7" s="145">
        <v>1029</v>
      </c>
      <c r="L7" s="145">
        <v>1033</v>
      </c>
      <c r="M7" s="145">
        <v>937</v>
      </c>
      <c r="N7" s="145">
        <v>1009</v>
      </c>
      <c r="O7" s="145">
        <v>1014</v>
      </c>
      <c r="P7" s="145">
        <v>1083</v>
      </c>
      <c r="Q7" s="148">
        <v>1082</v>
      </c>
      <c r="R7" s="147">
        <f t="shared" si="3"/>
        <v>-6.4</v>
      </c>
      <c r="S7" s="144">
        <f t="shared" si="1"/>
        <v>45695</v>
      </c>
      <c r="T7" s="145"/>
      <c r="U7" s="145">
        <f t="shared" si="0"/>
        <v>262.54199999999997</v>
      </c>
      <c r="V7" s="145">
        <f t="shared" si="0"/>
        <v>272.83199999999999</v>
      </c>
      <c r="W7" s="145">
        <f t="shared" si="0"/>
        <v>231.96600000000001</v>
      </c>
      <c r="X7" s="145">
        <f t="shared" si="0"/>
        <v>265.18799999999999</v>
      </c>
      <c r="Y7" s="145">
        <f t="shared" si="0"/>
        <v>282.53399999999999</v>
      </c>
      <c r="Z7" s="145">
        <f t="shared" si="0"/>
        <v>284.88600000000002</v>
      </c>
      <c r="AA7" s="145">
        <f t="shared" si="0"/>
        <v>305.76</v>
      </c>
      <c r="AB7" s="145">
        <f t="shared" si="0"/>
        <v>298.70400000000001</v>
      </c>
      <c r="AC7" s="145">
        <f t="shared" si="0"/>
        <v>302.52600000000001</v>
      </c>
      <c r="AD7" s="145">
        <f t="shared" si="0"/>
        <v>303.702</v>
      </c>
      <c r="AE7" s="145">
        <f t="shared" si="0"/>
        <v>275.47800000000001</v>
      </c>
      <c r="AF7" s="145">
        <f t="shared" si="0"/>
        <v>296.64600000000002</v>
      </c>
      <c r="AG7" s="145">
        <f t="shared" si="0"/>
        <v>298.11599999999999</v>
      </c>
      <c r="AH7" s="145">
        <f t="shared" si="0"/>
        <v>318.40199999999999</v>
      </c>
    </row>
    <row r="8" spans="1:34" s="146" customFormat="1" ht="12">
      <c r="A8" s="144">
        <f t="shared" si="2"/>
        <v>45702</v>
      </c>
      <c r="B8" s="145"/>
      <c r="C8" s="145">
        <v>888</v>
      </c>
      <c r="D8" s="145">
        <v>919</v>
      </c>
      <c r="E8" s="145">
        <v>797</v>
      </c>
      <c r="F8" s="145">
        <v>903</v>
      </c>
      <c r="G8" s="145">
        <v>964</v>
      </c>
      <c r="H8" s="145">
        <v>975</v>
      </c>
      <c r="I8" s="145">
        <v>1034</v>
      </c>
      <c r="J8" s="145">
        <v>1068</v>
      </c>
      <c r="K8" s="145">
        <v>996</v>
      </c>
      <c r="L8" s="145">
        <v>1040</v>
      </c>
      <c r="M8" s="145">
        <v>911</v>
      </c>
      <c r="N8" s="145">
        <v>1024</v>
      </c>
      <c r="O8" s="145">
        <v>1029</v>
      </c>
      <c r="P8" s="145">
        <v>1084</v>
      </c>
      <c r="Q8" s="148">
        <v>1084</v>
      </c>
      <c r="R8" s="147">
        <f t="shared" si="3"/>
        <v>-2.4</v>
      </c>
      <c r="S8" s="144">
        <f t="shared" si="1"/>
        <v>45702</v>
      </c>
      <c r="T8" s="145"/>
      <c r="U8" s="145">
        <f t="shared" si="0"/>
        <v>261.072</v>
      </c>
      <c r="V8" s="145">
        <f t="shared" si="0"/>
        <v>270.18599999999998</v>
      </c>
      <c r="W8" s="145">
        <f t="shared" si="0"/>
        <v>234.31800000000001</v>
      </c>
      <c r="X8" s="145">
        <f t="shared" si="0"/>
        <v>265.48200000000003</v>
      </c>
      <c r="Y8" s="145">
        <f t="shared" si="0"/>
        <v>283.416</v>
      </c>
      <c r="Z8" s="145">
        <f t="shared" si="0"/>
        <v>286.64999999999998</v>
      </c>
      <c r="AA8" s="145">
        <f t="shared" si="0"/>
        <v>303.99599999999998</v>
      </c>
      <c r="AB8" s="145">
        <f t="shared" si="0"/>
        <v>313.99200000000002</v>
      </c>
      <c r="AC8" s="145">
        <f t="shared" si="0"/>
        <v>292.82400000000001</v>
      </c>
      <c r="AD8" s="145">
        <f t="shared" si="0"/>
        <v>305.76</v>
      </c>
      <c r="AE8" s="145">
        <f t="shared" si="0"/>
        <v>267.834</v>
      </c>
      <c r="AF8" s="145">
        <f t="shared" si="0"/>
        <v>301.05599999999998</v>
      </c>
      <c r="AG8" s="145">
        <f t="shared" si="0"/>
        <v>302.52600000000001</v>
      </c>
      <c r="AH8" s="145">
        <f t="shared" si="0"/>
        <v>318.69600000000003</v>
      </c>
    </row>
    <row r="9" spans="1:34" s="146" customFormat="1" ht="12">
      <c r="A9" s="144">
        <f t="shared" si="2"/>
        <v>45709</v>
      </c>
      <c r="B9" s="145"/>
      <c r="C9" s="145">
        <v>882</v>
      </c>
      <c r="D9" s="145">
        <v>896</v>
      </c>
      <c r="E9" s="145">
        <v>812</v>
      </c>
      <c r="F9" s="145">
        <v>905</v>
      </c>
      <c r="G9" s="145">
        <v>947</v>
      </c>
      <c r="H9" s="145">
        <v>994</v>
      </c>
      <c r="I9" s="145">
        <v>1034</v>
      </c>
      <c r="J9" s="145">
        <v>1044</v>
      </c>
      <c r="K9" s="145">
        <v>1028</v>
      </c>
      <c r="L9" s="145">
        <v>1054</v>
      </c>
      <c r="M9" s="145">
        <v>658</v>
      </c>
      <c r="N9" s="145">
        <v>997</v>
      </c>
      <c r="O9" s="145">
        <v>1003</v>
      </c>
      <c r="P9" s="145">
        <v>1078</v>
      </c>
      <c r="Q9" s="148">
        <v>1081</v>
      </c>
      <c r="R9" s="147">
        <f t="shared" si="3"/>
        <v>59.6</v>
      </c>
      <c r="S9" s="144">
        <f t="shared" si="1"/>
        <v>45709</v>
      </c>
      <c r="T9" s="145"/>
      <c r="U9" s="145">
        <f t="shared" si="0"/>
        <v>259.30799999999999</v>
      </c>
      <c r="V9" s="145">
        <f t="shared" si="0"/>
        <v>263.42399999999998</v>
      </c>
      <c r="W9" s="145">
        <f t="shared" si="0"/>
        <v>238.72800000000001</v>
      </c>
      <c r="X9" s="145">
        <f t="shared" si="0"/>
        <v>266.07</v>
      </c>
      <c r="Y9" s="145">
        <f t="shared" si="0"/>
        <v>278.41800000000001</v>
      </c>
      <c r="Z9" s="145">
        <f t="shared" si="0"/>
        <v>292.23599999999999</v>
      </c>
      <c r="AA9" s="145">
        <f t="shared" si="0"/>
        <v>303.99599999999998</v>
      </c>
      <c r="AB9" s="145">
        <f t="shared" si="0"/>
        <v>306.93599999999998</v>
      </c>
      <c r="AC9" s="145">
        <f t="shared" si="0"/>
        <v>302.23200000000003</v>
      </c>
      <c r="AD9" s="145">
        <f t="shared" si="0"/>
        <v>309.87599999999998</v>
      </c>
      <c r="AE9" s="145">
        <f t="shared" si="0"/>
        <v>193.452</v>
      </c>
      <c r="AF9" s="145">
        <f t="shared" si="0"/>
        <v>293.11799999999999</v>
      </c>
      <c r="AG9" s="145">
        <f t="shared" si="0"/>
        <v>294.88200000000001</v>
      </c>
      <c r="AH9" s="145">
        <f t="shared" si="0"/>
        <v>316.93200000000002</v>
      </c>
    </row>
    <row r="10" spans="1:34" s="146" customFormat="1" ht="12">
      <c r="A10" s="144">
        <f t="shared" si="2"/>
        <v>45716</v>
      </c>
      <c r="B10" s="145"/>
      <c r="C10" s="145">
        <v>883</v>
      </c>
      <c r="D10" s="145">
        <v>906</v>
      </c>
      <c r="E10" s="145">
        <v>805</v>
      </c>
      <c r="F10" s="145">
        <v>894</v>
      </c>
      <c r="G10" s="145">
        <v>931</v>
      </c>
      <c r="H10" s="145">
        <v>987</v>
      </c>
      <c r="I10" s="145">
        <v>1022</v>
      </c>
      <c r="J10" s="145">
        <v>1057</v>
      </c>
      <c r="K10" s="145">
        <v>1024</v>
      </c>
      <c r="L10" s="145">
        <v>1079</v>
      </c>
      <c r="M10" s="145">
        <v>849</v>
      </c>
      <c r="N10" s="145">
        <v>1028</v>
      </c>
      <c r="O10" s="145">
        <v>1010</v>
      </c>
      <c r="P10" s="145">
        <v>1057</v>
      </c>
      <c r="Q10" s="148">
        <v>1093</v>
      </c>
      <c r="R10" s="147">
        <f t="shared" si="3"/>
        <v>-46.6</v>
      </c>
      <c r="S10" s="144">
        <f t="shared" si="1"/>
        <v>45716</v>
      </c>
      <c r="T10" s="145"/>
      <c r="U10" s="145">
        <f t="shared" si="0"/>
        <v>259.60199999999998</v>
      </c>
      <c r="V10" s="145">
        <f t="shared" si="0"/>
        <v>266.36399999999998</v>
      </c>
      <c r="W10" s="145">
        <f t="shared" si="0"/>
        <v>236.67</v>
      </c>
      <c r="X10" s="145">
        <f t="shared" si="0"/>
        <v>262.83600000000001</v>
      </c>
      <c r="Y10" s="145">
        <f t="shared" si="0"/>
        <v>273.714</v>
      </c>
      <c r="Z10" s="145">
        <f t="shared" si="0"/>
        <v>290.178</v>
      </c>
      <c r="AA10" s="145">
        <f t="shared" si="0"/>
        <v>300.46800000000002</v>
      </c>
      <c r="AB10" s="145">
        <f t="shared" si="0"/>
        <v>310.75799999999998</v>
      </c>
      <c r="AC10" s="145">
        <f t="shared" si="0"/>
        <v>301.05599999999998</v>
      </c>
      <c r="AD10" s="145">
        <f t="shared" si="0"/>
        <v>317.226</v>
      </c>
      <c r="AE10" s="145">
        <f t="shared" si="0"/>
        <v>249.60599999999999</v>
      </c>
      <c r="AF10" s="145">
        <f t="shared" si="0"/>
        <v>302.23200000000003</v>
      </c>
      <c r="AG10" s="145">
        <f t="shared" si="0"/>
        <v>296.94</v>
      </c>
      <c r="AH10" s="145">
        <f t="shared" si="0"/>
        <v>310.75799999999998</v>
      </c>
    </row>
    <row r="11" spans="1:34" s="146" customFormat="1" ht="12">
      <c r="A11" s="144">
        <f t="shared" si="2"/>
        <v>45723</v>
      </c>
      <c r="B11" s="145"/>
      <c r="C11" s="145">
        <v>895</v>
      </c>
      <c r="D11" s="145">
        <v>892</v>
      </c>
      <c r="E11" s="145">
        <v>797</v>
      </c>
      <c r="F11" s="145">
        <v>869</v>
      </c>
      <c r="G11" s="145">
        <v>944</v>
      </c>
      <c r="H11" s="145">
        <v>978</v>
      </c>
      <c r="I11" s="145">
        <v>1045</v>
      </c>
      <c r="J11" s="145">
        <v>1025</v>
      </c>
      <c r="K11" s="145">
        <v>1005</v>
      </c>
      <c r="L11" s="145">
        <v>1044</v>
      </c>
      <c r="M11" s="145">
        <v>938</v>
      </c>
      <c r="N11" s="145">
        <v>1026</v>
      </c>
      <c r="O11" s="145">
        <v>1014</v>
      </c>
      <c r="P11" s="145">
        <v>1024</v>
      </c>
      <c r="Q11" s="148">
        <v>1062</v>
      </c>
      <c r="R11" s="147">
        <f t="shared" si="3"/>
        <v>-4.5999999999999996</v>
      </c>
      <c r="S11" s="144">
        <f t="shared" si="1"/>
        <v>45723</v>
      </c>
      <c r="T11" s="145"/>
      <c r="U11" s="145">
        <f t="shared" si="0"/>
        <v>263.13</v>
      </c>
      <c r="V11" s="145">
        <f t="shared" si="0"/>
        <v>262.24799999999999</v>
      </c>
      <c r="W11" s="145">
        <f t="shared" si="0"/>
        <v>234.31800000000001</v>
      </c>
      <c r="X11" s="145">
        <f t="shared" si="0"/>
        <v>255.48599999999999</v>
      </c>
      <c r="Y11" s="145">
        <f t="shared" si="0"/>
        <v>277.536</v>
      </c>
      <c r="Z11" s="145">
        <f t="shared" si="0"/>
        <v>287.53199999999998</v>
      </c>
      <c r="AA11" s="145">
        <f t="shared" si="0"/>
        <v>307.23</v>
      </c>
      <c r="AB11" s="145">
        <f t="shared" si="0"/>
        <v>301.35000000000002</v>
      </c>
      <c r="AC11" s="145">
        <f t="shared" si="0"/>
        <v>295.47000000000003</v>
      </c>
      <c r="AD11" s="145">
        <f t="shared" si="0"/>
        <v>306.93599999999998</v>
      </c>
      <c r="AE11" s="145">
        <f t="shared" si="0"/>
        <v>275.77199999999999</v>
      </c>
      <c r="AF11" s="145">
        <f t="shared" si="0"/>
        <v>301.64400000000001</v>
      </c>
      <c r="AG11" s="145">
        <f t="shared" si="0"/>
        <v>298.11599999999999</v>
      </c>
      <c r="AH11" s="145">
        <f t="shared" si="0"/>
        <v>301.05599999999998</v>
      </c>
    </row>
    <row r="12" spans="1:34" s="146" customFormat="1" ht="12">
      <c r="A12" s="144">
        <f t="shared" si="2"/>
        <v>45730</v>
      </c>
      <c r="B12" s="145"/>
      <c r="C12" s="145">
        <v>913</v>
      </c>
      <c r="D12" s="145">
        <v>893</v>
      </c>
      <c r="E12" s="145">
        <v>809</v>
      </c>
      <c r="F12" s="145">
        <v>891</v>
      </c>
      <c r="G12" s="145">
        <v>947</v>
      </c>
      <c r="H12" s="145">
        <v>999</v>
      </c>
      <c r="I12" s="145">
        <v>1044</v>
      </c>
      <c r="J12" s="145">
        <v>1049</v>
      </c>
      <c r="K12" s="145">
        <v>1004</v>
      </c>
      <c r="L12" s="145">
        <v>1035</v>
      </c>
      <c r="M12" s="145">
        <v>971</v>
      </c>
      <c r="N12" s="145">
        <v>1042</v>
      </c>
      <c r="O12" s="145">
        <v>997</v>
      </c>
      <c r="P12" s="145">
        <v>1046</v>
      </c>
      <c r="Q12" s="148">
        <v>1105</v>
      </c>
      <c r="R12" s="147">
        <f t="shared" si="3"/>
        <v>-9</v>
      </c>
      <c r="S12" s="144">
        <f t="shared" si="1"/>
        <v>45730</v>
      </c>
      <c r="T12" s="145"/>
      <c r="U12" s="145">
        <f t="shared" si="0"/>
        <v>268.42200000000003</v>
      </c>
      <c r="V12" s="145">
        <f t="shared" si="0"/>
        <v>262.54199999999997</v>
      </c>
      <c r="W12" s="145">
        <f t="shared" si="0"/>
        <v>237.846</v>
      </c>
      <c r="X12" s="145">
        <f t="shared" si="0"/>
        <v>261.95400000000001</v>
      </c>
      <c r="Y12" s="145">
        <f t="shared" si="0"/>
        <v>278.41800000000001</v>
      </c>
      <c r="Z12" s="145">
        <f t="shared" si="0"/>
        <v>293.70600000000002</v>
      </c>
      <c r="AA12" s="145">
        <f t="shared" si="0"/>
        <v>306.93599999999998</v>
      </c>
      <c r="AB12" s="145">
        <f t="shared" si="0"/>
        <v>308.40600000000001</v>
      </c>
      <c r="AC12" s="145">
        <f t="shared" si="0"/>
        <v>295.17599999999999</v>
      </c>
      <c r="AD12" s="145">
        <f t="shared" si="0"/>
        <v>304.29000000000002</v>
      </c>
      <c r="AE12" s="145">
        <f t="shared" si="0"/>
        <v>285.47399999999999</v>
      </c>
      <c r="AF12" s="145">
        <f t="shared" si="0"/>
        <v>306.34800000000001</v>
      </c>
      <c r="AG12" s="145">
        <f t="shared" si="0"/>
        <v>293.11799999999999</v>
      </c>
      <c r="AH12" s="145">
        <f t="shared" si="0"/>
        <v>307.524</v>
      </c>
    </row>
    <row r="13" spans="1:34" s="146" customFormat="1" ht="12">
      <c r="A13" s="144">
        <f t="shared" si="2"/>
        <v>45737</v>
      </c>
      <c r="B13" s="145"/>
      <c r="C13" s="145">
        <v>903</v>
      </c>
      <c r="D13" s="145">
        <v>889</v>
      </c>
      <c r="E13" s="145">
        <v>805</v>
      </c>
      <c r="F13" s="145">
        <v>885</v>
      </c>
      <c r="G13" s="145">
        <v>953</v>
      </c>
      <c r="H13" s="145">
        <v>995</v>
      </c>
      <c r="I13" s="145">
        <v>1054</v>
      </c>
      <c r="J13" s="145">
        <v>1039</v>
      </c>
      <c r="K13" s="145">
        <v>975</v>
      </c>
      <c r="L13" s="145">
        <v>1005</v>
      </c>
      <c r="M13" s="145">
        <v>922</v>
      </c>
      <c r="N13" s="145">
        <v>1036</v>
      </c>
      <c r="O13" s="145">
        <v>1003</v>
      </c>
      <c r="P13" s="145">
        <v>1054</v>
      </c>
      <c r="Q13" s="148">
        <v>1053</v>
      </c>
      <c r="R13" s="147">
        <f t="shared" si="3"/>
        <v>14.2</v>
      </c>
      <c r="S13" s="144">
        <f t="shared" si="1"/>
        <v>45737</v>
      </c>
      <c r="T13" s="145"/>
      <c r="U13" s="145">
        <f t="shared" si="0"/>
        <v>265.48200000000003</v>
      </c>
      <c r="V13" s="145">
        <f t="shared" si="0"/>
        <v>261.36599999999999</v>
      </c>
      <c r="W13" s="145">
        <f t="shared" si="0"/>
        <v>236.67</v>
      </c>
      <c r="X13" s="145">
        <f t="shared" si="0"/>
        <v>260.19</v>
      </c>
      <c r="Y13" s="145">
        <f t="shared" si="0"/>
        <v>280.18200000000002</v>
      </c>
      <c r="Z13" s="145">
        <f t="shared" si="0"/>
        <v>292.52999999999997</v>
      </c>
      <c r="AA13" s="145">
        <f t="shared" si="0"/>
        <v>309.87599999999998</v>
      </c>
      <c r="AB13" s="145">
        <f t="shared" si="0"/>
        <v>305.46600000000001</v>
      </c>
      <c r="AC13" s="145">
        <f t="shared" si="0"/>
        <v>286.64999999999998</v>
      </c>
      <c r="AD13" s="145">
        <f t="shared" si="0"/>
        <v>295.47000000000003</v>
      </c>
      <c r="AE13" s="145">
        <f t="shared" si="0"/>
        <v>271.06799999999998</v>
      </c>
      <c r="AF13" s="145">
        <f t="shared" si="0"/>
        <v>304.584</v>
      </c>
      <c r="AG13" s="145">
        <f t="shared" si="0"/>
        <v>294.88200000000001</v>
      </c>
      <c r="AH13" s="145">
        <f t="shared" si="0"/>
        <v>309.87599999999998</v>
      </c>
    </row>
    <row r="14" spans="1:34" s="146" customFormat="1" ht="12">
      <c r="A14" s="144">
        <f t="shared" si="2"/>
        <v>45744</v>
      </c>
      <c r="B14" s="145"/>
      <c r="C14" s="145">
        <v>902</v>
      </c>
      <c r="D14" s="145">
        <v>873</v>
      </c>
      <c r="E14" s="145">
        <v>807</v>
      </c>
      <c r="F14" s="145">
        <v>922</v>
      </c>
      <c r="G14" s="145">
        <v>952</v>
      </c>
      <c r="H14" s="145">
        <v>992</v>
      </c>
      <c r="I14" s="145">
        <v>1019</v>
      </c>
      <c r="J14" s="145">
        <v>1038</v>
      </c>
      <c r="K14" s="145">
        <v>999</v>
      </c>
      <c r="L14" s="145">
        <v>840</v>
      </c>
      <c r="M14" s="145">
        <v>965</v>
      </c>
      <c r="N14" s="145">
        <v>1003</v>
      </c>
      <c r="O14" s="145">
        <v>1003</v>
      </c>
      <c r="P14" s="145">
        <v>1073</v>
      </c>
      <c r="Q14" s="148">
        <v>1063</v>
      </c>
      <c r="R14" s="147">
        <f t="shared" si="3"/>
        <v>27.2</v>
      </c>
      <c r="S14" s="144">
        <f t="shared" si="1"/>
        <v>45744</v>
      </c>
      <c r="T14" s="145"/>
      <c r="U14" s="145">
        <f t="shared" si="0"/>
        <v>265.18799999999999</v>
      </c>
      <c r="V14" s="145">
        <f t="shared" si="0"/>
        <v>256.66199999999998</v>
      </c>
      <c r="W14" s="145">
        <f t="shared" si="0"/>
        <v>237.25800000000001</v>
      </c>
      <c r="X14" s="145">
        <f t="shared" si="0"/>
        <v>271.06799999999998</v>
      </c>
      <c r="Y14" s="145">
        <f t="shared" si="0"/>
        <v>279.88799999999998</v>
      </c>
      <c r="Z14" s="145">
        <f t="shared" si="0"/>
        <v>291.64800000000002</v>
      </c>
      <c r="AA14" s="145">
        <f t="shared" si="0"/>
        <v>299.58600000000001</v>
      </c>
      <c r="AB14" s="145">
        <f t="shared" si="0"/>
        <v>305.17200000000003</v>
      </c>
      <c r="AC14" s="145">
        <f t="shared" si="0"/>
        <v>293.70600000000002</v>
      </c>
      <c r="AD14" s="145">
        <f t="shared" si="0"/>
        <v>246.96</v>
      </c>
      <c r="AE14" s="145">
        <f t="shared" si="0"/>
        <v>283.70999999999998</v>
      </c>
      <c r="AF14" s="145">
        <f t="shared" si="0"/>
        <v>294.88200000000001</v>
      </c>
      <c r="AG14" s="145">
        <f t="shared" si="0"/>
        <v>294.88200000000001</v>
      </c>
      <c r="AH14" s="145">
        <f t="shared" si="0"/>
        <v>315.46199999999999</v>
      </c>
    </row>
    <row r="15" spans="1:34" s="146" customFormat="1" ht="12">
      <c r="A15" s="144">
        <f t="shared" si="2"/>
        <v>45751</v>
      </c>
      <c r="B15" s="145"/>
      <c r="C15" s="145">
        <v>898</v>
      </c>
      <c r="D15" s="145">
        <v>896</v>
      </c>
      <c r="E15" s="145">
        <v>854</v>
      </c>
      <c r="F15" s="145">
        <v>896</v>
      </c>
      <c r="G15" s="145">
        <v>936</v>
      </c>
      <c r="H15" s="145">
        <v>976</v>
      </c>
      <c r="I15" s="145">
        <v>986</v>
      </c>
      <c r="J15" s="145">
        <v>1034</v>
      </c>
      <c r="K15" s="145">
        <v>1002</v>
      </c>
      <c r="L15" s="145">
        <v>672</v>
      </c>
      <c r="M15" s="145">
        <v>975</v>
      </c>
      <c r="N15" s="145">
        <v>995</v>
      </c>
      <c r="O15" s="145">
        <v>959</v>
      </c>
      <c r="P15" s="145">
        <v>1056</v>
      </c>
      <c r="Q15" s="148">
        <v>1021</v>
      </c>
      <c r="R15" s="147">
        <f t="shared" si="3"/>
        <v>45.4</v>
      </c>
      <c r="S15" s="144">
        <f t="shared" si="1"/>
        <v>45751</v>
      </c>
      <c r="T15" s="145"/>
      <c r="U15" s="145">
        <f t="shared" si="0"/>
        <v>264.012</v>
      </c>
      <c r="V15" s="145">
        <f t="shared" si="0"/>
        <v>263.42399999999998</v>
      </c>
      <c r="W15" s="145">
        <f t="shared" si="0"/>
        <v>251.07599999999999</v>
      </c>
      <c r="X15" s="145">
        <f t="shared" si="0"/>
        <v>263.42399999999998</v>
      </c>
      <c r="Y15" s="145">
        <f t="shared" si="0"/>
        <v>275.18400000000003</v>
      </c>
      <c r="Z15" s="145">
        <f t="shared" si="0"/>
        <v>286.94400000000002</v>
      </c>
      <c r="AA15" s="145">
        <f t="shared" si="0"/>
        <v>289.88400000000001</v>
      </c>
      <c r="AB15" s="145">
        <f t="shared" si="0"/>
        <v>303.99599999999998</v>
      </c>
      <c r="AC15" s="145">
        <f t="shared" si="0"/>
        <v>294.58800000000002</v>
      </c>
      <c r="AD15" s="145">
        <f t="shared" si="0"/>
        <v>197.56800000000001</v>
      </c>
      <c r="AE15" s="145">
        <f t="shared" si="0"/>
        <v>286.64999999999998</v>
      </c>
      <c r="AF15" s="145">
        <f t="shared" si="0"/>
        <v>292.52999999999997</v>
      </c>
      <c r="AG15" s="145">
        <f t="shared" si="0"/>
        <v>281.94600000000003</v>
      </c>
      <c r="AH15" s="145">
        <f t="shared" si="0"/>
        <v>310.464</v>
      </c>
    </row>
    <row r="16" spans="1:34" s="146" customFormat="1" ht="12">
      <c r="A16" s="144">
        <f t="shared" si="2"/>
        <v>45758</v>
      </c>
      <c r="B16" s="145"/>
      <c r="C16" s="145">
        <v>856</v>
      </c>
      <c r="D16" s="145">
        <v>884</v>
      </c>
      <c r="E16" s="145">
        <v>832</v>
      </c>
      <c r="F16" s="145">
        <v>939</v>
      </c>
      <c r="G16" s="145">
        <v>924</v>
      </c>
      <c r="H16" s="145">
        <v>938</v>
      </c>
      <c r="I16" s="145">
        <v>993</v>
      </c>
      <c r="J16" s="145">
        <v>1009</v>
      </c>
      <c r="K16" s="145">
        <v>1016</v>
      </c>
      <c r="L16" s="145">
        <v>570</v>
      </c>
      <c r="M16" s="145">
        <v>941</v>
      </c>
      <c r="N16" s="145">
        <v>947</v>
      </c>
      <c r="O16" s="145">
        <v>1024</v>
      </c>
      <c r="P16" s="145">
        <v>983</v>
      </c>
      <c r="Q16" s="148">
        <v>1012</v>
      </c>
      <c r="R16" s="147">
        <f t="shared" si="3"/>
        <v>38.4</v>
      </c>
      <c r="S16" s="144">
        <f t="shared" si="1"/>
        <v>45758</v>
      </c>
      <c r="T16" s="145"/>
      <c r="U16" s="145">
        <f t="shared" si="0"/>
        <v>251.66399999999999</v>
      </c>
      <c r="V16" s="145">
        <f t="shared" si="0"/>
        <v>259.89600000000002</v>
      </c>
      <c r="W16" s="145">
        <f t="shared" si="0"/>
        <v>244.608</v>
      </c>
      <c r="X16" s="145">
        <f t="shared" si="0"/>
        <v>276.06599999999997</v>
      </c>
      <c r="Y16" s="145">
        <f t="shared" si="0"/>
        <v>271.65600000000001</v>
      </c>
      <c r="Z16" s="145">
        <f t="shared" si="0"/>
        <v>275.77199999999999</v>
      </c>
      <c r="AA16" s="145">
        <f t="shared" si="0"/>
        <v>291.94200000000001</v>
      </c>
      <c r="AB16" s="145">
        <f t="shared" si="0"/>
        <v>296.64600000000002</v>
      </c>
      <c r="AC16" s="145">
        <f t="shared" si="0"/>
        <v>298.70400000000001</v>
      </c>
      <c r="AD16" s="145">
        <f t="shared" si="0"/>
        <v>167.58</v>
      </c>
      <c r="AE16" s="145">
        <f t="shared" si="0"/>
        <v>276.654</v>
      </c>
      <c r="AF16" s="145">
        <f t="shared" si="0"/>
        <v>278.41800000000001</v>
      </c>
      <c r="AG16" s="145">
        <f t="shared" si="0"/>
        <v>301.05599999999998</v>
      </c>
      <c r="AH16" s="145">
        <f t="shared" si="0"/>
        <v>289.00200000000001</v>
      </c>
    </row>
    <row r="17" spans="1:34" s="146" customFormat="1" ht="12">
      <c r="A17" s="144">
        <f t="shared" si="2"/>
        <v>45765</v>
      </c>
      <c r="B17" s="145"/>
      <c r="C17" s="145">
        <v>883</v>
      </c>
      <c r="D17" s="145">
        <v>865</v>
      </c>
      <c r="E17" s="145">
        <v>853</v>
      </c>
      <c r="F17" s="145">
        <v>910</v>
      </c>
      <c r="G17" s="145">
        <v>930</v>
      </c>
      <c r="H17" s="145">
        <v>939</v>
      </c>
      <c r="I17" s="145">
        <v>987</v>
      </c>
      <c r="J17" s="145">
        <v>985</v>
      </c>
      <c r="K17" s="145">
        <v>1048</v>
      </c>
      <c r="L17" s="145">
        <v>563</v>
      </c>
      <c r="M17" s="145">
        <v>941</v>
      </c>
      <c r="N17" s="145">
        <v>963</v>
      </c>
      <c r="O17" s="145">
        <v>967</v>
      </c>
      <c r="P17" s="145">
        <v>954</v>
      </c>
      <c r="Q17" s="148">
        <v>1033</v>
      </c>
      <c r="R17" s="147">
        <f t="shared" si="3"/>
        <v>15.4</v>
      </c>
      <c r="S17" s="144">
        <f t="shared" si="1"/>
        <v>45765</v>
      </c>
      <c r="T17" s="145"/>
      <c r="U17" s="145">
        <f t="shared" si="0"/>
        <v>259.60199999999998</v>
      </c>
      <c r="V17" s="145">
        <f t="shared" si="0"/>
        <v>254.31</v>
      </c>
      <c r="W17" s="145">
        <f t="shared" si="0"/>
        <v>250.78200000000001</v>
      </c>
      <c r="X17" s="145">
        <f t="shared" si="0"/>
        <v>267.54000000000002</v>
      </c>
      <c r="Y17" s="145">
        <f t="shared" si="0"/>
        <v>273.42</v>
      </c>
      <c r="Z17" s="145">
        <f t="shared" si="0"/>
        <v>276.06599999999997</v>
      </c>
      <c r="AA17" s="145">
        <f t="shared" si="0"/>
        <v>290.178</v>
      </c>
      <c r="AB17" s="145">
        <f t="shared" si="0"/>
        <v>289.58999999999997</v>
      </c>
      <c r="AC17" s="145">
        <f t="shared" si="0"/>
        <v>308.11200000000002</v>
      </c>
      <c r="AD17" s="145">
        <f t="shared" si="0"/>
        <v>165.52199999999999</v>
      </c>
      <c r="AE17" s="145">
        <f t="shared" si="0"/>
        <v>276.654</v>
      </c>
      <c r="AF17" s="145">
        <f t="shared" si="0"/>
        <v>283.12200000000001</v>
      </c>
      <c r="AG17" s="145">
        <f t="shared" si="0"/>
        <v>284.298</v>
      </c>
      <c r="AH17" s="145">
        <f t="shared" si="0"/>
        <v>280.476</v>
      </c>
    </row>
    <row r="18" spans="1:34" s="146" customFormat="1" ht="12">
      <c r="A18" s="144">
        <f t="shared" si="2"/>
        <v>45772</v>
      </c>
      <c r="B18" s="145"/>
      <c r="C18" s="145">
        <v>875</v>
      </c>
      <c r="D18" s="145">
        <v>894</v>
      </c>
      <c r="E18" s="145">
        <v>857</v>
      </c>
      <c r="F18" s="145">
        <v>898</v>
      </c>
      <c r="G18" s="145">
        <v>921</v>
      </c>
      <c r="H18" s="145">
        <v>927</v>
      </c>
      <c r="I18" s="145">
        <v>986</v>
      </c>
      <c r="J18" s="145">
        <v>1032</v>
      </c>
      <c r="K18" s="145">
        <v>1024</v>
      </c>
      <c r="L18" s="145">
        <v>537</v>
      </c>
      <c r="M18" s="145">
        <v>945</v>
      </c>
      <c r="N18" s="145">
        <v>969</v>
      </c>
      <c r="O18" s="145">
        <v>976</v>
      </c>
      <c r="P18" s="145">
        <v>987</v>
      </c>
      <c r="Q18" s="148">
        <v>1040</v>
      </c>
      <c r="R18" s="147">
        <f t="shared" si="3"/>
        <v>-5.2</v>
      </c>
      <c r="S18" s="144">
        <f t="shared" si="1"/>
        <v>45772</v>
      </c>
      <c r="T18" s="145"/>
      <c r="U18" s="145">
        <f t="shared" si="0"/>
        <v>257.25</v>
      </c>
      <c r="V18" s="145">
        <f t="shared" si="0"/>
        <v>262.83600000000001</v>
      </c>
      <c r="W18" s="145">
        <f t="shared" si="0"/>
        <v>251.958</v>
      </c>
      <c r="X18" s="145">
        <f t="shared" si="0"/>
        <v>264.012</v>
      </c>
      <c r="Y18" s="145">
        <f t="shared" si="0"/>
        <v>270.774</v>
      </c>
      <c r="Z18" s="145">
        <f t="shared" si="0"/>
        <v>272.53800000000001</v>
      </c>
      <c r="AA18" s="145">
        <f t="shared" si="0"/>
        <v>289.88400000000001</v>
      </c>
      <c r="AB18" s="145">
        <f t="shared" si="0"/>
        <v>303.40800000000002</v>
      </c>
      <c r="AC18" s="145">
        <f t="shared" si="0"/>
        <v>301.05599999999998</v>
      </c>
      <c r="AD18" s="145">
        <f t="shared" si="0"/>
        <v>157.87799999999999</v>
      </c>
      <c r="AE18" s="145">
        <f t="shared" si="0"/>
        <v>277.83</v>
      </c>
      <c r="AF18" s="145">
        <f t="shared" si="0"/>
        <v>284.88600000000002</v>
      </c>
      <c r="AG18" s="145">
        <f t="shared" si="0"/>
        <v>286.94400000000002</v>
      </c>
      <c r="AH18" s="145">
        <f t="shared" si="0"/>
        <v>290.178</v>
      </c>
    </row>
    <row r="19" spans="1:34" s="146" customFormat="1" ht="12">
      <c r="A19" s="144">
        <f t="shared" si="2"/>
        <v>45779</v>
      </c>
      <c r="B19" s="145"/>
      <c r="C19" s="145">
        <v>862</v>
      </c>
      <c r="D19" s="145">
        <v>897</v>
      </c>
      <c r="E19" s="145">
        <v>843</v>
      </c>
      <c r="F19" s="145">
        <v>894</v>
      </c>
      <c r="G19" s="145">
        <v>887</v>
      </c>
      <c r="H19" s="145">
        <v>923</v>
      </c>
      <c r="I19" s="145">
        <v>1006</v>
      </c>
      <c r="J19" s="145">
        <v>1040</v>
      </c>
      <c r="K19" s="145">
        <v>1036</v>
      </c>
      <c r="L19" s="145">
        <v>598</v>
      </c>
      <c r="M19" s="145">
        <v>952</v>
      </c>
      <c r="N19" s="145">
        <v>991</v>
      </c>
      <c r="O19" s="145">
        <v>965</v>
      </c>
      <c r="P19" s="145">
        <v>965</v>
      </c>
      <c r="Q19" s="148">
        <v>1020</v>
      </c>
      <c r="R19" s="147">
        <f t="shared" si="3"/>
        <v>-11.4</v>
      </c>
      <c r="S19" s="144">
        <f t="shared" si="1"/>
        <v>45779</v>
      </c>
      <c r="T19" s="145"/>
      <c r="U19" s="145">
        <f t="shared" si="0"/>
        <v>253.428</v>
      </c>
      <c r="V19" s="145">
        <f t="shared" si="0"/>
        <v>263.71800000000002</v>
      </c>
      <c r="W19" s="145">
        <f t="shared" si="0"/>
        <v>247.84200000000001</v>
      </c>
      <c r="X19" s="145">
        <f t="shared" si="0"/>
        <v>262.83600000000001</v>
      </c>
      <c r="Y19" s="145">
        <f t="shared" si="0"/>
        <v>260.77800000000002</v>
      </c>
      <c r="Z19" s="145">
        <f t="shared" si="0"/>
        <v>271.36200000000002</v>
      </c>
      <c r="AA19" s="145">
        <f t="shared" si="0"/>
        <v>295.76400000000001</v>
      </c>
      <c r="AB19" s="145">
        <f t="shared" si="0"/>
        <v>305.76</v>
      </c>
      <c r="AC19" s="145">
        <f t="shared" si="0"/>
        <v>304.584</v>
      </c>
      <c r="AD19" s="145">
        <f t="shared" si="0"/>
        <v>175.81200000000001</v>
      </c>
      <c r="AE19" s="145">
        <f t="shared" si="0"/>
        <v>279.88799999999998</v>
      </c>
      <c r="AF19" s="145">
        <f t="shared" si="0"/>
        <v>291.35399999999998</v>
      </c>
      <c r="AG19" s="145">
        <f t="shared" si="0"/>
        <v>283.70999999999998</v>
      </c>
      <c r="AH19" s="145">
        <f t="shared" si="0"/>
        <v>283.70999999999998</v>
      </c>
    </row>
    <row r="20" spans="1:34" s="146" customFormat="1" ht="12">
      <c r="A20" s="144">
        <f t="shared" si="2"/>
        <v>45786</v>
      </c>
      <c r="B20" s="145"/>
      <c r="C20" s="145">
        <v>900</v>
      </c>
      <c r="D20" s="145">
        <v>904</v>
      </c>
      <c r="E20" s="145">
        <v>857</v>
      </c>
      <c r="F20" s="145">
        <v>922</v>
      </c>
      <c r="G20" s="145">
        <v>912</v>
      </c>
      <c r="H20" s="145">
        <v>962</v>
      </c>
      <c r="I20" s="145">
        <v>1027</v>
      </c>
      <c r="J20" s="145">
        <v>1058</v>
      </c>
      <c r="K20" s="145">
        <v>1051</v>
      </c>
      <c r="L20" s="145">
        <v>617</v>
      </c>
      <c r="M20" s="145">
        <v>979</v>
      </c>
      <c r="N20" s="145">
        <v>991</v>
      </c>
      <c r="O20" s="145">
        <v>987</v>
      </c>
      <c r="P20" s="145">
        <v>1000</v>
      </c>
      <c r="Q20" s="148">
        <v>993</v>
      </c>
      <c r="R20" s="147">
        <f t="shared" si="3"/>
        <v>-20.6</v>
      </c>
      <c r="S20" s="144">
        <f t="shared" si="1"/>
        <v>45786</v>
      </c>
      <c r="T20" s="145"/>
      <c r="U20" s="145">
        <f t="shared" si="0"/>
        <v>264.60000000000002</v>
      </c>
      <c r="V20" s="145">
        <f t="shared" si="0"/>
        <v>265.77600000000001</v>
      </c>
      <c r="W20" s="145">
        <f t="shared" si="0"/>
        <v>251.958</v>
      </c>
      <c r="X20" s="145">
        <f t="shared" ref="X20:AH43" si="4">F20*42*7/1000</f>
        <v>271.06799999999998</v>
      </c>
      <c r="Y20" s="145">
        <f t="shared" si="4"/>
        <v>268.12799999999999</v>
      </c>
      <c r="Z20" s="145">
        <f t="shared" si="4"/>
        <v>282.82799999999997</v>
      </c>
      <c r="AA20" s="145">
        <f t="shared" si="4"/>
        <v>301.93799999999999</v>
      </c>
      <c r="AB20" s="145">
        <f t="shared" si="4"/>
        <v>311.05200000000002</v>
      </c>
      <c r="AC20" s="145">
        <f t="shared" si="4"/>
        <v>308.99400000000003</v>
      </c>
      <c r="AD20" s="145">
        <f t="shared" si="4"/>
        <v>181.398</v>
      </c>
      <c r="AE20" s="145">
        <f t="shared" si="4"/>
        <v>287.82600000000002</v>
      </c>
      <c r="AF20" s="145">
        <f t="shared" si="4"/>
        <v>291.35399999999998</v>
      </c>
      <c r="AG20" s="145">
        <f t="shared" si="4"/>
        <v>290.178</v>
      </c>
      <c r="AH20" s="145">
        <f t="shared" si="4"/>
        <v>294</v>
      </c>
    </row>
    <row r="21" spans="1:34" s="146" customFormat="1" ht="12">
      <c r="A21" s="144">
        <f t="shared" si="2"/>
        <v>45793</v>
      </c>
      <c r="B21" s="145"/>
      <c r="C21" s="145">
        <v>902</v>
      </c>
      <c r="D21" s="145">
        <v>919</v>
      </c>
      <c r="E21" s="145">
        <v>875</v>
      </c>
      <c r="F21" s="145">
        <v>925</v>
      </c>
      <c r="G21" s="145">
        <v>958</v>
      </c>
      <c r="H21" s="145">
        <v>948</v>
      </c>
      <c r="I21" s="145">
        <v>1010</v>
      </c>
      <c r="J21" s="145">
        <v>1028</v>
      </c>
      <c r="K21" s="145">
        <v>1071</v>
      </c>
      <c r="L21" s="145">
        <v>663</v>
      </c>
      <c r="M21" s="145">
        <v>1032</v>
      </c>
      <c r="N21" s="145">
        <v>1014</v>
      </c>
      <c r="O21" s="145">
        <v>983</v>
      </c>
      <c r="P21" s="145">
        <v>1019</v>
      </c>
      <c r="Q21" s="148">
        <v>1036</v>
      </c>
      <c r="R21" s="147">
        <f t="shared" si="3"/>
        <v>-27.4</v>
      </c>
      <c r="S21" s="144">
        <f t="shared" si="1"/>
        <v>45793</v>
      </c>
      <c r="T21" s="145"/>
      <c r="U21" s="145">
        <f t="shared" ref="U21:AD53" si="5">C21*42*7/1000</f>
        <v>265.18799999999999</v>
      </c>
      <c r="V21" s="145">
        <f t="shared" si="5"/>
        <v>270.18599999999998</v>
      </c>
      <c r="W21" s="145">
        <f t="shared" si="5"/>
        <v>257.25</v>
      </c>
      <c r="X21" s="145">
        <f t="shared" si="4"/>
        <v>271.95</v>
      </c>
      <c r="Y21" s="145">
        <f t="shared" si="4"/>
        <v>281.65199999999999</v>
      </c>
      <c r="Z21" s="145">
        <f t="shared" si="4"/>
        <v>278.71199999999999</v>
      </c>
      <c r="AA21" s="145">
        <f t="shared" si="4"/>
        <v>296.94</v>
      </c>
      <c r="AB21" s="145">
        <f t="shared" si="4"/>
        <v>302.23200000000003</v>
      </c>
      <c r="AC21" s="145">
        <f t="shared" si="4"/>
        <v>314.87400000000002</v>
      </c>
      <c r="AD21" s="145">
        <f t="shared" si="4"/>
        <v>194.922</v>
      </c>
      <c r="AE21" s="145">
        <f t="shared" si="4"/>
        <v>303.40800000000002</v>
      </c>
      <c r="AF21" s="145">
        <f t="shared" si="4"/>
        <v>298.11599999999999</v>
      </c>
      <c r="AG21" s="145">
        <f t="shared" si="4"/>
        <v>289.00200000000001</v>
      </c>
      <c r="AH21" s="145">
        <f t="shared" si="4"/>
        <v>299.58600000000001</v>
      </c>
    </row>
    <row r="22" spans="1:34" s="146" customFormat="1" ht="12">
      <c r="A22" s="144">
        <f t="shared" si="2"/>
        <v>45800</v>
      </c>
      <c r="B22" s="145"/>
      <c r="C22" s="145">
        <v>909</v>
      </c>
      <c r="D22" s="145">
        <v>902</v>
      </c>
      <c r="E22" s="145">
        <v>863</v>
      </c>
      <c r="F22" s="145">
        <v>927</v>
      </c>
      <c r="G22" s="145">
        <v>969</v>
      </c>
      <c r="H22" s="145">
        <v>946</v>
      </c>
      <c r="I22" s="145">
        <v>1020</v>
      </c>
      <c r="J22" s="145">
        <v>1041</v>
      </c>
      <c r="K22" s="145">
        <v>1057</v>
      </c>
      <c r="L22" s="145">
        <v>724</v>
      </c>
      <c r="M22" s="145">
        <v>1011</v>
      </c>
      <c r="N22" s="145">
        <v>1071</v>
      </c>
      <c r="O22" s="145">
        <v>1004</v>
      </c>
      <c r="P22" s="145">
        <v>1068</v>
      </c>
      <c r="Q22" s="148">
        <v>1056</v>
      </c>
      <c r="R22" s="147">
        <f t="shared" si="3"/>
        <v>-33.4</v>
      </c>
      <c r="S22" s="144">
        <f t="shared" si="1"/>
        <v>45800</v>
      </c>
      <c r="T22" s="145"/>
      <c r="U22" s="145">
        <f t="shared" si="5"/>
        <v>267.24599999999998</v>
      </c>
      <c r="V22" s="145">
        <f t="shared" si="5"/>
        <v>265.18799999999999</v>
      </c>
      <c r="W22" s="145">
        <f t="shared" si="5"/>
        <v>253.72200000000001</v>
      </c>
      <c r="X22" s="145">
        <f t="shared" si="4"/>
        <v>272.53800000000001</v>
      </c>
      <c r="Y22" s="145">
        <f t="shared" si="4"/>
        <v>284.88600000000002</v>
      </c>
      <c r="Z22" s="145">
        <f t="shared" si="4"/>
        <v>278.12400000000002</v>
      </c>
      <c r="AA22" s="145">
        <f t="shared" si="4"/>
        <v>299.88</v>
      </c>
      <c r="AB22" s="145">
        <f t="shared" si="4"/>
        <v>306.05399999999997</v>
      </c>
      <c r="AC22" s="145">
        <f t="shared" si="4"/>
        <v>310.75799999999998</v>
      </c>
      <c r="AD22" s="145">
        <f t="shared" si="4"/>
        <v>212.85599999999999</v>
      </c>
      <c r="AE22" s="145">
        <f t="shared" si="4"/>
        <v>297.23399999999998</v>
      </c>
      <c r="AF22" s="145">
        <f t="shared" si="4"/>
        <v>314.87400000000002</v>
      </c>
      <c r="AG22" s="145">
        <f t="shared" si="4"/>
        <v>295.17599999999999</v>
      </c>
      <c r="AH22" s="145">
        <f t="shared" si="4"/>
        <v>313.99200000000002</v>
      </c>
    </row>
    <row r="23" spans="1:34" s="146" customFormat="1" ht="12">
      <c r="A23" s="144">
        <f t="shared" si="2"/>
        <v>45807</v>
      </c>
      <c r="B23" s="145"/>
      <c r="C23" s="145">
        <v>915</v>
      </c>
      <c r="D23" s="145">
        <v>904</v>
      </c>
      <c r="E23" s="145">
        <v>885</v>
      </c>
      <c r="F23" s="145">
        <v>938</v>
      </c>
      <c r="G23" s="145">
        <v>972</v>
      </c>
      <c r="H23" s="145">
        <v>960</v>
      </c>
      <c r="I23" s="145">
        <v>999</v>
      </c>
      <c r="J23" s="145">
        <v>1041</v>
      </c>
      <c r="K23" s="145">
        <v>1044</v>
      </c>
      <c r="L23" s="145">
        <v>765</v>
      </c>
      <c r="M23" s="145">
        <v>1034</v>
      </c>
      <c r="N23" s="145">
        <v>1039</v>
      </c>
      <c r="O23" s="145">
        <v>1036</v>
      </c>
      <c r="P23" s="145">
        <v>1072</v>
      </c>
      <c r="Q23" s="148">
        <v>1105</v>
      </c>
      <c r="R23" s="147">
        <f t="shared" si="3"/>
        <v>-13.6</v>
      </c>
      <c r="S23" s="144">
        <f t="shared" si="1"/>
        <v>45807</v>
      </c>
      <c r="T23" s="145"/>
      <c r="U23" s="145">
        <f t="shared" si="5"/>
        <v>269.01</v>
      </c>
      <c r="V23" s="145">
        <f t="shared" si="5"/>
        <v>265.77600000000001</v>
      </c>
      <c r="W23" s="145">
        <f t="shared" si="5"/>
        <v>260.19</v>
      </c>
      <c r="X23" s="145">
        <f t="shared" si="4"/>
        <v>275.77199999999999</v>
      </c>
      <c r="Y23" s="145">
        <f t="shared" si="4"/>
        <v>285.76799999999997</v>
      </c>
      <c r="Z23" s="145">
        <f t="shared" si="4"/>
        <v>282.24</v>
      </c>
      <c r="AA23" s="145">
        <f t="shared" si="4"/>
        <v>293.70600000000002</v>
      </c>
      <c r="AB23" s="145">
        <f t="shared" si="4"/>
        <v>306.05399999999997</v>
      </c>
      <c r="AC23" s="145">
        <f t="shared" si="4"/>
        <v>306.93599999999998</v>
      </c>
      <c r="AD23" s="145">
        <f t="shared" si="4"/>
        <v>224.91</v>
      </c>
      <c r="AE23" s="145">
        <f t="shared" si="4"/>
        <v>303.99599999999998</v>
      </c>
      <c r="AF23" s="145">
        <f t="shared" si="4"/>
        <v>305.46600000000001</v>
      </c>
      <c r="AG23" s="145">
        <f t="shared" si="4"/>
        <v>304.584</v>
      </c>
      <c r="AH23" s="145">
        <f t="shared" si="4"/>
        <v>315.16800000000001</v>
      </c>
    </row>
    <row r="24" spans="1:34" s="146" customFormat="1" ht="12">
      <c r="A24" s="144">
        <f t="shared" si="2"/>
        <v>45814</v>
      </c>
      <c r="B24" s="145">
        <v>839</v>
      </c>
      <c r="C24" s="145">
        <v>880</v>
      </c>
      <c r="D24" s="145">
        <v>920</v>
      </c>
      <c r="E24" s="145">
        <v>884</v>
      </c>
      <c r="F24" s="145">
        <v>944</v>
      </c>
      <c r="G24" s="145">
        <v>992</v>
      </c>
      <c r="H24" s="145">
        <v>1006</v>
      </c>
      <c r="I24" s="145">
        <v>1002</v>
      </c>
      <c r="J24" s="145">
        <v>1053</v>
      </c>
      <c r="K24" s="145">
        <v>1096</v>
      </c>
      <c r="L24" s="145">
        <v>837</v>
      </c>
      <c r="M24" s="145">
        <v>1067</v>
      </c>
      <c r="N24" s="145">
        <v>1060</v>
      </c>
      <c r="O24" s="145">
        <v>1018</v>
      </c>
      <c r="P24" s="145">
        <v>1023</v>
      </c>
      <c r="Q24" s="148">
        <v>1120</v>
      </c>
      <c r="R24" s="147">
        <f t="shared" si="3"/>
        <v>-11.8</v>
      </c>
      <c r="S24" s="144">
        <f t="shared" si="1"/>
        <v>45814</v>
      </c>
      <c r="T24" s="145">
        <f t="shared" ref="T24:T54" si="6">B24*42*7/1000</f>
        <v>246.666</v>
      </c>
      <c r="U24" s="145">
        <f t="shared" si="5"/>
        <v>258.72000000000003</v>
      </c>
      <c r="V24" s="145">
        <f t="shared" si="5"/>
        <v>270.48</v>
      </c>
      <c r="W24" s="145">
        <f t="shared" si="5"/>
        <v>259.89600000000002</v>
      </c>
      <c r="X24" s="145">
        <f t="shared" si="4"/>
        <v>277.536</v>
      </c>
      <c r="Y24" s="145">
        <f t="shared" si="4"/>
        <v>291.64800000000002</v>
      </c>
      <c r="Z24" s="145">
        <f t="shared" si="4"/>
        <v>295.76400000000001</v>
      </c>
      <c r="AA24" s="145">
        <f t="shared" si="4"/>
        <v>294.58800000000002</v>
      </c>
      <c r="AB24" s="145">
        <f t="shared" si="4"/>
        <v>309.58199999999999</v>
      </c>
      <c r="AC24" s="145">
        <f t="shared" si="4"/>
        <v>322.22399999999999</v>
      </c>
      <c r="AD24" s="145">
        <f t="shared" si="4"/>
        <v>246.078</v>
      </c>
      <c r="AE24" s="145">
        <f t="shared" si="4"/>
        <v>313.69799999999998</v>
      </c>
      <c r="AF24" s="145">
        <f t="shared" si="4"/>
        <v>311.64</v>
      </c>
      <c r="AG24" s="145">
        <f t="shared" si="4"/>
        <v>299.29199999999997</v>
      </c>
      <c r="AH24" s="145">
        <f t="shared" si="4"/>
        <v>300.762</v>
      </c>
    </row>
    <row r="25" spans="1:34" s="146" customFormat="1" ht="12">
      <c r="A25" s="144">
        <f t="shared" si="2"/>
        <v>45821</v>
      </c>
      <c r="B25" s="145">
        <v>839</v>
      </c>
      <c r="C25" s="145">
        <v>901</v>
      </c>
      <c r="D25" s="145">
        <v>900</v>
      </c>
      <c r="E25" s="145">
        <v>873</v>
      </c>
      <c r="F25" s="145">
        <v>972</v>
      </c>
      <c r="G25" s="145">
        <v>980</v>
      </c>
      <c r="H25" s="145">
        <v>1013</v>
      </c>
      <c r="I25" s="145">
        <v>990</v>
      </c>
      <c r="J25" s="145">
        <v>1064</v>
      </c>
      <c r="K25" s="145">
        <v>1081</v>
      </c>
      <c r="L25" s="145">
        <v>841</v>
      </c>
      <c r="M25" s="145">
        <v>1025</v>
      </c>
      <c r="N25" s="145">
        <v>1055</v>
      </c>
      <c r="O25" s="145">
        <v>1052</v>
      </c>
      <c r="P25" s="145">
        <v>1057</v>
      </c>
      <c r="Q25" s="148">
        <v>1109</v>
      </c>
      <c r="R25" s="147">
        <f t="shared" si="3"/>
        <v>-5</v>
      </c>
      <c r="S25" s="144">
        <f t="shared" si="1"/>
        <v>45821</v>
      </c>
      <c r="T25" s="145">
        <f t="shared" si="6"/>
        <v>246.666</v>
      </c>
      <c r="U25" s="145">
        <f t="shared" si="5"/>
        <v>264.89400000000001</v>
      </c>
      <c r="V25" s="145">
        <f t="shared" si="5"/>
        <v>264.60000000000002</v>
      </c>
      <c r="W25" s="145">
        <f t="shared" si="5"/>
        <v>256.66199999999998</v>
      </c>
      <c r="X25" s="145">
        <f t="shared" si="4"/>
        <v>285.76799999999997</v>
      </c>
      <c r="Y25" s="145">
        <f t="shared" si="4"/>
        <v>288.12</v>
      </c>
      <c r="Z25" s="145">
        <f t="shared" si="4"/>
        <v>297.822</v>
      </c>
      <c r="AA25" s="145">
        <f t="shared" si="4"/>
        <v>291.06</v>
      </c>
      <c r="AB25" s="145">
        <f t="shared" si="4"/>
        <v>312.81599999999997</v>
      </c>
      <c r="AC25" s="145">
        <f t="shared" si="4"/>
        <v>317.81400000000002</v>
      </c>
      <c r="AD25" s="145">
        <f t="shared" si="4"/>
        <v>247.25399999999999</v>
      </c>
      <c r="AE25" s="145">
        <f t="shared" si="4"/>
        <v>301.35000000000002</v>
      </c>
      <c r="AF25" s="145">
        <f t="shared" si="4"/>
        <v>310.17</v>
      </c>
      <c r="AG25" s="145">
        <f t="shared" si="4"/>
        <v>309.28800000000001</v>
      </c>
      <c r="AH25" s="145">
        <f t="shared" si="4"/>
        <v>310.75799999999998</v>
      </c>
    </row>
    <row r="26" spans="1:34" s="146" customFormat="1" ht="12">
      <c r="A26" s="144">
        <f t="shared" si="2"/>
        <v>45828</v>
      </c>
      <c r="B26" s="145">
        <v>846</v>
      </c>
      <c r="C26" s="145">
        <v>893</v>
      </c>
      <c r="D26" s="145">
        <v>883</v>
      </c>
      <c r="E26" s="145">
        <v>885</v>
      </c>
      <c r="F26" s="145">
        <v>938</v>
      </c>
      <c r="G26" s="145">
        <v>994</v>
      </c>
      <c r="H26" s="145">
        <v>962</v>
      </c>
      <c r="I26" s="145">
        <v>1015</v>
      </c>
      <c r="J26" s="145">
        <v>1072</v>
      </c>
      <c r="K26" s="145">
        <v>1072</v>
      </c>
      <c r="L26" s="145">
        <v>893</v>
      </c>
      <c r="M26" s="145">
        <v>1048</v>
      </c>
      <c r="N26" s="145">
        <v>1051</v>
      </c>
      <c r="O26" s="145">
        <v>1052</v>
      </c>
      <c r="P26" s="145">
        <v>1043</v>
      </c>
      <c r="Q26" s="148">
        <v>1081</v>
      </c>
      <c r="R26" s="147">
        <f t="shared" si="3"/>
        <v>-11.4</v>
      </c>
      <c r="S26" s="144">
        <f t="shared" si="1"/>
        <v>45828</v>
      </c>
      <c r="T26" s="145">
        <f t="shared" si="6"/>
        <v>248.72399999999999</v>
      </c>
      <c r="U26" s="145">
        <f t="shared" si="5"/>
        <v>262.54199999999997</v>
      </c>
      <c r="V26" s="145">
        <f t="shared" si="5"/>
        <v>259.60199999999998</v>
      </c>
      <c r="W26" s="145">
        <f t="shared" si="5"/>
        <v>260.19</v>
      </c>
      <c r="X26" s="145">
        <f t="shared" si="4"/>
        <v>275.77199999999999</v>
      </c>
      <c r="Y26" s="145">
        <f t="shared" si="4"/>
        <v>292.23599999999999</v>
      </c>
      <c r="Z26" s="145">
        <f t="shared" si="4"/>
        <v>282.82799999999997</v>
      </c>
      <c r="AA26" s="145">
        <f t="shared" si="4"/>
        <v>298.41000000000003</v>
      </c>
      <c r="AB26" s="145">
        <f t="shared" si="4"/>
        <v>315.16800000000001</v>
      </c>
      <c r="AC26" s="145">
        <f t="shared" si="4"/>
        <v>315.16800000000001</v>
      </c>
      <c r="AD26" s="145">
        <f t="shared" si="4"/>
        <v>262.54199999999997</v>
      </c>
      <c r="AE26" s="145">
        <f t="shared" si="4"/>
        <v>308.11200000000002</v>
      </c>
      <c r="AF26" s="145">
        <f t="shared" si="4"/>
        <v>308.99400000000003</v>
      </c>
      <c r="AG26" s="145">
        <f t="shared" si="4"/>
        <v>309.28800000000001</v>
      </c>
      <c r="AH26" s="145">
        <f t="shared" si="4"/>
        <v>306.642</v>
      </c>
    </row>
    <row r="27" spans="1:34" s="146" customFormat="1" ht="12">
      <c r="A27" s="144">
        <f t="shared" si="2"/>
        <v>45835</v>
      </c>
      <c r="B27" s="145">
        <v>832</v>
      </c>
      <c r="C27" s="145">
        <v>904</v>
      </c>
      <c r="D27" s="145">
        <v>857</v>
      </c>
      <c r="E27" s="145">
        <v>863</v>
      </c>
      <c r="F27" s="145">
        <v>953</v>
      </c>
      <c r="G27" s="145">
        <v>968</v>
      </c>
      <c r="H27" s="145">
        <v>1003</v>
      </c>
      <c r="I27" s="145">
        <v>1014</v>
      </c>
      <c r="J27" s="145">
        <v>1067</v>
      </c>
      <c r="K27" s="145">
        <v>1081</v>
      </c>
      <c r="L27" s="145">
        <v>900</v>
      </c>
      <c r="M27" s="145">
        <v>1058</v>
      </c>
      <c r="N27" s="145">
        <v>1044</v>
      </c>
      <c r="O27" s="145">
        <v>1060</v>
      </c>
      <c r="P27" s="145">
        <v>1064</v>
      </c>
      <c r="Q27" s="148">
        <v>1076</v>
      </c>
      <c r="R27" s="147">
        <f t="shared" si="3"/>
        <v>-7.8</v>
      </c>
      <c r="S27" s="144">
        <f t="shared" si="1"/>
        <v>45835</v>
      </c>
      <c r="T27" s="145">
        <f t="shared" si="6"/>
        <v>244.608</v>
      </c>
      <c r="U27" s="145">
        <f t="shared" si="5"/>
        <v>265.77600000000001</v>
      </c>
      <c r="V27" s="145">
        <f t="shared" si="5"/>
        <v>251.958</v>
      </c>
      <c r="W27" s="145">
        <f t="shared" si="5"/>
        <v>253.72200000000001</v>
      </c>
      <c r="X27" s="145">
        <f t="shared" si="4"/>
        <v>280.18200000000002</v>
      </c>
      <c r="Y27" s="145">
        <f t="shared" si="4"/>
        <v>284.59199999999998</v>
      </c>
      <c r="Z27" s="145">
        <f t="shared" si="4"/>
        <v>294.88200000000001</v>
      </c>
      <c r="AA27" s="145">
        <f t="shared" si="4"/>
        <v>298.11599999999999</v>
      </c>
      <c r="AB27" s="145">
        <f t="shared" si="4"/>
        <v>313.69799999999998</v>
      </c>
      <c r="AC27" s="145">
        <f t="shared" si="4"/>
        <v>317.81400000000002</v>
      </c>
      <c r="AD27" s="145">
        <f t="shared" si="4"/>
        <v>264.60000000000002</v>
      </c>
      <c r="AE27" s="145">
        <f t="shared" si="4"/>
        <v>311.05200000000002</v>
      </c>
      <c r="AF27" s="145">
        <f t="shared" si="4"/>
        <v>306.93599999999998</v>
      </c>
      <c r="AG27" s="145">
        <f t="shared" si="4"/>
        <v>311.64</v>
      </c>
      <c r="AH27" s="145">
        <f t="shared" si="4"/>
        <v>312.81599999999997</v>
      </c>
    </row>
    <row r="28" spans="1:34" s="146" customFormat="1" ht="12">
      <c r="A28" s="144">
        <f t="shared" si="2"/>
        <v>45842</v>
      </c>
      <c r="B28" s="145">
        <v>855</v>
      </c>
      <c r="C28" s="145">
        <v>872</v>
      </c>
      <c r="D28" s="145">
        <v>821</v>
      </c>
      <c r="E28" s="145">
        <v>881</v>
      </c>
      <c r="F28" s="145">
        <v>927</v>
      </c>
      <c r="G28" s="145">
        <v>987</v>
      </c>
      <c r="H28" s="145">
        <v>984</v>
      </c>
      <c r="I28" s="145">
        <v>1007</v>
      </c>
      <c r="J28" s="145">
        <v>1033</v>
      </c>
      <c r="K28" s="145">
        <v>1047</v>
      </c>
      <c r="L28" s="145">
        <v>914</v>
      </c>
      <c r="M28" s="145">
        <v>1067</v>
      </c>
      <c r="N28" s="145">
        <v>1005</v>
      </c>
      <c r="O28" s="145">
        <v>1032</v>
      </c>
      <c r="P28" s="145">
        <v>1054</v>
      </c>
      <c r="Q28" s="148">
        <v>1085</v>
      </c>
      <c r="R28" s="147">
        <f t="shared" si="3"/>
        <v>10.8</v>
      </c>
      <c r="S28" s="144">
        <f t="shared" si="1"/>
        <v>45842</v>
      </c>
      <c r="T28" s="145">
        <f t="shared" si="6"/>
        <v>251.37</v>
      </c>
      <c r="U28" s="145">
        <f t="shared" si="5"/>
        <v>256.36799999999999</v>
      </c>
      <c r="V28" s="145">
        <f t="shared" si="5"/>
        <v>241.374</v>
      </c>
      <c r="W28" s="145">
        <f t="shared" si="5"/>
        <v>259.01400000000001</v>
      </c>
      <c r="X28" s="145">
        <f t="shared" si="4"/>
        <v>272.53800000000001</v>
      </c>
      <c r="Y28" s="145">
        <f t="shared" si="4"/>
        <v>290.178</v>
      </c>
      <c r="Z28" s="145">
        <f t="shared" si="4"/>
        <v>289.29599999999999</v>
      </c>
      <c r="AA28" s="145">
        <f t="shared" si="4"/>
        <v>296.05799999999999</v>
      </c>
      <c r="AB28" s="145">
        <f t="shared" si="4"/>
        <v>303.702</v>
      </c>
      <c r="AC28" s="145">
        <f t="shared" si="4"/>
        <v>307.81799999999998</v>
      </c>
      <c r="AD28" s="145">
        <f t="shared" si="4"/>
        <v>268.71600000000001</v>
      </c>
      <c r="AE28" s="145">
        <f t="shared" si="4"/>
        <v>313.69799999999998</v>
      </c>
      <c r="AF28" s="145">
        <f t="shared" si="4"/>
        <v>295.47000000000003</v>
      </c>
      <c r="AG28" s="145">
        <f t="shared" si="4"/>
        <v>303.40800000000002</v>
      </c>
      <c r="AH28" s="145">
        <f t="shared" si="4"/>
        <v>309.87599999999998</v>
      </c>
    </row>
    <row r="29" spans="1:34" s="146" customFormat="1" ht="12">
      <c r="A29" s="144">
        <f t="shared" si="2"/>
        <v>45849</v>
      </c>
      <c r="B29" s="145">
        <v>821</v>
      </c>
      <c r="C29" s="145">
        <v>873</v>
      </c>
      <c r="D29" s="145">
        <v>802</v>
      </c>
      <c r="E29" s="145">
        <v>876</v>
      </c>
      <c r="F29" s="145">
        <v>943</v>
      </c>
      <c r="G29" s="145">
        <v>984</v>
      </c>
      <c r="H29" s="145">
        <v>1004</v>
      </c>
      <c r="I29" s="145">
        <v>1026</v>
      </c>
      <c r="J29" s="145">
        <v>1064</v>
      </c>
      <c r="K29" s="145">
        <v>1066</v>
      </c>
      <c r="L29" s="145">
        <v>931</v>
      </c>
      <c r="M29" s="145">
        <v>1041</v>
      </c>
      <c r="N29" s="145">
        <v>1034</v>
      </c>
      <c r="O29" s="145">
        <v>1070</v>
      </c>
      <c r="P29" s="145">
        <v>1106</v>
      </c>
      <c r="Q29" s="148">
        <v>1087</v>
      </c>
      <c r="R29" s="147">
        <f t="shared" si="3"/>
        <v>-22</v>
      </c>
      <c r="S29" s="144">
        <f t="shared" si="1"/>
        <v>45849</v>
      </c>
      <c r="T29" s="145">
        <f t="shared" si="6"/>
        <v>241.374</v>
      </c>
      <c r="U29" s="145">
        <f t="shared" si="5"/>
        <v>256.66199999999998</v>
      </c>
      <c r="V29" s="145">
        <f t="shared" si="5"/>
        <v>235.78800000000001</v>
      </c>
      <c r="W29" s="145">
        <f t="shared" si="5"/>
        <v>257.54399999999998</v>
      </c>
      <c r="X29" s="145">
        <f t="shared" si="4"/>
        <v>277.24200000000002</v>
      </c>
      <c r="Y29" s="145">
        <f t="shared" si="4"/>
        <v>289.29599999999999</v>
      </c>
      <c r="Z29" s="145">
        <f t="shared" si="4"/>
        <v>295.17599999999999</v>
      </c>
      <c r="AA29" s="145">
        <f t="shared" si="4"/>
        <v>301.64400000000001</v>
      </c>
      <c r="AB29" s="145">
        <f t="shared" si="4"/>
        <v>312.81599999999997</v>
      </c>
      <c r="AC29" s="145">
        <f t="shared" si="4"/>
        <v>313.404</v>
      </c>
      <c r="AD29" s="145">
        <f t="shared" si="4"/>
        <v>273.714</v>
      </c>
      <c r="AE29" s="145">
        <f t="shared" si="4"/>
        <v>306.05399999999997</v>
      </c>
      <c r="AF29" s="145">
        <f t="shared" si="4"/>
        <v>303.99599999999998</v>
      </c>
      <c r="AG29" s="145">
        <f t="shared" si="4"/>
        <v>314.58</v>
      </c>
      <c r="AH29" s="145">
        <f t="shared" si="4"/>
        <v>325.16399999999999</v>
      </c>
    </row>
    <row r="30" spans="1:34" s="146" customFormat="1" ht="12">
      <c r="A30" s="144">
        <f t="shared" si="2"/>
        <v>45856</v>
      </c>
      <c r="B30" s="145">
        <v>836</v>
      </c>
      <c r="C30" s="145">
        <v>874</v>
      </c>
      <c r="D30" s="145">
        <v>796</v>
      </c>
      <c r="E30" s="145">
        <v>853</v>
      </c>
      <c r="F30" s="145">
        <v>959</v>
      </c>
      <c r="G30" s="145">
        <v>973</v>
      </c>
      <c r="H30" s="145">
        <v>1029</v>
      </c>
      <c r="I30" s="145">
        <v>1012</v>
      </c>
      <c r="J30" s="145">
        <v>1074</v>
      </c>
      <c r="K30" s="145">
        <v>1039</v>
      </c>
      <c r="L30" s="145">
        <v>908</v>
      </c>
      <c r="M30" s="145">
        <v>1028</v>
      </c>
      <c r="N30" s="145">
        <v>1021</v>
      </c>
      <c r="O30" s="145">
        <v>1094</v>
      </c>
      <c r="P30" s="145">
        <v>1095</v>
      </c>
      <c r="Q30" s="148">
        <v>1078</v>
      </c>
      <c r="R30" s="147">
        <f t="shared" si="3"/>
        <v>7.2</v>
      </c>
      <c r="S30" s="144">
        <f t="shared" si="1"/>
        <v>45856</v>
      </c>
      <c r="T30" s="145">
        <f t="shared" si="6"/>
        <v>245.78399999999999</v>
      </c>
      <c r="U30" s="145">
        <f t="shared" si="5"/>
        <v>256.95600000000002</v>
      </c>
      <c r="V30" s="145">
        <f t="shared" si="5"/>
        <v>234.024</v>
      </c>
      <c r="W30" s="145">
        <f t="shared" si="5"/>
        <v>250.78200000000001</v>
      </c>
      <c r="X30" s="145">
        <f t="shared" si="4"/>
        <v>281.94600000000003</v>
      </c>
      <c r="Y30" s="145">
        <f t="shared" si="4"/>
        <v>286.06200000000001</v>
      </c>
      <c r="Z30" s="145">
        <f t="shared" si="4"/>
        <v>302.52600000000001</v>
      </c>
      <c r="AA30" s="145">
        <f t="shared" si="4"/>
        <v>297.52800000000002</v>
      </c>
      <c r="AB30" s="145">
        <f t="shared" si="4"/>
        <v>315.75599999999997</v>
      </c>
      <c r="AC30" s="145">
        <f t="shared" si="4"/>
        <v>305.46600000000001</v>
      </c>
      <c r="AD30" s="145">
        <f t="shared" si="4"/>
        <v>266.952</v>
      </c>
      <c r="AE30" s="145">
        <f t="shared" si="4"/>
        <v>302.23200000000003</v>
      </c>
      <c r="AF30" s="145">
        <f t="shared" si="4"/>
        <v>300.17399999999998</v>
      </c>
      <c r="AG30" s="145">
        <f t="shared" si="4"/>
        <v>321.63600000000002</v>
      </c>
      <c r="AH30" s="145">
        <f t="shared" si="4"/>
        <v>321.93</v>
      </c>
    </row>
    <row r="31" spans="1:34" s="146" customFormat="1" ht="12">
      <c r="A31" s="144">
        <f t="shared" si="2"/>
        <v>45863</v>
      </c>
      <c r="B31" s="145">
        <v>816</v>
      </c>
      <c r="C31" s="145">
        <v>878</v>
      </c>
      <c r="D31" s="145">
        <v>809</v>
      </c>
      <c r="E31" s="145">
        <v>832</v>
      </c>
      <c r="F31" s="145">
        <v>954</v>
      </c>
      <c r="G31" s="145">
        <v>965</v>
      </c>
      <c r="H31" s="145">
        <v>998</v>
      </c>
      <c r="I31" s="145">
        <v>1002</v>
      </c>
      <c r="J31" s="145">
        <v>1064</v>
      </c>
      <c r="K31" s="145">
        <v>1031</v>
      </c>
      <c r="L31" s="145">
        <v>958</v>
      </c>
      <c r="M31" s="145">
        <v>1014</v>
      </c>
      <c r="N31" s="145">
        <v>1043</v>
      </c>
      <c r="O31" s="145">
        <v>1067</v>
      </c>
      <c r="P31" s="145">
        <v>1109</v>
      </c>
      <c r="Q31" s="148">
        <v>1096</v>
      </c>
      <c r="R31" s="147">
        <f t="shared" si="3"/>
        <v>-9</v>
      </c>
      <c r="S31" s="144">
        <f t="shared" si="1"/>
        <v>45863</v>
      </c>
      <c r="T31" s="145">
        <f t="shared" si="6"/>
        <v>239.904</v>
      </c>
      <c r="U31" s="145">
        <f t="shared" si="5"/>
        <v>258.13200000000001</v>
      </c>
      <c r="V31" s="145">
        <f t="shared" si="5"/>
        <v>237.846</v>
      </c>
      <c r="W31" s="145">
        <f t="shared" si="5"/>
        <v>244.608</v>
      </c>
      <c r="X31" s="145">
        <f t="shared" si="4"/>
        <v>280.476</v>
      </c>
      <c r="Y31" s="145">
        <f t="shared" si="4"/>
        <v>283.70999999999998</v>
      </c>
      <c r="Z31" s="145">
        <f t="shared" si="4"/>
        <v>293.41199999999998</v>
      </c>
      <c r="AA31" s="145">
        <f t="shared" si="4"/>
        <v>294.58800000000002</v>
      </c>
      <c r="AB31" s="145">
        <f t="shared" si="4"/>
        <v>312.81599999999997</v>
      </c>
      <c r="AC31" s="145">
        <f t="shared" si="4"/>
        <v>303.11399999999998</v>
      </c>
      <c r="AD31" s="145">
        <f t="shared" si="4"/>
        <v>281.65199999999999</v>
      </c>
      <c r="AE31" s="145">
        <f t="shared" si="4"/>
        <v>298.11599999999999</v>
      </c>
      <c r="AF31" s="145">
        <f t="shared" si="4"/>
        <v>306.642</v>
      </c>
      <c r="AG31" s="145">
        <f t="shared" si="4"/>
        <v>313.69799999999998</v>
      </c>
      <c r="AH31" s="145">
        <f t="shared" si="4"/>
        <v>326.04599999999999</v>
      </c>
    </row>
    <row r="32" spans="1:34" s="146" customFormat="1" ht="12">
      <c r="A32" s="144">
        <f t="shared" si="2"/>
        <v>45870</v>
      </c>
      <c r="B32" s="145">
        <v>873</v>
      </c>
      <c r="C32" s="145">
        <v>908</v>
      </c>
      <c r="D32" s="145">
        <v>817</v>
      </c>
      <c r="E32" s="145">
        <v>853</v>
      </c>
      <c r="F32" s="145">
        <v>902</v>
      </c>
      <c r="G32" s="145">
        <v>961</v>
      </c>
      <c r="H32" s="145">
        <v>1004</v>
      </c>
      <c r="I32" s="145">
        <v>1012</v>
      </c>
      <c r="J32" s="145">
        <v>1100</v>
      </c>
      <c r="K32" s="145">
        <v>1040</v>
      </c>
      <c r="L32" s="145">
        <v>931</v>
      </c>
      <c r="M32" s="145">
        <v>1013</v>
      </c>
      <c r="N32" s="145">
        <v>1022</v>
      </c>
      <c r="O32" s="145">
        <v>1023</v>
      </c>
      <c r="P32" s="145">
        <v>1067</v>
      </c>
      <c r="Q32" s="148">
        <v>1081</v>
      </c>
      <c r="R32" s="147">
        <f t="shared" si="3"/>
        <v>27</v>
      </c>
      <c r="S32" s="144">
        <f t="shared" si="1"/>
        <v>45870</v>
      </c>
      <c r="T32" s="145">
        <f t="shared" si="6"/>
        <v>256.66199999999998</v>
      </c>
      <c r="U32" s="145">
        <f t="shared" si="5"/>
        <v>266.952</v>
      </c>
      <c r="V32" s="145">
        <f t="shared" si="5"/>
        <v>240.19800000000001</v>
      </c>
      <c r="W32" s="145">
        <f t="shared" si="5"/>
        <v>250.78200000000001</v>
      </c>
      <c r="X32" s="145">
        <f t="shared" si="4"/>
        <v>265.18799999999999</v>
      </c>
      <c r="Y32" s="145">
        <f t="shared" si="4"/>
        <v>282.53399999999999</v>
      </c>
      <c r="Z32" s="145">
        <f t="shared" si="4"/>
        <v>295.17599999999999</v>
      </c>
      <c r="AA32" s="145">
        <f t="shared" si="4"/>
        <v>297.52800000000002</v>
      </c>
      <c r="AB32" s="145">
        <f t="shared" si="4"/>
        <v>323.39999999999998</v>
      </c>
      <c r="AC32" s="145">
        <f t="shared" si="4"/>
        <v>305.76</v>
      </c>
      <c r="AD32" s="145">
        <f t="shared" si="4"/>
        <v>273.714</v>
      </c>
      <c r="AE32" s="145">
        <f t="shared" si="4"/>
        <v>297.822</v>
      </c>
      <c r="AF32" s="145">
        <f t="shared" si="4"/>
        <v>300.46800000000002</v>
      </c>
      <c r="AG32" s="145">
        <f t="shared" si="4"/>
        <v>300.762</v>
      </c>
      <c r="AH32" s="145">
        <f t="shared" si="4"/>
        <v>313.69799999999998</v>
      </c>
    </row>
    <row r="33" spans="1:34" s="146" customFormat="1" ht="12">
      <c r="A33" s="144">
        <f t="shared" si="2"/>
        <v>45877</v>
      </c>
      <c r="B33" s="145">
        <v>866</v>
      </c>
      <c r="C33" s="145">
        <v>899</v>
      </c>
      <c r="D33" s="145">
        <v>819</v>
      </c>
      <c r="E33" s="145">
        <v>857</v>
      </c>
      <c r="F33" s="145">
        <v>931</v>
      </c>
      <c r="G33" s="145">
        <v>965</v>
      </c>
      <c r="H33" s="145">
        <v>1018</v>
      </c>
      <c r="I33" s="145">
        <v>1059</v>
      </c>
      <c r="J33" s="145">
        <v>1072</v>
      </c>
      <c r="K33" s="145">
        <v>1045</v>
      </c>
      <c r="L33" s="145">
        <v>918</v>
      </c>
      <c r="M33" s="145">
        <v>986</v>
      </c>
      <c r="N33" s="145">
        <v>983</v>
      </c>
      <c r="O33" s="145">
        <v>1069</v>
      </c>
      <c r="P33" s="145">
        <v>1072</v>
      </c>
      <c r="Q33" s="148">
        <v>1093</v>
      </c>
      <c r="R33" s="147">
        <f t="shared" si="3"/>
        <v>5.6</v>
      </c>
      <c r="S33" s="144">
        <f t="shared" si="1"/>
        <v>45877</v>
      </c>
      <c r="T33" s="145">
        <f t="shared" si="6"/>
        <v>254.60400000000001</v>
      </c>
      <c r="U33" s="145">
        <f t="shared" si="5"/>
        <v>264.30599999999998</v>
      </c>
      <c r="V33" s="145">
        <f t="shared" si="5"/>
        <v>240.786</v>
      </c>
      <c r="W33" s="145">
        <f t="shared" si="5"/>
        <v>251.958</v>
      </c>
      <c r="X33" s="145">
        <f t="shared" si="4"/>
        <v>273.714</v>
      </c>
      <c r="Y33" s="145">
        <f t="shared" si="4"/>
        <v>283.70999999999998</v>
      </c>
      <c r="Z33" s="145">
        <f t="shared" si="4"/>
        <v>299.29199999999997</v>
      </c>
      <c r="AA33" s="145">
        <f t="shared" si="4"/>
        <v>311.346</v>
      </c>
      <c r="AB33" s="145">
        <f t="shared" si="4"/>
        <v>315.16800000000001</v>
      </c>
      <c r="AC33" s="145">
        <f t="shared" si="4"/>
        <v>307.23</v>
      </c>
      <c r="AD33" s="145">
        <f t="shared" si="4"/>
        <v>269.892</v>
      </c>
      <c r="AE33" s="145">
        <f t="shared" si="4"/>
        <v>289.88400000000001</v>
      </c>
      <c r="AF33" s="145">
        <f t="shared" si="4"/>
        <v>289.00200000000001</v>
      </c>
      <c r="AG33" s="145">
        <f t="shared" si="4"/>
        <v>314.286</v>
      </c>
      <c r="AH33" s="145">
        <f t="shared" si="4"/>
        <v>315.16800000000001</v>
      </c>
    </row>
    <row r="34" spans="1:34" s="146" customFormat="1" ht="12">
      <c r="A34" s="144">
        <f t="shared" si="2"/>
        <v>45884</v>
      </c>
      <c r="B34" s="145">
        <v>860</v>
      </c>
      <c r="C34" s="145">
        <v>904</v>
      </c>
      <c r="D34" s="145">
        <v>823</v>
      </c>
      <c r="E34" s="145">
        <v>844</v>
      </c>
      <c r="F34" s="145">
        <v>937</v>
      </c>
      <c r="G34" s="145">
        <v>965</v>
      </c>
      <c r="H34" s="145">
        <v>1029</v>
      </c>
      <c r="I34" s="145">
        <v>1052</v>
      </c>
      <c r="J34" s="145">
        <v>1073</v>
      </c>
      <c r="K34" s="145">
        <v>1023</v>
      </c>
      <c r="L34" s="145">
        <v>926</v>
      </c>
      <c r="M34" s="145">
        <v>973</v>
      </c>
      <c r="N34" s="145">
        <v>987</v>
      </c>
      <c r="O34" s="145">
        <v>1048</v>
      </c>
      <c r="P34" s="145">
        <v>1098</v>
      </c>
      <c r="Q34" s="148">
        <v>1072</v>
      </c>
      <c r="R34" s="147">
        <f t="shared" si="3"/>
        <v>-0.8</v>
      </c>
      <c r="S34" s="144">
        <f t="shared" si="1"/>
        <v>45884</v>
      </c>
      <c r="T34" s="145">
        <f t="shared" si="6"/>
        <v>252.84</v>
      </c>
      <c r="U34" s="145">
        <f t="shared" si="5"/>
        <v>265.77600000000001</v>
      </c>
      <c r="V34" s="145">
        <f t="shared" si="5"/>
        <v>241.96199999999999</v>
      </c>
      <c r="W34" s="145">
        <f t="shared" si="5"/>
        <v>248.136</v>
      </c>
      <c r="X34" s="145">
        <f t="shared" si="4"/>
        <v>275.47800000000001</v>
      </c>
      <c r="Y34" s="145">
        <f t="shared" si="4"/>
        <v>283.70999999999998</v>
      </c>
      <c r="Z34" s="145">
        <f t="shared" si="4"/>
        <v>302.52600000000001</v>
      </c>
      <c r="AA34" s="145">
        <f t="shared" si="4"/>
        <v>309.28800000000001</v>
      </c>
      <c r="AB34" s="145">
        <f t="shared" si="4"/>
        <v>315.46199999999999</v>
      </c>
      <c r="AC34" s="145">
        <f t="shared" si="4"/>
        <v>300.762</v>
      </c>
      <c r="AD34" s="145">
        <f t="shared" si="4"/>
        <v>272.24400000000003</v>
      </c>
      <c r="AE34" s="145">
        <f t="shared" si="4"/>
        <v>286.06200000000001</v>
      </c>
      <c r="AF34" s="145">
        <f t="shared" si="4"/>
        <v>290.178</v>
      </c>
      <c r="AG34" s="145">
        <f t="shared" si="4"/>
        <v>308.11200000000002</v>
      </c>
      <c r="AH34" s="145">
        <f t="shared" si="4"/>
        <v>322.81200000000001</v>
      </c>
    </row>
    <row r="35" spans="1:34" s="146" customFormat="1" ht="12">
      <c r="A35" s="144">
        <f t="shared" si="2"/>
        <v>45891</v>
      </c>
      <c r="B35" s="145">
        <v>835</v>
      </c>
      <c r="C35" s="145">
        <v>888</v>
      </c>
      <c r="D35" s="145">
        <v>819</v>
      </c>
      <c r="E35" s="145">
        <v>820</v>
      </c>
      <c r="F35" s="145">
        <v>913</v>
      </c>
      <c r="G35" s="145">
        <v>952</v>
      </c>
      <c r="H35" s="145">
        <v>1028</v>
      </c>
      <c r="I35" s="145">
        <v>1042</v>
      </c>
      <c r="J35" s="145">
        <v>1070</v>
      </c>
      <c r="K35" s="145">
        <v>1038</v>
      </c>
      <c r="L35" s="145">
        <v>931</v>
      </c>
      <c r="M35" s="145">
        <v>933</v>
      </c>
      <c r="N35" s="145">
        <v>970</v>
      </c>
      <c r="O35" s="145">
        <v>1007</v>
      </c>
      <c r="P35" s="145">
        <v>1071</v>
      </c>
      <c r="Q35" s="148">
        <v>1070</v>
      </c>
      <c r="R35" s="147">
        <f t="shared" si="3"/>
        <v>24</v>
      </c>
      <c r="S35" s="144">
        <f t="shared" si="1"/>
        <v>45891</v>
      </c>
      <c r="T35" s="145">
        <f t="shared" si="6"/>
        <v>245.49</v>
      </c>
      <c r="U35" s="145">
        <f t="shared" si="5"/>
        <v>261.072</v>
      </c>
      <c r="V35" s="145">
        <f t="shared" si="5"/>
        <v>240.786</v>
      </c>
      <c r="W35" s="145">
        <f t="shared" si="5"/>
        <v>241.08</v>
      </c>
      <c r="X35" s="145">
        <f t="shared" si="4"/>
        <v>268.42200000000003</v>
      </c>
      <c r="Y35" s="145">
        <f t="shared" si="4"/>
        <v>279.88799999999998</v>
      </c>
      <c r="Z35" s="145">
        <f t="shared" si="4"/>
        <v>302.23200000000003</v>
      </c>
      <c r="AA35" s="145">
        <f t="shared" si="4"/>
        <v>306.34800000000001</v>
      </c>
      <c r="AB35" s="145">
        <f t="shared" si="4"/>
        <v>314.58</v>
      </c>
      <c r="AC35" s="145">
        <f t="shared" si="4"/>
        <v>305.17200000000003</v>
      </c>
      <c r="AD35" s="145">
        <f t="shared" si="4"/>
        <v>273.714</v>
      </c>
      <c r="AE35" s="145">
        <f t="shared" si="4"/>
        <v>274.30200000000002</v>
      </c>
      <c r="AF35" s="145">
        <f t="shared" si="4"/>
        <v>285.18</v>
      </c>
      <c r="AG35" s="145">
        <f t="shared" si="4"/>
        <v>296.05799999999999</v>
      </c>
      <c r="AH35" s="145">
        <f t="shared" si="4"/>
        <v>314.87400000000002</v>
      </c>
    </row>
    <row r="36" spans="1:34" s="146" customFormat="1" ht="12">
      <c r="A36" s="144">
        <f t="shared" si="2"/>
        <v>45898</v>
      </c>
      <c r="B36" s="145">
        <v>856</v>
      </c>
      <c r="C36" s="145">
        <v>896</v>
      </c>
      <c r="D36" s="145">
        <v>829</v>
      </c>
      <c r="E36" s="145">
        <v>819</v>
      </c>
      <c r="F36" s="145">
        <v>921</v>
      </c>
      <c r="G36" s="145">
        <v>948</v>
      </c>
      <c r="H36" s="145">
        <v>1023</v>
      </c>
      <c r="I36" s="145">
        <v>1060</v>
      </c>
      <c r="J36" s="145">
        <v>1087</v>
      </c>
      <c r="K36" s="145">
        <v>1013</v>
      </c>
      <c r="L36" s="145">
        <v>922</v>
      </c>
      <c r="M36" s="145">
        <v>905</v>
      </c>
      <c r="N36" s="145">
        <v>989</v>
      </c>
      <c r="O36" s="145">
        <v>1012</v>
      </c>
      <c r="P36" s="145">
        <v>1061</v>
      </c>
      <c r="Q36" s="148">
        <v>1075</v>
      </c>
      <c r="R36" s="147">
        <f t="shared" si="3"/>
        <v>4.5999999999999996</v>
      </c>
      <c r="S36" s="144">
        <f t="shared" si="1"/>
        <v>45898</v>
      </c>
      <c r="T36" s="145">
        <f t="shared" si="6"/>
        <v>251.66399999999999</v>
      </c>
      <c r="U36" s="145">
        <f t="shared" si="5"/>
        <v>263.42399999999998</v>
      </c>
      <c r="V36" s="145">
        <f t="shared" si="5"/>
        <v>243.726</v>
      </c>
      <c r="W36" s="145">
        <f t="shared" si="5"/>
        <v>240.786</v>
      </c>
      <c r="X36" s="145">
        <f t="shared" si="4"/>
        <v>270.774</v>
      </c>
      <c r="Y36" s="145">
        <f t="shared" si="4"/>
        <v>278.71199999999999</v>
      </c>
      <c r="Z36" s="145">
        <f t="shared" si="4"/>
        <v>300.762</v>
      </c>
      <c r="AA36" s="145">
        <f t="shared" si="4"/>
        <v>311.64</v>
      </c>
      <c r="AB36" s="145">
        <f t="shared" si="4"/>
        <v>319.57799999999997</v>
      </c>
      <c r="AC36" s="145">
        <f t="shared" si="4"/>
        <v>297.822</v>
      </c>
      <c r="AD36" s="145">
        <f t="shared" si="4"/>
        <v>271.06799999999998</v>
      </c>
      <c r="AE36" s="145">
        <f t="shared" si="4"/>
        <v>266.07</v>
      </c>
      <c r="AF36" s="145">
        <f t="shared" si="4"/>
        <v>290.76600000000002</v>
      </c>
      <c r="AG36" s="145">
        <f t="shared" si="4"/>
        <v>297.52800000000002</v>
      </c>
      <c r="AH36" s="145">
        <f t="shared" si="4"/>
        <v>311.93400000000003</v>
      </c>
    </row>
    <row r="37" spans="1:34" s="146" customFormat="1" ht="12">
      <c r="A37" s="144">
        <f t="shared" si="2"/>
        <v>45905</v>
      </c>
      <c r="B37" s="145">
        <v>875</v>
      </c>
      <c r="C37" s="145">
        <v>879</v>
      </c>
      <c r="D37" s="145">
        <v>816</v>
      </c>
      <c r="E37" s="145">
        <v>848</v>
      </c>
      <c r="F37" s="145">
        <v>927</v>
      </c>
      <c r="G37" s="145">
        <v>958</v>
      </c>
      <c r="H37" s="145">
        <v>998</v>
      </c>
      <c r="I37" s="145">
        <v>1047</v>
      </c>
      <c r="J37" s="145">
        <v>1020</v>
      </c>
      <c r="K37" s="145">
        <v>1023</v>
      </c>
      <c r="L37" s="145">
        <v>941</v>
      </c>
      <c r="M37" s="145">
        <v>923</v>
      </c>
      <c r="N37" s="145">
        <v>963</v>
      </c>
      <c r="O37" s="145">
        <v>1039</v>
      </c>
      <c r="P37" s="145">
        <v>1080</v>
      </c>
      <c r="Q37" s="148">
        <v>1105</v>
      </c>
      <c r="R37" s="147">
        <f t="shared" si="3"/>
        <v>-11.4</v>
      </c>
      <c r="S37" s="144">
        <f t="shared" si="1"/>
        <v>45905</v>
      </c>
      <c r="T37" s="145">
        <f t="shared" si="6"/>
        <v>257.25</v>
      </c>
      <c r="U37" s="145">
        <f t="shared" si="5"/>
        <v>258.42599999999999</v>
      </c>
      <c r="V37" s="145">
        <f t="shared" si="5"/>
        <v>239.904</v>
      </c>
      <c r="W37" s="145">
        <f t="shared" si="5"/>
        <v>249.31200000000001</v>
      </c>
      <c r="X37" s="145">
        <f t="shared" si="4"/>
        <v>272.53800000000001</v>
      </c>
      <c r="Y37" s="145">
        <f t="shared" si="4"/>
        <v>281.65199999999999</v>
      </c>
      <c r="Z37" s="145">
        <f t="shared" si="4"/>
        <v>293.41199999999998</v>
      </c>
      <c r="AA37" s="145">
        <f t="shared" si="4"/>
        <v>307.81799999999998</v>
      </c>
      <c r="AB37" s="145">
        <f t="shared" si="4"/>
        <v>299.88</v>
      </c>
      <c r="AC37" s="145">
        <f t="shared" si="4"/>
        <v>300.762</v>
      </c>
      <c r="AD37" s="145">
        <f t="shared" si="4"/>
        <v>276.654</v>
      </c>
      <c r="AE37" s="145">
        <f t="shared" si="4"/>
        <v>271.36200000000002</v>
      </c>
      <c r="AF37" s="145">
        <f t="shared" si="4"/>
        <v>283.12200000000001</v>
      </c>
      <c r="AG37" s="145">
        <f t="shared" si="4"/>
        <v>305.46600000000001</v>
      </c>
      <c r="AH37" s="145">
        <f t="shared" si="4"/>
        <v>317.52</v>
      </c>
    </row>
    <row r="38" spans="1:34" s="146" customFormat="1" ht="12">
      <c r="A38" s="144">
        <f t="shared" si="2"/>
        <v>45912</v>
      </c>
      <c r="B38" s="145">
        <v>872</v>
      </c>
      <c r="C38" s="145">
        <v>871</v>
      </c>
      <c r="D38" s="145">
        <v>834</v>
      </c>
      <c r="E38" s="145">
        <v>838</v>
      </c>
      <c r="F38" s="145">
        <v>931</v>
      </c>
      <c r="G38" s="145">
        <v>961</v>
      </c>
      <c r="H38" s="145">
        <v>1004</v>
      </c>
      <c r="I38" s="145">
        <v>1033</v>
      </c>
      <c r="J38" s="145">
        <v>1051</v>
      </c>
      <c r="K38" s="145">
        <v>1003</v>
      </c>
      <c r="L38" s="145">
        <v>926</v>
      </c>
      <c r="M38" s="145">
        <v>937</v>
      </c>
      <c r="N38" s="145">
        <v>901</v>
      </c>
      <c r="O38" s="145">
        <v>980</v>
      </c>
      <c r="P38" s="145">
        <v>1049</v>
      </c>
      <c r="Q38" s="148">
        <v>1055</v>
      </c>
      <c r="R38" s="147">
        <f t="shared" si="3"/>
        <v>30.6</v>
      </c>
      <c r="S38" s="144">
        <f t="shared" si="1"/>
        <v>45912</v>
      </c>
      <c r="T38" s="145">
        <f t="shared" si="6"/>
        <v>256.36799999999999</v>
      </c>
      <c r="U38" s="145">
        <f t="shared" si="5"/>
        <v>256.07400000000001</v>
      </c>
      <c r="V38" s="145">
        <f t="shared" si="5"/>
        <v>245.196</v>
      </c>
      <c r="W38" s="145">
        <f t="shared" si="5"/>
        <v>246.37200000000001</v>
      </c>
      <c r="X38" s="145">
        <f t="shared" si="4"/>
        <v>273.714</v>
      </c>
      <c r="Y38" s="145">
        <f t="shared" si="4"/>
        <v>282.53399999999999</v>
      </c>
      <c r="Z38" s="145">
        <f t="shared" si="4"/>
        <v>295.17599999999999</v>
      </c>
      <c r="AA38" s="145">
        <f t="shared" si="4"/>
        <v>303.702</v>
      </c>
      <c r="AB38" s="145">
        <f t="shared" si="4"/>
        <v>308.99400000000003</v>
      </c>
      <c r="AC38" s="145">
        <f t="shared" si="4"/>
        <v>294.88200000000001</v>
      </c>
      <c r="AD38" s="145">
        <f t="shared" si="4"/>
        <v>272.24400000000003</v>
      </c>
      <c r="AE38" s="145">
        <f t="shared" si="4"/>
        <v>275.47800000000001</v>
      </c>
      <c r="AF38" s="145">
        <f t="shared" si="4"/>
        <v>264.89400000000001</v>
      </c>
      <c r="AG38" s="145">
        <f t="shared" si="4"/>
        <v>288.12</v>
      </c>
      <c r="AH38" s="145">
        <f t="shared" si="4"/>
        <v>308.40600000000001</v>
      </c>
    </row>
    <row r="39" spans="1:34" s="146" customFormat="1" ht="12">
      <c r="A39" s="144">
        <f t="shared" si="2"/>
        <v>45919</v>
      </c>
      <c r="B39" s="145">
        <v>850</v>
      </c>
      <c r="C39" s="145">
        <v>841</v>
      </c>
      <c r="D39" s="145">
        <v>809</v>
      </c>
      <c r="E39" s="145">
        <v>832</v>
      </c>
      <c r="F39" s="145">
        <v>889</v>
      </c>
      <c r="G39" s="145">
        <v>938</v>
      </c>
      <c r="H39" s="145">
        <v>981</v>
      </c>
      <c r="I39" s="145">
        <v>996</v>
      </c>
      <c r="J39" s="145">
        <v>1036</v>
      </c>
      <c r="K39" s="145">
        <v>943</v>
      </c>
      <c r="L39" s="145">
        <v>906</v>
      </c>
      <c r="M39" s="145">
        <v>926</v>
      </c>
      <c r="N39" s="145">
        <v>855</v>
      </c>
      <c r="O39" s="145">
        <v>1009</v>
      </c>
      <c r="P39" s="145">
        <v>994</v>
      </c>
      <c r="Q39" s="148">
        <v>1024</v>
      </c>
      <c r="R39" s="147">
        <f t="shared" si="3"/>
        <v>20.6</v>
      </c>
      <c r="S39" s="144">
        <f t="shared" si="1"/>
        <v>45919</v>
      </c>
      <c r="T39" s="145">
        <f t="shared" si="6"/>
        <v>249.9</v>
      </c>
      <c r="U39" s="145">
        <f t="shared" si="5"/>
        <v>247.25399999999999</v>
      </c>
      <c r="V39" s="145">
        <f t="shared" si="5"/>
        <v>237.846</v>
      </c>
      <c r="W39" s="145">
        <f t="shared" si="5"/>
        <v>244.608</v>
      </c>
      <c r="X39" s="145">
        <f t="shared" si="4"/>
        <v>261.36599999999999</v>
      </c>
      <c r="Y39" s="145">
        <f t="shared" si="4"/>
        <v>275.77199999999999</v>
      </c>
      <c r="Z39" s="145">
        <f t="shared" si="4"/>
        <v>288.41399999999999</v>
      </c>
      <c r="AA39" s="145">
        <f t="shared" si="4"/>
        <v>292.82400000000001</v>
      </c>
      <c r="AB39" s="145">
        <f t="shared" si="4"/>
        <v>304.584</v>
      </c>
      <c r="AC39" s="145">
        <f t="shared" si="4"/>
        <v>277.24200000000002</v>
      </c>
      <c r="AD39" s="145">
        <f t="shared" si="4"/>
        <v>266.36399999999998</v>
      </c>
      <c r="AE39" s="145">
        <f t="shared" si="4"/>
        <v>272.24400000000003</v>
      </c>
      <c r="AF39" s="145">
        <f t="shared" si="4"/>
        <v>251.37</v>
      </c>
      <c r="AG39" s="145">
        <f t="shared" si="4"/>
        <v>296.64600000000002</v>
      </c>
      <c r="AH39" s="145">
        <f t="shared" si="4"/>
        <v>292.23599999999999</v>
      </c>
    </row>
    <row r="40" spans="1:34" s="146" customFormat="1" ht="12">
      <c r="A40" s="144">
        <f t="shared" si="2"/>
        <v>45926</v>
      </c>
      <c r="B40" s="145">
        <v>825</v>
      </c>
      <c r="C40" s="145">
        <v>863</v>
      </c>
      <c r="D40" s="145">
        <v>785</v>
      </c>
      <c r="E40" s="145">
        <v>875</v>
      </c>
      <c r="F40" s="145">
        <v>881</v>
      </c>
      <c r="G40" s="145">
        <v>943</v>
      </c>
      <c r="H40" s="145">
        <v>989</v>
      </c>
      <c r="I40" s="145">
        <v>1010</v>
      </c>
      <c r="J40" s="145">
        <v>1015</v>
      </c>
      <c r="K40" s="145">
        <v>958</v>
      </c>
      <c r="L40" s="145">
        <v>881</v>
      </c>
      <c r="M40" s="145">
        <v>914</v>
      </c>
      <c r="N40" s="145">
        <v>889</v>
      </c>
      <c r="O40" s="145">
        <v>1009</v>
      </c>
      <c r="P40" s="145">
        <v>1015</v>
      </c>
      <c r="Q40" s="148">
        <v>995</v>
      </c>
      <c r="R40" s="147">
        <f t="shared" si="3"/>
        <v>-3.6</v>
      </c>
      <c r="S40" s="144">
        <f t="shared" si="1"/>
        <v>45926</v>
      </c>
      <c r="T40" s="145">
        <f t="shared" si="6"/>
        <v>242.55</v>
      </c>
      <c r="U40" s="145">
        <f t="shared" si="5"/>
        <v>253.72200000000001</v>
      </c>
      <c r="V40" s="145">
        <f t="shared" si="5"/>
        <v>230.79</v>
      </c>
      <c r="W40" s="145">
        <f t="shared" si="5"/>
        <v>257.25</v>
      </c>
      <c r="X40" s="145">
        <f t="shared" si="4"/>
        <v>259.01400000000001</v>
      </c>
      <c r="Y40" s="145">
        <f t="shared" si="4"/>
        <v>277.24200000000002</v>
      </c>
      <c r="Z40" s="145">
        <f t="shared" si="4"/>
        <v>290.76600000000002</v>
      </c>
      <c r="AA40" s="145">
        <f t="shared" si="4"/>
        <v>296.94</v>
      </c>
      <c r="AB40" s="145">
        <f t="shared" si="4"/>
        <v>298.41000000000003</v>
      </c>
      <c r="AC40" s="145">
        <f t="shared" si="4"/>
        <v>281.65199999999999</v>
      </c>
      <c r="AD40" s="145">
        <f t="shared" si="4"/>
        <v>259.01400000000001</v>
      </c>
      <c r="AE40" s="145">
        <f t="shared" si="4"/>
        <v>268.71600000000001</v>
      </c>
      <c r="AF40" s="145">
        <f t="shared" si="4"/>
        <v>261.36599999999999</v>
      </c>
      <c r="AG40" s="145">
        <f t="shared" si="4"/>
        <v>296.64600000000002</v>
      </c>
      <c r="AH40" s="145">
        <f t="shared" si="4"/>
        <v>298.41000000000003</v>
      </c>
    </row>
    <row r="41" spans="1:34" s="146" customFormat="1" ht="12">
      <c r="A41" s="144">
        <f t="shared" si="2"/>
        <v>45933</v>
      </c>
      <c r="B41" s="145">
        <v>863</v>
      </c>
      <c r="C41" s="145">
        <v>860</v>
      </c>
      <c r="D41" s="145">
        <v>800</v>
      </c>
      <c r="E41" s="145">
        <v>868</v>
      </c>
      <c r="F41" s="145">
        <v>901</v>
      </c>
      <c r="G41" s="145">
        <v>950</v>
      </c>
      <c r="H41" s="145">
        <v>980</v>
      </c>
      <c r="I41" s="145">
        <v>967</v>
      </c>
      <c r="J41" s="145">
        <v>1040</v>
      </c>
      <c r="K41" s="145">
        <v>963</v>
      </c>
      <c r="L41" s="145">
        <v>923</v>
      </c>
      <c r="M41" s="145">
        <v>978</v>
      </c>
      <c r="N41" s="145">
        <v>932</v>
      </c>
      <c r="O41" s="145">
        <v>1004</v>
      </c>
      <c r="P41" s="145">
        <v>1038</v>
      </c>
      <c r="Q41" s="148">
        <v>1071</v>
      </c>
      <c r="R41" s="147">
        <f t="shared" si="3"/>
        <v>-33.4</v>
      </c>
      <c r="S41" s="144">
        <f t="shared" si="1"/>
        <v>45933</v>
      </c>
      <c r="T41" s="145">
        <f t="shared" si="6"/>
        <v>253.72200000000001</v>
      </c>
      <c r="U41" s="145">
        <f t="shared" si="5"/>
        <v>252.84</v>
      </c>
      <c r="V41" s="145">
        <f t="shared" si="5"/>
        <v>235.2</v>
      </c>
      <c r="W41" s="145">
        <f t="shared" si="5"/>
        <v>255.19200000000001</v>
      </c>
      <c r="X41" s="145">
        <f t="shared" si="4"/>
        <v>264.89400000000001</v>
      </c>
      <c r="Y41" s="145">
        <f t="shared" si="4"/>
        <v>279.3</v>
      </c>
      <c r="Z41" s="145">
        <f t="shared" si="4"/>
        <v>288.12</v>
      </c>
      <c r="AA41" s="145">
        <f t="shared" si="4"/>
        <v>284.298</v>
      </c>
      <c r="AB41" s="145">
        <f t="shared" si="4"/>
        <v>305.76</v>
      </c>
      <c r="AC41" s="145">
        <f t="shared" si="4"/>
        <v>283.12200000000001</v>
      </c>
      <c r="AD41" s="145">
        <f t="shared" si="4"/>
        <v>271.36200000000002</v>
      </c>
      <c r="AE41" s="145">
        <f t="shared" si="4"/>
        <v>287.53199999999998</v>
      </c>
      <c r="AF41" s="145">
        <f t="shared" si="4"/>
        <v>274.00799999999998</v>
      </c>
      <c r="AG41" s="145">
        <f t="shared" si="4"/>
        <v>295.17599999999999</v>
      </c>
      <c r="AH41" s="145">
        <f t="shared" si="4"/>
        <v>305.17200000000003</v>
      </c>
    </row>
    <row r="42" spans="1:34" s="146" customFormat="1" ht="12">
      <c r="A42" s="144">
        <f t="shared" si="2"/>
        <v>45940</v>
      </c>
      <c r="B42" s="145">
        <v>877</v>
      </c>
      <c r="C42" s="145">
        <v>908</v>
      </c>
      <c r="D42" s="145">
        <v>797</v>
      </c>
      <c r="E42" s="145">
        <v>869</v>
      </c>
      <c r="F42" s="145">
        <v>885</v>
      </c>
      <c r="G42" s="145">
        <v>949</v>
      </c>
      <c r="H42" s="145">
        <v>962</v>
      </c>
      <c r="I42" s="145">
        <v>1019</v>
      </c>
      <c r="J42" s="145">
        <v>1011</v>
      </c>
      <c r="K42" s="145">
        <v>971</v>
      </c>
      <c r="L42" s="145">
        <v>937</v>
      </c>
      <c r="M42" s="145">
        <v>1032</v>
      </c>
      <c r="N42" s="145">
        <v>1016</v>
      </c>
      <c r="O42" s="145">
        <v>1035</v>
      </c>
      <c r="P42" s="145">
        <v>1042</v>
      </c>
      <c r="Q42" s="148">
        <v>1074</v>
      </c>
      <c r="R42" s="147">
        <f t="shared" si="3"/>
        <v>-37.4</v>
      </c>
      <c r="S42" s="144">
        <f t="shared" si="1"/>
        <v>45940</v>
      </c>
      <c r="T42" s="145">
        <f t="shared" si="6"/>
        <v>257.83800000000002</v>
      </c>
      <c r="U42" s="145">
        <f t="shared" si="5"/>
        <v>266.952</v>
      </c>
      <c r="V42" s="145">
        <f t="shared" si="5"/>
        <v>234.31800000000001</v>
      </c>
      <c r="W42" s="145">
        <f t="shared" si="5"/>
        <v>255.48599999999999</v>
      </c>
      <c r="X42" s="145">
        <f t="shared" si="4"/>
        <v>260.19</v>
      </c>
      <c r="Y42" s="145">
        <f t="shared" si="4"/>
        <v>279.00599999999997</v>
      </c>
      <c r="Z42" s="145">
        <f t="shared" si="4"/>
        <v>282.82799999999997</v>
      </c>
      <c r="AA42" s="145">
        <f t="shared" si="4"/>
        <v>299.58600000000001</v>
      </c>
      <c r="AB42" s="145">
        <f t="shared" si="4"/>
        <v>297.23399999999998</v>
      </c>
      <c r="AC42" s="145">
        <f t="shared" si="4"/>
        <v>285.47399999999999</v>
      </c>
      <c r="AD42" s="145">
        <f t="shared" si="4"/>
        <v>275.47800000000001</v>
      </c>
      <c r="AE42" s="145">
        <f t="shared" si="4"/>
        <v>303.40800000000002</v>
      </c>
      <c r="AF42" s="145">
        <f t="shared" si="4"/>
        <v>298.70400000000001</v>
      </c>
      <c r="AG42" s="145">
        <f t="shared" si="4"/>
        <v>304.29000000000002</v>
      </c>
      <c r="AH42" s="145">
        <f t="shared" si="4"/>
        <v>306.34800000000001</v>
      </c>
    </row>
    <row r="43" spans="1:34" s="146" customFormat="1" ht="12">
      <c r="A43" s="144">
        <f t="shared" si="2"/>
        <v>45947</v>
      </c>
      <c r="B43" s="145">
        <v>881</v>
      </c>
      <c r="C43" s="145">
        <v>909</v>
      </c>
      <c r="D43" s="145">
        <v>801</v>
      </c>
      <c r="E43" s="145">
        <v>897</v>
      </c>
      <c r="F43" s="145">
        <v>896</v>
      </c>
      <c r="G43" s="145">
        <v>951</v>
      </c>
      <c r="H43" s="145">
        <v>998</v>
      </c>
      <c r="I43" s="145">
        <v>1039</v>
      </c>
      <c r="J43" s="145">
        <v>1024</v>
      </c>
      <c r="K43" s="145">
        <v>996</v>
      </c>
      <c r="L43" s="145">
        <v>913</v>
      </c>
      <c r="M43" s="145">
        <v>1096</v>
      </c>
      <c r="N43" s="145">
        <v>1033</v>
      </c>
      <c r="O43" s="145">
        <v>1040</v>
      </c>
      <c r="P43" s="145">
        <v>1081</v>
      </c>
      <c r="Q43" s="148">
        <v>1112</v>
      </c>
      <c r="R43" s="147">
        <f t="shared" si="3"/>
        <v>-20.2</v>
      </c>
      <c r="S43" s="144">
        <f t="shared" si="1"/>
        <v>45947</v>
      </c>
      <c r="T43" s="145">
        <f t="shared" si="6"/>
        <v>259.01400000000001</v>
      </c>
      <c r="U43" s="145">
        <f t="shared" si="5"/>
        <v>267.24599999999998</v>
      </c>
      <c r="V43" s="145">
        <f t="shared" si="5"/>
        <v>235.494</v>
      </c>
      <c r="W43" s="145">
        <f t="shared" si="5"/>
        <v>263.71800000000002</v>
      </c>
      <c r="X43" s="145">
        <f t="shared" si="4"/>
        <v>263.42399999999998</v>
      </c>
      <c r="Y43" s="145">
        <f t="shared" si="4"/>
        <v>279.59399999999999</v>
      </c>
      <c r="Z43" s="145">
        <f t="shared" ref="Z43:AH53" si="7">H43*42*7/1000</f>
        <v>293.41199999999998</v>
      </c>
      <c r="AA43" s="145">
        <f t="shared" si="7"/>
        <v>305.46600000000001</v>
      </c>
      <c r="AB43" s="145">
        <f t="shared" si="7"/>
        <v>301.05599999999998</v>
      </c>
      <c r="AC43" s="145">
        <f t="shared" si="7"/>
        <v>292.82400000000001</v>
      </c>
      <c r="AD43" s="145">
        <f t="shared" si="7"/>
        <v>268.42200000000003</v>
      </c>
      <c r="AE43" s="145">
        <f t="shared" si="7"/>
        <v>322.22399999999999</v>
      </c>
      <c r="AF43" s="145">
        <f t="shared" si="7"/>
        <v>303.702</v>
      </c>
      <c r="AG43" s="145">
        <f t="shared" si="7"/>
        <v>305.76</v>
      </c>
      <c r="AH43" s="145">
        <f t="shared" si="7"/>
        <v>317.81400000000002</v>
      </c>
    </row>
    <row r="44" spans="1:34" s="146" customFormat="1" ht="12">
      <c r="A44" s="144">
        <f t="shared" si="2"/>
        <v>45954</v>
      </c>
      <c r="B44" s="145">
        <v>880</v>
      </c>
      <c r="C44" s="145">
        <v>916</v>
      </c>
      <c r="D44" s="145">
        <v>825</v>
      </c>
      <c r="E44" s="145">
        <v>911</v>
      </c>
      <c r="F44" s="145">
        <v>937</v>
      </c>
      <c r="G44" s="145">
        <v>944</v>
      </c>
      <c r="H44" s="145">
        <v>991</v>
      </c>
      <c r="I44" s="145">
        <v>1056</v>
      </c>
      <c r="J44" s="145">
        <v>1059</v>
      </c>
      <c r="K44" s="145">
        <v>1004</v>
      </c>
      <c r="L44" s="145">
        <v>941</v>
      </c>
      <c r="M44" s="145">
        <v>1106</v>
      </c>
      <c r="N44" s="145">
        <v>1040</v>
      </c>
      <c r="O44" s="145">
        <v>1052</v>
      </c>
      <c r="P44" s="145">
        <v>1082</v>
      </c>
      <c r="Q44" s="300">
        <f t="shared" ref="Q40:Q50" si="8">MROUND(((SUM(L44:P44)-SUM(L43:P43))/5)+Q43,1)</f>
        <v>1124</v>
      </c>
      <c r="R44" s="147">
        <f t="shared" si="3"/>
        <v>-11.6</v>
      </c>
      <c r="S44" s="144">
        <f t="shared" si="1"/>
        <v>45954</v>
      </c>
      <c r="T44" s="145">
        <f t="shared" si="6"/>
        <v>258.72000000000003</v>
      </c>
      <c r="U44" s="145">
        <f t="shared" si="5"/>
        <v>269.30399999999997</v>
      </c>
      <c r="V44" s="145">
        <f t="shared" si="5"/>
        <v>242.55</v>
      </c>
      <c r="W44" s="145">
        <f t="shared" si="5"/>
        <v>267.834</v>
      </c>
      <c r="X44" s="145">
        <f t="shared" si="5"/>
        <v>275.47800000000001</v>
      </c>
      <c r="Y44" s="145">
        <f t="shared" si="5"/>
        <v>277.536</v>
      </c>
      <c r="Z44" s="145">
        <f t="shared" si="7"/>
        <v>291.35399999999998</v>
      </c>
      <c r="AA44" s="145">
        <f t="shared" si="7"/>
        <v>310.464</v>
      </c>
      <c r="AB44" s="145">
        <f t="shared" si="7"/>
        <v>311.346</v>
      </c>
      <c r="AC44" s="145">
        <f t="shared" si="7"/>
        <v>295.17599999999999</v>
      </c>
      <c r="AD44" s="145">
        <f t="shared" si="7"/>
        <v>276.654</v>
      </c>
      <c r="AE44" s="145">
        <f t="shared" si="7"/>
        <v>325.16399999999999</v>
      </c>
      <c r="AF44" s="145">
        <f t="shared" si="7"/>
        <v>305.76</v>
      </c>
      <c r="AG44" s="145">
        <f t="shared" si="7"/>
        <v>309.28800000000001</v>
      </c>
      <c r="AH44" s="145">
        <f t="shared" si="7"/>
        <v>318.108</v>
      </c>
    </row>
    <row r="45" spans="1:34" s="146" customFormat="1" ht="12">
      <c r="A45" s="144">
        <f t="shared" si="2"/>
        <v>45961</v>
      </c>
      <c r="B45" s="145">
        <v>865</v>
      </c>
      <c r="C45" s="145">
        <v>911</v>
      </c>
      <c r="D45" s="145">
        <v>827</v>
      </c>
      <c r="E45" s="145">
        <v>902</v>
      </c>
      <c r="F45" s="145">
        <v>929</v>
      </c>
      <c r="G45" s="145">
        <v>969</v>
      </c>
      <c r="H45" s="145">
        <v>1022</v>
      </c>
      <c r="I45" s="145">
        <v>1057</v>
      </c>
      <c r="J45" s="145">
        <v>1068</v>
      </c>
      <c r="K45" s="145">
        <v>1014</v>
      </c>
      <c r="L45" s="145">
        <v>961</v>
      </c>
      <c r="M45" s="145">
        <v>1107</v>
      </c>
      <c r="N45" s="145">
        <v>1051</v>
      </c>
      <c r="O45" s="145">
        <v>1042</v>
      </c>
      <c r="P45" s="145">
        <v>1105</v>
      </c>
      <c r="Q45" s="300">
        <f t="shared" si="8"/>
        <v>1133</v>
      </c>
      <c r="R45" s="147">
        <f t="shared" si="3"/>
        <v>-9</v>
      </c>
      <c r="S45" s="144">
        <f t="shared" si="1"/>
        <v>45961</v>
      </c>
      <c r="T45" s="145">
        <f t="shared" si="6"/>
        <v>254.31</v>
      </c>
      <c r="U45" s="145">
        <f t="shared" si="5"/>
        <v>267.834</v>
      </c>
      <c r="V45" s="145">
        <f t="shared" si="5"/>
        <v>243.13800000000001</v>
      </c>
      <c r="W45" s="145">
        <f t="shared" si="5"/>
        <v>265.18799999999999</v>
      </c>
      <c r="X45" s="145">
        <f t="shared" si="5"/>
        <v>273.12599999999998</v>
      </c>
      <c r="Y45" s="145">
        <f t="shared" si="5"/>
        <v>284.88600000000002</v>
      </c>
      <c r="Z45" s="145">
        <f t="shared" si="7"/>
        <v>300.46800000000002</v>
      </c>
      <c r="AA45" s="145">
        <f t="shared" si="7"/>
        <v>310.75799999999998</v>
      </c>
      <c r="AB45" s="145">
        <f t="shared" si="7"/>
        <v>313.99200000000002</v>
      </c>
      <c r="AC45" s="145">
        <f t="shared" si="7"/>
        <v>298.11599999999999</v>
      </c>
      <c r="AD45" s="145">
        <f t="shared" si="7"/>
        <v>282.53399999999999</v>
      </c>
      <c r="AE45" s="145">
        <f t="shared" si="7"/>
        <v>325.45800000000003</v>
      </c>
      <c r="AF45" s="145">
        <f t="shared" si="7"/>
        <v>308.99400000000003</v>
      </c>
      <c r="AG45" s="145">
        <f t="shared" si="7"/>
        <v>306.34800000000001</v>
      </c>
      <c r="AH45" s="145">
        <f t="shared" si="7"/>
        <v>324.87</v>
      </c>
    </row>
    <row r="46" spans="1:34" s="146" customFormat="1" ht="12">
      <c r="A46" s="144">
        <f t="shared" si="2"/>
        <v>45968</v>
      </c>
      <c r="B46" s="145">
        <v>877</v>
      </c>
      <c r="C46" s="145">
        <v>916</v>
      </c>
      <c r="D46" s="145">
        <v>824</v>
      </c>
      <c r="E46" s="145">
        <v>927</v>
      </c>
      <c r="F46" s="145">
        <v>946</v>
      </c>
      <c r="G46" s="145">
        <v>982</v>
      </c>
      <c r="H46" s="145">
        <v>1002</v>
      </c>
      <c r="I46" s="145">
        <v>1054</v>
      </c>
      <c r="J46" s="145">
        <v>1067</v>
      </c>
      <c r="K46" s="145">
        <v>1030</v>
      </c>
      <c r="L46" s="145">
        <v>977</v>
      </c>
      <c r="M46" s="145">
        <v>1039</v>
      </c>
      <c r="N46" s="145">
        <v>1011</v>
      </c>
      <c r="O46" s="145">
        <v>1047</v>
      </c>
      <c r="P46" s="145">
        <v>1113</v>
      </c>
      <c r="Q46" s="300">
        <f t="shared" si="8"/>
        <v>1117</v>
      </c>
      <c r="R46" s="147">
        <f t="shared" si="3"/>
        <v>15.8</v>
      </c>
      <c r="S46" s="144">
        <f t="shared" si="1"/>
        <v>45968</v>
      </c>
      <c r="T46" s="145">
        <f t="shared" si="6"/>
        <v>257.83800000000002</v>
      </c>
      <c r="U46" s="145">
        <f t="shared" si="5"/>
        <v>269.30399999999997</v>
      </c>
      <c r="V46" s="145">
        <f t="shared" si="5"/>
        <v>242.256</v>
      </c>
      <c r="W46" s="145">
        <f t="shared" si="5"/>
        <v>272.53800000000001</v>
      </c>
      <c r="X46" s="145">
        <f t="shared" si="5"/>
        <v>278.12400000000002</v>
      </c>
      <c r="Y46" s="145">
        <f t="shared" si="5"/>
        <v>288.70800000000003</v>
      </c>
      <c r="Z46" s="145">
        <f t="shared" si="7"/>
        <v>294.58800000000002</v>
      </c>
      <c r="AA46" s="145">
        <f t="shared" si="7"/>
        <v>309.87599999999998</v>
      </c>
      <c r="AB46" s="145">
        <f t="shared" si="7"/>
        <v>313.69799999999998</v>
      </c>
      <c r="AC46" s="145">
        <f t="shared" si="7"/>
        <v>302.82</v>
      </c>
      <c r="AD46" s="145">
        <f t="shared" si="7"/>
        <v>287.238</v>
      </c>
      <c r="AE46" s="145">
        <f t="shared" si="7"/>
        <v>305.46600000000001</v>
      </c>
      <c r="AF46" s="145">
        <f t="shared" si="7"/>
        <v>297.23399999999998</v>
      </c>
      <c r="AG46" s="145">
        <f t="shared" si="7"/>
        <v>307.81799999999998</v>
      </c>
      <c r="AH46" s="145">
        <f t="shared" si="7"/>
        <v>327.22199999999998</v>
      </c>
    </row>
    <row r="47" spans="1:34" s="146" customFormat="1" ht="12">
      <c r="A47" s="144">
        <f t="shared" si="2"/>
        <v>45975</v>
      </c>
      <c r="B47" s="145">
        <v>895</v>
      </c>
      <c r="C47" s="145">
        <v>917</v>
      </c>
      <c r="D47" s="145">
        <v>811</v>
      </c>
      <c r="E47" s="145">
        <v>904</v>
      </c>
      <c r="F47" s="145">
        <v>970</v>
      </c>
      <c r="G47" s="145">
        <v>975</v>
      </c>
      <c r="H47" s="145">
        <v>1017</v>
      </c>
      <c r="I47" s="145">
        <v>1074</v>
      </c>
      <c r="J47" s="145">
        <v>1042</v>
      </c>
      <c r="K47" s="145">
        <v>1033</v>
      </c>
      <c r="L47" s="145">
        <v>962</v>
      </c>
      <c r="M47" s="145">
        <v>1060</v>
      </c>
      <c r="N47" s="145">
        <v>1041</v>
      </c>
      <c r="O47" s="145">
        <v>1023</v>
      </c>
      <c r="P47" s="145">
        <v>1110</v>
      </c>
      <c r="Q47" s="300">
        <f t="shared" si="8"/>
        <v>1119</v>
      </c>
      <c r="R47" s="147">
        <f t="shared" si="3"/>
        <v>-1.8</v>
      </c>
      <c r="S47" s="144">
        <f t="shared" si="1"/>
        <v>45975</v>
      </c>
      <c r="T47" s="145">
        <f t="shared" si="6"/>
        <v>263.13</v>
      </c>
      <c r="U47" s="145">
        <f t="shared" si="5"/>
        <v>269.59800000000001</v>
      </c>
      <c r="V47" s="145">
        <f t="shared" si="5"/>
        <v>238.434</v>
      </c>
      <c r="W47" s="145">
        <f t="shared" si="5"/>
        <v>265.77600000000001</v>
      </c>
      <c r="X47" s="145">
        <f t="shared" si="5"/>
        <v>285.18</v>
      </c>
      <c r="Y47" s="145">
        <f t="shared" si="5"/>
        <v>286.64999999999998</v>
      </c>
      <c r="Z47" s="145">
        <f t="shared" si="7"/>
        <v>298.99799999999999</v>
      </c>
      <c r="AA47" s="145">
        <f t="shared" si="7"/>
        <v>315.75599999999997</v>
      </c>
      <c r="AB47" s="145">
        <f t="shared" si="7"/>
        <v>306.34800000000001</v>
      </c>
      <c r="AC47" s="145">
        <f t="shared" si="7"/>
        <v>303.702</v>
      </c>
      <c r="AD47" s="145">
        <f t="shared" si="7"/>
        <v>282.82799999999997</v>
      </c>
      <c r="AE47" s="145">
        <f t="shared" si="7"/>
        <v>311.64</v>
      </c>
      <c r="AF47" s="145">
        <f t="shared" si="7"/>
        <v>306.05399999999997</v>
      </c>
      <c r="AG47" s="145">
        <f t="shared" si="7"/>
        <v>300.762</v>
      </c>
      <c r="AH47" s="145">
        <f t="shared" si="7"/>
        <v>326.33999999999997</v>
      </c>
    </row>
    <row r="48" spans="1:34" s="146" customFormat="1" ht="12">
      <c r="A48" s="144">
        <f t="shared" si="2"/>
        <v>45982</v>
      </c>
      <c r="B48" s="145">
        <v>891</v>
      </c>
      <c r="C48" s="145">
        <v>930</v>
      </c>
      <c r="D48" s="145">
        <v>803</v>
      </c>
      <c r="E48" s="145">
        <v>927</v>
      </c>
      <c r="F48" s="145">
        <v>982</v>
      </c>
      <c r="G48" s="145">
        <v>1008</v>
      </c>
      <c r="H48" s="145">
        <v>1014</v>
      </c>
      <c r="I48" s="145">
        <v>1066</v>
      </c>
      <c r="J48" s="145">
        <v>1048</v>
      </c>
      <c r="K48" s="145">
        <v>1059</v>
      </c>
      <c r="L48" s="145">
        <v>990</v>
      </c>
      <c r="M48" s="145">
        <v>1079</v>
      </c>
      <c r="N48" s="145">
        <v>1018</v>
      </c>
      <c r="O48" s="145">
        <v>1011</v>
      </c>
      <c r="P48" s="145">
        <v>1119</v>
      </c>
      <c r="Q48" s="300">
        <f t="shared" si="8"/>
        <v>1123</v>
      </c>
      <c r="R48" s="147">
        <f t="shared" si="3"/>
        <v>-4.2</v>
      </c>
      <c r="S48" s="144">
        <f t="shared" si="1"/>
        <v>45982</v>
      </c>
      <c r="T48" s="145">
        <f t="shared" si="6"/>
        <v>261.95400000000001</v>
      </c>
      <c r="U48" s="145">
        <f t="shared" si="5"/>
        <v>273.42</v>
      </c>
      <c r="V48" s="145">
        <f t="shared" si="5"/>
        <v>236.08199999999999</v>
      </c>
      <c r="W48" s="145">
        <f t="shared" si="5"/>
        <v>272.53800000000001</v>
      </c>
      <c r="X48" s="145">
        <f t="shared" si="5"/>
        <v>288.70800000000003</v>
      </c>
      <c r="Y48" s="145">
        <f t="shared" si="5"/>
        <v>296.35199999999998</v>
      </c>
      <c r="Z48" s="145">
        <f t="shared" si="7"/>
        <v>298.11599999999999</v>
      </c>
      <c r="AA48" s="145">
        <f t="shared" si="7"/>
        <v>313.404</v>
      </c>
      <c r="AB48" s="145">
        <f t="shared" si="7"/>
        <v>308.11200000000002</v>
      </c>
      <c r="AC48" s="145">
        <f t="shared" si="7"/>
        <v>311.346</v>
      </c>
      <c r="AD48" s="145">
        <f t="shared" si="7"/>
        <v>291.06</v>
      </c>
      <c r="AE48" s="145">
        <f t="shared" si="7"/>
        <v>317.226</v>
      </c>
      <c r="AF48" s="145">
        <f t="shared" si="7"/>
        <v>299.29199999999997</v>
      </c>
      <c r="AG48" s="145">
        <f t="shared" si="7"/>
        <v>297.23399999999998</v>
      </c>
      <c r="AH48" s="145">
        <f t="shared" si="7"/>
        <v>328.98599999999999</v>
      </c>
    </row>
    <row r="49" spans="1:34" s="146" customFormat="1" ht="12">
      <c r="A49" s="144">
        <f t="shared" si="2"/>
        <v>45989</v>
      </c>
      <c r="B49" s="145">
        <v>885</v>
      </c>
      <c r="C49" s="145">
        <v>954</v>
      </c>
      <c r="D49" s="145">
        <v>835</v>
      </c>
      <c r="E49" s="145">
        <v>913</v>
      </c>
      <c r="F49" s="145">
        <v>962</v>
      </c>
      <c r="G49" s="145">
        <v>956</v>
      </c>
      <c r="H49" s="145">
        <v>1012</v>
      </c>
      <c r="I49" s="145">
        <v>1108</v>
      </c>
      <c r="J49" s="145">
        <v>1069</v>
      </c>
      <c r="K49" s="145">
        <v>1060</v>
      </c>
      <c r="L49" s="145">
        <v>974</v>
      </c>
      <c r="M49" s="145">
        <v>1035</v>
      </c>
      <c r="N49" s="145">
        <v>1077</v>
      </c>
      <c r="O49" s="145">
        <v>1076</v>
      </c>
      <c r="P49" s="145">
        <v>1073</v>
      </c>
      <c r="Q49" s="300">
        <f t="shared" si="8"/>
        <v>1127</v>
      </c>
      <c r="R49" s="147">
        <f t="shared" si="3"/>
        <v>-3.6</v>
      </c>
      <c r="S49" s="144">
        <f t="shared" si="1"/>
        <v>45989</v>
      </c>
      <c r="T49" s="145">
        <f t="shared" si="6"/>
        <v>260.19</v>
      </c>
      <c r="U49" s="145">
        <f t="shared" si="5"/>
        <v>280.476</v>
      </c>
      <c r="V49" s="145">
        <f t="shared" si="5"/>
        <v>245.49</v>
      </c>
      <c r="W49" s="145">
        <f t="shared" si="5"/>
        <v>268.42200000000003</v>
      </c>
      <c r="X49" s="145">
        <f t="shared" si="5"/>
        <v>282.82799999999997</v>
      </c>
      <c r="Y49" s="145">
        <f t="shared" si="5"/>
        <v>281.06400000000002</v>
      </c>
      <c r="Z49" s="145">
        <f t="shared" si="7"/>
        <v>297.52800000000002</v>
      </c>
      <c r="AA49" s="145">
        <f t="shared" si="7"/>
        <v>325.75200000000001</v>
      </c>
      <c r="AB49" s="145">
        <f t="shared" si="7"/>
        <v>314.286</v>
      </c>
      <c r="AC49" s="145">
        <f t="shared" si="7"/>
        <v>311.64</v>
      </c>
      <c r="AD49" s="145">
        <f t="shared" si="7"/>
        <v>286.35599999999999</v>
      </c>
      <c r="AE49" s="145">
        <f t="shared" si="7"/>
        <v>304.29000000000002</v>
      </c>
      <c r="AF49" s="145">
        <f t="shared" si="7"/>
        <v>316.63799999999998</v>
      </c>
      <c r="AG49" s="145">
        <f t="shared" si="7"/>
        <v>316.34399999999999</v>
      </c>
      <c r="AH49" s="145">
        <f t="shared" si="7"/>
        <v>315.46199999999999</v>
      </c>
    </row>
    <row r="50" spans="1:34" s="146" customFormat="1" ht="12">
      <c r="A50" s="144">
        <f t="shared" si="2"/>
        <v>45996</v>
      </c>
      <c r="B50" s="145">
        <v>939</v>
      </c>
      <c r="C50" s="145">
        <v>938</v>
      </c>
      <c r="D50" s="145">
        <v>824</v>
      </c>
      <c r="E50" s="145">
        <v>944</v>
      </c>
      <c r="F50" s="145">
        <v>988</v>
      </c>
      <c r="G50" s="145">
        <v>993</v>
      </c>
      <c r="H50" s="145">
        <v>1023</v>
      </c>
      <c r="I50" s="145">
        <v>1089</v>
      </c>
      <c r="J50" s="145">
        <v>1046</v>
      </c>
      <c r="K50" s="145">
        <v>1072</v>
      </c>
      <c r="L50" s="145">
        <v>991</v>
      </c>
      <c r="M50" s="145">
        <v>1090</v>
      </c>
      <c r="N50" s="145">
        <v>1061</v>
      </c>
      <c r="O50" s="145">
        <v>1074</v>
      </c>
      <c r="P50" s="145">
        <v>1078</v>
      </c>
      <c r="Q50" s="300">
        <f t="shared" si="8"/>
        <v>1139</v>
      </c>
      <c r="R50" s="147">
        <f t="shared" si="3"/>
        <v>-11.8</v>
      </c>
      <c r="S50" s="144">
        <f t="shared" si="1"/>
        <v>45996</v>
      </c>
      <c r="T50" s="145">
        <f t="shared" si="6"/>
        <v>276.06599999999997</v>
      </c>
      <c r="U50" s="145">
        <f t="shared" si="5"/>
        <v>275.77199999999999</v>
      </c>
      <c r="V50" s="145">
        <f t="shared" si="5"/>
        <v>242.256</v>
      </c>
      <c r="W50" s="145">
        <f t="shared" si="5"/>
        <v>277.536</v>
      </c>
      <c r="X50" s="145">
        <f t="shared" si="5"/>
        <v>290.47199999999998</v>
      </c>
      <c r="Y50" s="145">
        <f t="shared" si="5"/>
        <v>291.94200000000001</v>
      </c>
      <c r="Z50" s="145">
        <f t="shared" si="5"/>
        <v>300.762</v>
      </c>
      <c r="AA50" s="145">
        <f t="shared" si="5"/>
        <v>320.166</v>
      </c>
      <c r="AB50" s="145">
        <f t="shared" si="5"/>
        <v>307.524</v>
      </c>
      <c r="AC50" s="145">
        <f t="shared" si="5"/>
        <v>315.16800000000001</v>
      </c>
      <c r="AD50" s="145">
        <f t="shared" si="5"/>
        <v>291.35399999999998</v>
      </c>
      <c r="AE50" s="145">
        <f t="shared" si="7"/>
        <v>320.45999999999998</v>
      </c>
      <c r="AF50" s="145">
        <f t="shared" si="7"/>
        <v>311.93400000000003</v>
      </c>
      <c r="AG50" s="145">
        <f t="shared" si="7"/>
        <v>315.75599999999997</v>
      </c>
      <c r="AH50" s="145">
        <f t="shared" si="7"/>
        <v>316.93200000000002</v>
      </c>
    </row>
    <row r="51" spans="1:34" s="146" customFormat="1" ht="12">
      <c r="A51" s="144">
        <f t="shared" si="2"/>
        <v>46003</v>
      </c>
      <c r="B51" s="145">
        <v>937</v>
      </c>
      <c r="C51" s="145">
        <v>943</v>
      </c>
      <c r="D51" s="145">
        <v>822</v>
      </c>
      <c r="E51" s="145">
        <v>928</v>
      </c>
      <c r="F51" s="145">
        <v>990</v>
      </c>
      <c r="G51" s="145">
        <v>1000</v>
      </c>
      <c r="H51" s="145">
        <v>1040</v>
      </c>
      <c r="I51" s="145">
        <v>1077</v>
      </c>
      <c r="J51" s="145">
        <v>1046</v>
      </c>
      <c r="K51" s="145">
        <v>1064</v>
      </c>
      <c r="L51" s="145">
        <v>957</v>
      </c>
      <c r="M51" s="145">
        <v>1087</v>
      </c>
      <c r="N51" s="145">
        <v>1029</v>
      </c>
      <c r="O51" s="145">
        <v>1071</v>
      </c>
      <c r="P51" s="145">
        <v>1103</v>
      </c>
      <c r="Q51" s="300">
        <f t="shared" ref="Q51" si="9">MROUND(((SUM(L51:P51)-SUM(L50:P50))/5)+Q50,1)</f>
        <v>1130</v>
      </c>
      <c r="R51" s="147">
        <f t="shared" si="3"/>
        <v>9.4</v>
      </c>
      <c r="S51" s="144">
        <f t="shared" si="1"/>
        <v>46003</v>
      </c>
      <c r="T51" s="145">
        <f t="shared" si="6"/>
        <v>275.47800000000001</v>
      </c>
      <c r="U51" s="145">
        <f t="shared" si="5"/>
        <v>277.24200000000002</v>
      </c>
      <c r="V51" s="145">
        <f t="shared" si="5"/>
        <v>241.66800000000001</v>
      </c>
      <c r="W51" s="145">
        <f t="shared" si="5"/>
        <v>272.83199999999999</v>
      </c>
      <c r="X51" s="145">
        <f t="shared" si="5"/>
        <v>291.06</v>
      </c>
      <c r="Y51" s="145">
        <f t="shared" si="5"/>
        <v>294</v>
      </c>
      <c r="Z51" s="145">
        <f t="shared" si="5"/>
        <v>305.76</v>
      </c>
      <c r="AA51" s="145">
        <f t="shared" si="5"/>
        <v>316.63799999999998</v>
      </c>
      <c r="AB51" s="145">
        <f t="shared" si="5"/>
        <v>307.524</v>
      </c>
      <c r="AC51" s="145">
        <f t="shared" si="5"/>
        <v>312.81599999999997</v>
      </c>
      <c r="AD51" s="145">
        <f t="shared" si="5"/>
        <v>281.358</v>
      </c>
      <c r="AE51" s="145">
        <f t="shared" si="7"/>
        <v>319.57799999999997</v>
      </c>
      <c r="AF51" s="145">
        <f t="shared" si="7"/>
        <v>302.52600000000001</v>
      </c>
      <c r="AG51" s="145">
        <f t="shared" si="7"/>
        <v>314.87400000000002</v>
      </c>
      <c r="AH51" s="145">
        <f t="shared" si="7"/>
        <v>324.28199999999998</v>
      </c>
    </row>
    <row r="52" spans="1:34" s="146" customFormat="1" ht="12">
      <c r="A52" s="144">
        <f t="shared" si="2"/>
        <v>46010</v>
      </c>
      <c r="B52" s="145">
        <v>892</v>
      </c>
      <c r="C52" s="145">
        <v>962</v>
      </c>
      <c r="D52" s="145">
        <v>834</v>
      </c>
      <c r="E52" s="145">
        <v>926</v>
      </c>
      <c r="F52" s="145">
        <v>992</v>
      </c>
      <c r="G52" s="145">
        <v>973</v>
      </c>
      <c r="H52" s="145">
        <v>1036</v>
      </c>
      <c r="I52" s="145">
        <v>1090</v>
      </c>
      <c r="J52" s="145">
        <v>1042</v>
      </c>
      <c r="K52" s="145">
        <v>1083</v>
      </c>
      <c r="L52" s="145">
        <v>976</v>
      </c>
      <c r="M52" s="145">
        <v>1051</v>
      </c>
      <c r="N52" s="145">
        <v>963</v>
      </c>
      <c r="O52" s="145">
        <v>1107</v>
      </c>
      <c r="P52" s="145">
        <v>1107</v>
      </c>
      <c r="Q52" s="300">
        <f>MROUND(((SUM(L52:P52)-SUM(L51:P51))/5)+Q51,1)-23</f>
        <v>1098</v>
      </c>
      <c r="R52" s="147">
        <f t="shared" si="3"/>
        <v>8.6</v>
      </c>
      <c r="S52" s="144">
        <f t="shared" si="1"/>
        <v>46010</v>
      </c>
      <c r="T52" s="145">
        <f t="shared" si="6"/>
        <v>262.24799999999999</v>
      </c>
      <c r="U52" s="145">
        <f t="shared" si="5"/>
        <v>282.82799999999997</v>
      </c>
      <c r="V52" s="145">
        <f t="shared" si="5"/>
        <v>245.196</v>
      </c>
      <c r="W52" s="145">
        <f t="shared" si="5"/>
        <v>272.24400000000003</v>
      </c>
      <c r="X52" s="145">
        <f t="shared" si="5"/>
        <v>291.64800000000002</v>
      </c>
      <c r="Y52" s="145">
        <f t="shared" si="5"/>
        <v>286.06200000000001</v>
      </c>
      <c r="Z52" s="145">
        <f t="shared" si="5"/>
        <v>304.584</v>
      </c>
      <c r="AA52" s="145">
        <f t="shared" si="5"/>
        <v>320.45999999999998</v>
      </c>
      <c r="AB52" s="145">
        <f t="shared" si="5"/>
        <v>306.34800000000001</v>
      </c>
      <c r="AC52" s="145">
        <f t="shared" si="5"/>
        <v>318.40199999999999</v>
      </c>
      <c r="AD52" s="145">
        <f t="shared" si="5"/>
        <v>286.94400000000002</v>
      </c>
      <c r="AE52" s="145">
        <f t="shared" si="7"/>
        <v>308.99400000000003</v>
      </c>
      <c r="AF52" s="145">
        <f t="shared" si="7"/>
        <v>283.12200000000001</v>
      </c>
      <c r="AG52" s="145">
        <f t="shared" si="7"/>
        <v>325.45800000000003</v>
      </c>
      <c r="AH52" s="145">
        <f t="shared" si="7"/>
        <v>325.45800000000003</v>
      </c>
    </row>
    <row r="53" spans="1:34" s="146" customFormat="1" ht="12">
      <c r="A53" s="144">
        <f t="shared" si="2"/>
        <v>46017</v>
      </c>
      <c r="B53" s="145">
        <v>913</v>
      </c>
      <c r="C53" s="145">
        <v>963</v>
      </c>
      <c r="D53" s="145">
        <v>807</v>
      </c>
      <c r="E53" s="145">
        <v>913</v>
      </c>
      <c r="F53" s="145">
        <v>972</v>
      </c>
      <c r="G53" s="145">
        <v>992</v>
      </c>
      <c r="H53" s="145">
        <v>1028</v>
      </c>
      <c r="I53" s="145">
        <v>1032</v>
      </c>
      <c r="J53" s="145">
        <v>1011</v>
      </c>
      <c r="K53" s="145">
        <v>1066</v>
      </c>
      <c r="L53" s="145">
        <v>934</v>
      </c>
      <c r="M53" s="145">
        <v>1059</v>
      </c>
      <c r="N53" s="145">
        <v>844</v>
      </c>
      <c r="O53" s="145">
        <v>1049</v>
      </c>
      <c r="P53" s="145">
        <v>1111</v>
      </c>
      <c r="Q53" s="300">
        <f>MROUND(((SUM(L53:P53)-SUM(L52:P52))/5)+Q52,1)+23</f>
        <v>1080</v>
      </c>
      <c r="R53" s="147">
        <f t="shared" si="3"/>
        <v>41.4</v>
      </c>
      <c r="S53" s="144">
        <f t="shared" si="1"/>
        <v>46017</v>
      </c>
      <c r="T53" s="145">
        <f t="shared" si="6"/>
        <v>268.42200000000003</v>
      </c>
      <c r="U53" s="145">
        <f t="shared" si="5"/>
        <v>283.12200000000001</v>
      </c>
      <c r="V53" s="145">
        <f t="shared" si="5"/>
        <v>237.25800000000001</v>
      </c>
      <c r="W53" s="145">
        <f t="shared" si="5"/>
        <v>268.42200000000003</v>
      </c>
      <c r="X53" s="145">
        <f t="shared" si="5"/>
        <v>285.76799999999997</v>
      </c>
      <c r="Y53" s="145">
        <f t="shared" si="5"/>
        <v>291.64800000000002</v>
      </c>
      <c r="Z53" s="145">
        <f t="shared" si="5"/>
        <v>302.23200000000003</v>
      </c>
      <c r="AA53" s="145">
        <f t="shared" si="5"/>
        <v>303.40800000000002</v>
      </c>
      <c r="AB53" s="145">
        <f t="shared" si="5"/>
        <v>297.23399999999998</v>
      </c>
      <c r="AC53" s="145">
        <f t="shared" si="5"/>
        <v>313.404</v>
      </c>
      <c r="AD53" s="145">
        <f t="shared" si="5"/>
        <v>274.596</v>
      </c>
      <c r="AE53" s="145">
        <f t="shared" si="7"/>
        <v>311.346</v>
      </c>
      <c r="AF53" s="145">
        <f t="shared" si="7"/>
        <v>248.136</v>
      </c>
      <c r="AG53" s="145">
        <f t="shared" si="7"/>
        <v>308.40600000000001</v>
      </c>
      <c r="AH53" s="145">
        <f t="shared" si="7"/>
        <v>326.63400000000001</v>
      </c>
    </row>
    <row r="54" spans="1:34" s="146" customFormat="1" ht="12">
      <c r="A54" s="144">
        <f>A53+7</f>
        <v>46024</v>
      </c>
      <c r="B54" s="145">
        <v>904</v>
      </c>
      <c r="C54" s="145"/>
      <c r="D54" s="145"/>
      <c r="E54" s="145"/>
      <c r="F54" s="145"/>
      <c r="G54" s="145"/>
      <c r="H54" s="145">
        <v>1043</v>
      </c>
      <c r="I54" s="145">
        <f>J2</f>
        <v>996</v>
      </c>
      <c r="J54" s="145">
        <f t="shared" ref="J54:L54" si="10">K2</f>
        <v>1000</v>
      </c>
      <c r="K54" s="145">
        <f t="shared" si="10"/>
        <v>1062</v>
      </c>
      <c r="L54" s="145">
        <f t="shared" si="10"/>
        <v>935</v>
      </c>
      <c r="M54" s="145">
        <v>1048</v>
      </c>
      <c r="N54" s="148"/>
      <c r="O54" s="148"/>
      <c r="P54" s="148"/>
      <c r="Q54" s="300"/>
      <c r="S54" s="144"/>
      <c r="T54" s="145">
        <f t="shared" si="6"/>
        <v>265.77600000000001</v>
      </c>
      <c r="U54" s="145"/>
      <c r="V54" s="145"/>
      <c r="W54" s="145"/>
      <c r="X54" s="145"/>
      <c r="Y54" s="145"/>
      <c r="Z54" s="145">
        <f>H54*42*7/1000</f>
        <v>306.642</v>
      </c>
      <c r="AA54" s="145"/>
      <c r="AB54" s="145"/>
      <c r="AC54" s="145"/>
      <c r="AD54" s="145"/>
      <c r="AE54" s="145">
        <f>M54*42*7/1000</f>
        <v>308.11200000000002</v>
      </c>
      <c r="AF54" s="145"/>
    </row>
    <row r="55" spans="1:34" s="146" customFormat="1" ht="12">
      <c r="A55" s="146" t="s">
        <v>238</v>
      </c>
      <c r="B55" s="145">
        <f t="shared" ref="B55:Q55" si="11">SUM(B2:B54)</f>
        <v>26895</v>
      </c>
      <c r="C55" s="145">
        <f t="shared" si="11"/>
        <v>46741</v>
      </c>
      <c r="D55" s="145">
        <f t="shared" si="11"/>
        <v>44691</v>
      </c>
      <c r="E55" s="145">
        <f t="shared" si="11"/>
        <v>44448</v>
      </c>
      <c r="F55" s="145">
        <f t="shared" si="11"/>
        <v>48079</v>
      </c>
      <c r="G55" s="145">
        <f t="shared" si="11"/>
        <v>49916</v>
      </c>
      <c r="H55" s="145">
        <f t="shared" si="11"/>
        <v>52551</v>
      </c>
      <c r="I55" s="145">
        <f>SUM(I2:I53)</f>
        <v>53683</v>
      </c>
      <c r="J55" s="145">
        <f t="shared" ref="J55:L55" si="12">SUM(J2:J53)</f>
        <v>54408</v>
      </c>
      <c r="K55" s="145">
        <f t="shared" si="12"/>
        <v>53484</v>
      </c>
      <c r="L55" s="145">
        <f t="shared" si="12"/>
        <v>47055</v>
      </c>
      <c r="M55" s="145">
        <f t="shared" si="11"/>
        <v>52376</v>
      </c>
      <c r="N55" s="145">
        <f t="shared" si="11"/>
        <v>52262</v>
      </c>
      <c r="O55" s="145">
        <f t="shared" si="11"/>
        <v>53237</v>
      </c>
      <c r="P55" s="145">
        <f t="shared" si="11"/>
        <v>54781</v>
      </c>
      <c r="Q55" s="301">
        <f t="shared" si="11"/>
        <v>56111</v>
      </c>
      <c r="S55" s="144" t="str">
        <f t="shared" si="1"/>
        <v>Total</v>
      </c>
      <c r="T55" s="145">
        <f t="shared" ref="T55:AF55" si="13">SUM(T2:T54)</f>
        <v>7907.1299999999992</v>
      </c>
      <c r="U55" s="145">
        <f t="shared" si="13"/>
        <v>13741.854000000003</v>
      </c>
      <c r="V55" s="145">
        <f t="shared" si="13"/>
        <v>13139.154</v>
      </c>
      <c r="W55" s="145">
        <f t="shared" si="13"/>
        <v>13067.712000000005</v>
      </c>
      <c r="X55" s="145">
        <f t="shared" si="13"/>
        <v>14135.225999999997</v>
      </c>
      <c r="Y55" s="145">
        <f t="shared" si="13"/>
        <v>14675.303999999996</v>
      </c>
      <c r="Z55" s="145">
        <f t="shared" si="13"/>
        <v>15449.994000000002</v>
      </c>
      <c r="AA55" s="145">
        <f t="shared" si="13"/>
        <v>15782.801999999998</v>
      </c>
      <c r="AB55" s="145">
        <f t="shared" si="13"/>
        <v>15995.951999999999</v>
      </c>
      <c r="AC55" s="145">
        <f t="shared" si="13"/>
        <v>15724.295999999998</v>
      </c>
      <c r="AD55" s="145">
        <f t="shared" si="13"/>
        <v>13834.169999999996</v>
      </c>
      <c r="AE55" s="145">
        <f t="shared" si="13"/>
        <v>15398.544</v>
      </c>
      <c r="AF55" s="145">
        <f t="shared" si="13"/>
        <v>15365.028000000002</v>
      </c>
    </row>
    <row r="56" spans="1:34" s="146" customFormat="1" ht="12"/>
    <row r="57" spans="1:34" s="146" customFormat="1" ht="12"/>
    <row r="58" spans="1:34" s="146" customFormat="1" ht="12">
      <c r="M58" s="149">
        <f>SUM(M40/7*1,M41:M44,M45/7*2)*31/4</f>
        <v>36106.142857142862</v>
      </c>
      <c r="N58" s="149">
        <f>SUM(N41:N44,N45/7*3)*31/4</f>
        <v>34653.571428571428</v>
      </c>
      <c r="O58" s="149"/>
      <c r="P58" s="149"/>
      <c r="Q58" s="149"/>
      <c r="S58" s="146" t="s">
        <v>405</v>
      </c>
      <c r="T58" s="146" t="s">
        <v>406</v>
      </c>
      <c r="U58" s="146" t="s">
        <v>407</v>
      </c>
    </row>
    <row r="59" spans="1:34" s="146" customFormat="1">
      <c r="S59" s="302">
        <f t="shared" ref="S59:S69" si="14">Q32/P32-1</f>
        <v>1.3120899718837897E-2</v>
      </c>
      <c r="T59" s="302">
        <f t="shared" ref="T59:T69" si="15">Q32/AVERAGE(L32:P32)-1</f>
        <v>6.9026898734177111E-2</v>
      </c>
      <c r="U59" s="302">
        <f t="shared" ref="U59:U69" si="16">Q32/((SUM(L32:P32)-MAX(L32:P32)-MIN(L32:P32))/3)-1</f>
        <v>6.0497056899934565E-2</v>
      </c>
    </row>
    <row r="60" spans="1:34" s="146" customFormat="1">
      <c r="S60" s="302">
        <f t="shared" si="14"/>
        <v>1.9589552238805874E-2</v>
      </c>
      <c r="T60" s="302">
        <f t="shared" si="15"/>
        <v>8.6913285600636492E-2</v>
      </c>
      <c r="U60" s="302">
        <f t="shared" si="16"/>
        <v>7.9328505595786636E-2</v>
      </c>
    </row>
    <row r="61" spans="1:34" s="146" customFormat="1">
      <c r="S61" s="302">
        <f t="shared" si="14"/>
        <v>-2.3679417122040025E-2</v>
      </c>
      <c r="T61" s="302">
        <f t="shared" si="15"/>
        <v>6.5182829888712268E-2</v>
      </c>
      <c r="U61" s="302">
        <f t="shared" si="16"/>
        <v>6.9148936170212894E-2</v>
      </c>
    </row>
    <row r="62" spans="1:34" s="146" customFormat="1">
      <c r="S62" s="302">
        <f t="shared" si="14"/>
        <v>-9.3370681605975392E-4</v>
      </c>
      <c r="T62" s="302">
        <f t="shared" si="15"/>
        <v>8.9169381107491841E-2</v>
      </c>
      <c r="U62" s="302">
        <f t="shared" si="16"/>
        <v>0.10309278350515472</v>
      </c>
    </row>
    <row r="63" spans="1:34" s="146" customFormat="1">
      <c r="S63" s="302">
        <f t="shared" si="14"/>
        <v>1.3195098963242113E-2</v>
      </c>
      <c r="T63" s="302">
        <f t="shared" si="15"/>
        <v>9.9406831662916861E-2</v>
      </c>
      <c r="U63" s="302">
        <f t="shared" si="16"/>
        <v>0.10331850838179957</v>
      </c>
    </row>
    <row r="64" spans="1:34" s="146" customFormat="1">
      <c r="S64" s="302">
        <f t="shared" si="14"/>
        <v>2.314814814814814E-2</v>
      </c>
      <c r="T64" s="302">
        <f t="shared" si="15"/>
        <v>0.11706429437929633</v>
      </c>
      <c r="U64" s="302">
        <f t="shared" si="16"/>
        <v>0.12640163098878698</v>
      </c>
    </row>
    <row r="65" spans="19:21" s="146" customFormat="1">
      <c r="S65" s="302">
        <f t="shared" si="14"/>
        <v>5.7197330791229906E-3</v>
      </c>
      <c r="T65" s="302">
        <f t="shared" si="15"/>
        <v>0.10056332151053615</v>
      </c>
      <c r="U65" s="302">
        <f t="shared" si="16"/>
        <v>0.11326064016883586</v>
      </c>
    </row>
    <row r="66" spans="19:21" s="146" customFormat="1">
      <c r="S66" s="302">
        <f t="shared" si="14"/>
        <v>3.0181086519114775E-2</v>
      </c>
      <c r="T66" s="302">
        <f t="shared" si="15"/>
        <v>9.1684434968017037E-2</v>
      </c>
      <c r="U66" s="302">
        <f t="shared" si="16"/>
        <v>8.7048832271762189E-2</v>
      </c>
    </row>
    <row r="67" spans="19:21">
      <c r="S67" s="302">
        <f t="shared" si="14"/>
        <v>-1.9704433497536922E-2</v>
      </c>
      <c r="T67" s="302">
        <f t="shared" si="15"/>
        <v>5.6711979609175955E-2</v>
      </c>
      <c r="U67" s="302">
        <f t="shared" si="16"/>
        <v>6.1522048364153648E-2</v>
      </c>
    </row>
    <row r="68" spans="19:21">
      <c r="S68" s="302">
        <f t="shared" si="14"/>
        <v>3.1791907514450823E-2</v>
      </c>
      <c r="T68" s="302">
        <f t="shared" si="15"/>
        <v>9.8461538461538378E-2</v>
      </c>
      <c r="U68" s="302">
        <f t="shared" si="16"/>
        <v>0.10260809883321897</v>
      </c>
    </row>
    <row r="69" spans="19:21">
      <c r="S69" s="302">
        <f t="shared" si="14"/>
        <v>3.0710172744721653E-2</v>
      </c>
      <c r="T69" s="302">
        <f t="shared" si="15"/>
        <v>6.0845515606479772E-2</v>
      </c>
      <c r="U69" s="302">
        <f t="shared" si="16"/>
        <v>4.5085955238403974E-2</v>
      </c>
    </row>
    <row r="70" spans="19:21">
      <c r="S70" s="302">
        <f>Q43/P43-1</f>
        <v>2.8677150786309058E-2</v>
      </c>
      <c r="T70" s="302">
        <f>Q43/AVERAGE(L43:P43)-1</f>
        <v>7.6893279101297729E-2</v>
      </c>
      <c r="U70" s="302">
        <f>Q43/((SUM(L43:P43)-MAX(L43:P43)-MIN(L43:P43))/3)-1</f>
        <v>5.7704502219404041E-2</v>
      </c>
    </row>
    <row r="71" spans="19:21">
      <c r="T71" s="302">
        <f>Q44/AVERAGE(L44:P44)-1</f>
        <v>7.6422141352231243E-2</v>
      </c>
    </row>
    <row r="72" spans="19:21">
      <c r="T72" s="302">
        <f>Q45/AVERAGE(L45:P45)-1</f>
        <v>7.5769084694265132E-2</v>
      </c>
    </row>
    <row r="73" spans="19:21">
      <c r="T73" s="302">
        <f>Q46/AVERAGE(L46:P46)-1</f>
        <v>7.6730287256602914E-2</v>
      </c>
    </row>
    <row r="74" spans="19:21">
      <c r="T74" s="302">
        <f>Q47/AVERAGE(L47:P47)-1</f>
        <v>7.6789838337182337E-2</v>
      </c>
    </row>
    <row r="75" spans="19:21">
      <c r="T75" s="302">
        <f>Q48/AVERAGE(L48:P48)-1</f>
        <v>7.6289055012459084E-2</v>
      </c>
    </row>
    <row r="76" spans="19:21">
      <c r="T76" s="302">
        <f>Q49/AVERAGE(L49:P49)-1</f>
        <v>7.640878701050613E-2</v>
      </c>
    </row>
    <row r="77" spans="19:21">
      <c r="T77" s="302">
        <f>Q50/AVERAGE(L50:P50)-1</f>
        <v>7.5746127691726617E-2</v>
      </c>
    </row>
    <row r="78" spans="19:21">
      <c r="T78" s="302">
        <f>Q51/AVERAGE(L51:P51)-1</f>
        <v>7.6805793786925758E-2</v>
      </c>
    </row>
    <row r="79" spans="19:21">
      <c r="T79" s="302">
        <f>Q52/AVERAGE(L52:P52)-1</f>
        <v>5.4957724827056076E-2</v>
      </c>
    </row>
    <row r="80" spans="19:21">
      <c r="T80" s="302">
        <f>Q53/AVERAGE(L53:P53)-1</f>
        <v>8.0648389033419976E-2</v>
      </c>
    </row>
    <row r="81" spans="20:20">
      <c r="T81" s="302">
        <f>Q54/AVERAGE(L54:P54)-1</f>
        <v>-1</v>
      </c>
    </row>
  </sheetData>
  <hyperlinks>
    <hyperlink ref="A1" r:id="rId1" xr:uid="{563B95AC-1576-4989-87AD-CE17292FCEA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8007-56DC-4C6F-AA47-9B63141E4CE4}">
  <dimension ref="A1:AJ206"/>
  <sheetViews>
    <sheetView workbookViewId="0">
      <pane xSplit="1" ySplit="4" topLeftCell="B113" activePane="bottomRight" state="frozen"/>
      <selection activeCell="J39" sqref="J39"/>
      <selection pane="topRight" activeCell="J39" sqref="J39"/>
      <selection pane="bottomLeft" activeCell="J39" sqref="J39"/>
      <selection pane="bottomRight" activeCell="E125" sqref="E125"/>
    </sheetView>
  </sheetViews>
  <sheetFormatPr defaultColWidth="8.85546875" defaultRowHeight="15"/>
  <cols>
    <col min="3" max="27" width="10.7109375" customWidth="1"/>
    <col min="28" max="28" width="10.7109375" style="178" customWidth="1"/>
    <col min="29" max="29" width="10.7109375" customWidth="1"/>
  </cols>
  <sheetData>
    <row r="1" spans="1:36" s="150" customFormat="1">
      <c r="B1" s="151"/>
      <c r="C1" s="295" t="s">
        <v>239</v>
      </c>
      <c r="D1" s="295"/>
      <c r="E1" s="295"/>
      <c r="F1" s="295"/>
      <c r="G1" s="295"/>
      <c r="H1" s="295"/>
      <c r="I1" s="152" t="s">
        <v>240</v>
      </c>
      <c r="J1" s="296" t="s">
        <v>241</v>
      </c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 t="s">
        <v>242</v>
      </c>
      <c r="V1" s="297"/>
      <c r="W1" s="297"/>
      <c r="X1" s="297"/>
      <c r="Y1" s="297"/>
      <c r="Z1" s="297"/>
      <c r="AA1" s="297"/>
      <c r="AB1" s="153"/>
    </row>
    <row r="2" spans="1:36" s="154" customFormat="1" ht="17.25" customHeight="1">
      <c r="B2" s="298" t="s">
        <v>243</v>
      </c>
      <c r="C2" s="298" t="s">
        <v>244</v>
      </c>
      <c r="D2" s="298" t="s">
        <v>245</v>
      </c>
      <c r="E2" s="298" t="s">
        <v>246</v>
      </c>
      <c r="F2" s="298" t="s">
        <v>247</v>
      </c>
      <c r="G2" s="298" t="s">
        <v>248</v>
      </c>
      <c r="H2" s="298" t="s">
        <v>249</v>
      </c>
      <c r="I2" s="298" t="s">
        <v>250</v>
      </c>
      <c r="J2" s="294" t="s">
        <v>246</v>
      </c>
      <c r="K2" s="294"/>
      <c r="L2" s="294"/>
      <c r="M2" s="294"/>
      <c r="N2" s="294"/>
      <c r="O2" s="294"/>
      <c r="P2" s="294" t="s">
        <v>247</v>
      </c>
      <c r="Q2" s="294"/>
      <c r="R2" s="294"/>
      <c r="S2" s="294"/>
      <c r="T2" s="294"/>
      <c r="AB2" s="155"/>
    </row>
    <row r="3" spans="1:36" s="156" customFormat="1" ht="72">
      <c r="B3" s="298"/>
      <c r="C3" s="298"/>
      <c r="D3" s="298"/>
      <c r="E3" s="298"/>
      <c r="F3" s="298"/>
      <c r="G3" s="298"/>
      <c r="H3" s="298"/>
      <c r="I3" s="298"/>
      <c r="J3" s="157" t="s">
        <v>251</v>
      </c>
      <c r="K3" s="157" t="s">
        <v>252</v>
      </c>
      <c r="L3" s="158" t="s">
        <v>253</v>
      </c>
      <c r="M3" s="158" t="s">
        <v>254</v>
      </c>
      <c r="N3" s="157" t="s">
        <v>255</v>
      </c>
      <c r="O3" s="157" t="s">
        <v>256</v>
      </c>
      <c r="P3" s="157" t="s">
        <v>257</v>
      </c>
      <c r="Q3" s="158" t="s">
        <v>258</v>
      </c>
      <c r="R3" s="158" t="s">
        <v>259</v>
      </c>
      <c r="S3" s="157" t="s">
        <v>29</v>
      </c>
      <c r="T3" s="158" t="s">
        <v>260</v>
      </c>
      <c r="U3" s="157" t="s">
        <v>261</v>
      </c>
      <c r="V3" s="157" t="s">
        <v>262</v>
      </c>
      <c r="W3" s="157" t="s">
        <v>263</v>
      </c>
      <c r="X3" s="157" t="s">
        <v>264</v>
      </c>
      <c r="Y3" s="157" t="s">
        <v>265</v>
      </c>
      <c r="Z3" s="157" t="s">
        <v>266</v>
      </c>
      <c r="AA3" s="157" t="s">
        <v>267</v>
      </c>
      <c r="AB3" s="157" t="s">
        <v>268</v>
      </c>
      <c r="AC3" s="157" t="s">
        <v>269</v>
      </c>
      <c r="AE3" s="157" t="s">
        <v>270</v>
      </c>
      <c r="AF3" s="157" t="s">
        <v>271</v>
      </c>
      <c r="AG3" s="157" t="s">
        <v>272</v>
      </c>
      <c r="AI3" s="157" t="s">
        <v>273</v>
      </c>
      <c r="AJ3" s="157" t="s">
        <v>274</v>
      </c>
    </row>
    <row r="4" spans="1:36" s="156" customFormat="1" ht="45" customHeight="1">
      <c r="C4" s="299" t="s">
        <v>275</v>
      </c>
      <c r="D4" s="299"/>
      <c r="E4" s="299"/>
      <c r="F4" s="299"/>
      <c r="G4" s="299"/>
      <c r="H4" s="299"/>
      <c r="I4" s="157" t="s">
        <v>276</v>
      </c>
      <c r="J4" s="299" t="s">
        <v>277</v>
      </c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4" t="s">
        <v>278</v>
      </c>
      <c r="V4" s="294"/>
      <c r="W4" s="294"/>
      <c r="X4" s="294"/>
      <c r="Y4" s="294"/>
      <c r="Z4" s="294"/>
      <c r="AA4" s="294"/>
      <c r="AB4" s="159"/>
    </row>
    <row r="5" spans="1:36" s="156" customFormat="1" ht="12">
      <c r="A5" s="160">
        <v>42005</v>
      </c>
      <c r="B5" s="161">
        <f>C5+SUM(E5:H5)</f>
        <v>495.69200000000001</v>
      </c>
      <c r="C5" s="161">
        <v>2.0870000000000002</v>
      </c>
      <c r="D5" s="161">
        <v>443.89</v>
      </c>
      <c r="E5" s="161">
        <v>396.00700000000001</v>
      </c>
      <c r="F5" s="161">
        <v>47.883000000000003</v>
      </c>
      <c r="G5" s="161">
        <v>6.3259999999999996</v>
      </c>
      <c r="H5" s="161">
        <v>43.389000000000003</v>
      </c>
      <c r="I5" s="162"/>
      <c r="J5" s="161">
        <v>162.12700000000001</v>
      </c>
      <c r="K5" s="161">
        <v>103.78</v>
      </c>
      <c r="L5" s="161">
        <v>438.93599999999998</v>
      </c>
      <c r="M5" s="161">
        <v>1831.393</v>
      </c>
      <c r="N5" s="161">
        <v>1480.431</v>
      </c>
      <c r="O5" s="161">
        <v>476.76</v>
      </c>
      <c r="P5" s="161">
        <v>71.492000000000004</v>
      </c>
      <c r="Q5" s="161">
        <v>321.76799999999997</v>
      </c>
      <c r="R5" s="161">
        <v>90.617000000000004</v>
      </c>
      <c r="S5" s="161">
        <v>41.960999999999999</v>
      </c>
      <c r="T5" s="161">
        <v>313.39999999999998</v>
      </c>
      <c r="U5" s="163">
        <f t="shared" ref="U5:U27" si="0">K5*(U16/K16)</f>
        <v>110.42799059735167</v>
      </c>
      <c r="V5" s="164"/>
      <c r="W5" s="164"/>
      <c r="X5" s="164"/>
      <c r="Y5" s="164"/>
      <c r="Z5" s="164"/>
      <c r="AA5" s="164"/>
      <c r="AB5" s="163">
        <f>(U5+K5)*1.37*1.08</f>
        <v>316.94214288784156</v>
      </c>
      <c r="AC5" s="163">
        <f>AB5-K5</f>
        <v>213.16214288784155</v>
      </c>
      <c r="AI5" s="165">
        <f t="shared" ref="AI5:AI68" si="1">AC5/E5</f>
        <v>0.53827872458780157</v>
      </c>
      <c r="AJ5" s="165">
        <f>AB5/B5</f>
        <v>0.63939329843499904</v>
      </c>
    </row>
    <row r="6" spans="1:36" s="156" customFormat="1" ht="12">
      <c r="A6" s="160">
        <v>42036</v>
      </c>
      <c r="B6" s="161">
        <f t="shared" ref="B6:B79" si="2">C6+SUM(E6:H6)</f>
        <v>440.88699999999994</v>
      </c>
      <c r="C6" s="161">
        <v>2.698</v>
      </c>
      <c r="D6" s="161">
        <v>394.08300000000003</v>
      </c>
      <c r="E6" s="161">
        <v>353.76299999999998</v>
      </c>
      <c r="F6" s="161">
        <v>40.32</v>
      </c>
      <c r="G6" s="161">
        <v>6.5220000000000002</v>
      </c>
      <c r="H6" s="161">
        <v>37.584000000000003</v>
      </c>
      <c r="I6" s="162"/>
      <c r="J6" s="161">
        <v>128.27099999999999</v>
      </c>
      <c r="K6" s="161">
        <v>95.268000000000001</v>
      </c>
      <c r="L6" s="161">
        <v>405.02499999999998</v>
      </c>
      <c r="M6" s="161">
        <v>1622.4670000000001</v>
      </c>
      <c r="N6" s="161">
        <v>1268.2439999999999</v>
      </c>
      <c r="O6" s="161">
        <v>418.69799999999998</v>
      </c>
      <c r="P6" s="161">
        <v>48.545999999999999</v>
      </c>
      <c r="Q6" s="161">
        <v>283.99</v>
      </c>
      <c r="R6" s="161">
        <v>80.855000000000004</v>
      </c>
      <c r="S6" s="161">
        <v>41.02</v>
      </c>
      <c r="T6" s="161">
        <v>274.76299999999998</v>
      </c>
      <c r="U6" s="163">
        <f t="shared" si="0"/>
        <v>108.32080178519452</v>
      </c>
      <c r="V6" s="164"/>
      <c r="W6" s="164"/>
      <c r="X6" s="164"/>
      <c r="Y6" s="164"/>
      <c r="Z6" s="164"/>
      <c r="AA6" s="164"/>
      <c r="AB6" s="163">
        <f t="shared" ref="AB6:AB24" si="3">(U6+K6)*1.37*1.08</f>
        <v>301.22999112137387</v>
      </c>
      <c r="AC6" s="163">
        <f t="shared" ref="AC6:AC69" si="4">AB6-K6</f>
        <v>205.96199112137387</v>
      </c>
      <c r="AI6" s="165">
        <f t="shared" si="1"/>
        <v>0.58220331442625117</v>
      </c>
      <c r="AJ6" s="165">
        <f t="shared" ref="AJ6:AJ69" si="5">AB6/B6</f>
        <v>0.68323627396900777</v>
      </c>
    </row>
    <row r="7" spans="1:36" s="156" customFormat="1" ht="12">
      <c r="A7" s="160">
        <v>42064</v>
      </c>
      <c r="B7" s="161">
        <f t="shared" si="2"/>
        <v>491.30199999999996</v>
      </c>
      <c r="C7" s="161">
        <v>2.4550000000000001</v>
      </c>
      <c r="D7" s="161">
        <v>437.82799999999997</v>
      </c>
      <c r="E7" s="161">
        <v>391.73599999999999</v>
      </c>
      <c r="F7" s="161">
        <v>46.091999999999999</v>
      </c>
      <c r="G7" s="161">
        <v>6.6710000000000003</v>
      </c>
      <c r="H7" s="161">
        <v>44.347999999999999</v>
      </c>
      <c r="I7" s="162"/>
      <c r="J7" s="161">
        <v>163.79599999999999</v>
      </c>
      <c r="K7" s="161">
        <v>106.27</v>
      </c>
      <c r="L7" s="161">
        <v>438.72800000000001</v>
      </c>
      <c r="M7" s="161">
        <v>1781.5630000000001</v>
      </c>
      <c r="N7" s="161">
        <v>1399.125</v>
      </c>
      <c r="O7" s="161">
        <v>494.83499999999998</v>
      </c>
      <c r="P7" s="161">
        <v>57.439</v>
      </c>
      <c r="Q7" s="161">
        <v>331.54700000000003</v>
      </c>
      <c r="R7" s="161">
        <v>93.078000000000003</v>
      </c>
      <c r="S7" s="161">
        <v>42.683999999999997</v>
      </c>
      <c r="T7" s="161">
        <v>308.44400000000002</v>
      </c>
      <c r="U7" s="163">
        <f t="shared" si="0"/>
        <v>149.02423580875566</v>
      </c>
      <c r="V7" s="164"/>
      <c r="W7" s="164"/>
      <c r="X7" s="164"/>
      <c r="Y7" s="164"/>
      <c r="Z7" s="164"/>
      <c r="AA7" s="164"/>
      <c r="AB7" s="163">
        <f t="shared" si="3"/>
        <v>377.73335130263496</v>
      </c>
      <c r="AC7" s="163">
        <f t="shared" si="4"/>
        <v>271.46335130263498</v>
      </c>
      <c r="AI7" s="165">
        <f t="shared" si="1"/>
        <v>0.6929752468566458</v>
      </c>
      <c r="AJ7" s="165">
        <f t="shared" si="5"/>
        <v>0.7688414687964531</v>
      </c>
    </row>
    <row r="8" spans="1:36" s="156" customFormat="1" ht="12">
      <c r="A8" s="160">
        <v>42095</v>
      </c>
      <c r="B8" s="161">
        <f t="shared" si="2"/>
        <v>462.48000000000008</v>
      </c>
      <c r="C8" s="161">
        <v>3.298</v>
      </c>
      <c r="D8" s="161">
        <v>407.71899999999999</v>
      </c>
      <c r="E8" s="161">
        <v>365.02800000000002</v>
      </c>
      <c r="F8" s="161">
        <v>42.691000000000003</v>
      </c>
      <c r="G8" s="161">
        <v>6.5549999999999997</v>
      </c>
      <c r="H8" s="161">
        <v>44.908000000000001</v>
      </c>
      <c r="I8" s="162"/>
      <c r="J8" s="161">
        <v>140.17099999999999</v>
      </c>
      <c r="K8" s="161">
        <v>101.614</v>
      </c>
      <c r="L8" s="161">
        <v>411.66399999999999</v>
      </c>
      <c r="M8" s="161">
        <v>1663.38</v>
      </c>
      <c r="N8" s="161">
        <v>1327.808</v>
      </c>
      <c r="O8" s="161">
        <v>387.15499999999997</v>
      </c>
      <c r="P8" s="161">
        <v>61.921999999999997</v>
      </c>
      <c r="Q8" s="161">
        <v>313.88900000000001</v>
      </c>
      <c r="R8" s="161">
        <v>89.355999999999995</v>
      </c>
      <c r="S8" s="161">
        <v>42.997999999999998</v>
      </c>
      <c r="T8" s="161">
        <v>314.04700000000003</v>
      </c>
      <c r="U8" s="163">
        <f t="shared" si="0"/>
        <v>137.61219629848978</v>
      </c>
      <c r="V8" s="164"/>
      <c r="W8" s="164"/>
      <c r="X8" s="164"/>
      <c r="Y8" s="164"/>
      <c r="Z8" s="164"/>
      <c r="AA8" s="164"/>
      <c r="AB8" s="163">
        <f t="shared" si="3"/>
        <v>353.95908004324554</v>
      </c>
      <c r="AC8" s="163">
        <f t="shared" si="4"/>
        <v>252.34508004324553</v>
      </c>
      <c r="AI8" s="165">
        <f t="shared" si="1"/>
        <v>0.69130335219009365</v>
      </c>
      <c r="AJ8" s="165">
        <f t="shared" si="5"/>
        <v>0.76535002604057578</v>
      </c>
    </row>
    <row r="9" spans="1:36" s="156" customFormat="1" ht="12">
      <c r="A9" s="160">
        <v>42125</v>
      </c>
      <c r="B9" s="161">
        <f t="shared" si="2"/>
        <v>505.54399999999998</v>
      </c>
      <c r="C9" s="164">
        <v>3.234</v>
      </c>
      <c r="D9" s="164">
        <v>448.98399999999998</v>
      </c>
      <c r="E9" s="164">
        <v>401.26299999999998</v>
      </c>
      <c r="F9" s="164">
        <v>47.720999999999997</v>
      </c>
      <c r="G9" s="164">
        <v>5.7009999999999996</v>
      </c>
      <c r="H9" s="164">
        <v>47.625</v>
      </c>
      <c r="I9" s="166"/>
      <c r="J9" s="164">
        <v>148.75700000000001</v>
      </c>
      <c r="K9" s="164">
        <v>117.04900000000001</v>
      </c>
      <c r="L9" s="164">
        <v>418.44799999999998</v>
      </c>
      <c r="M9" s="164">
        <v>1861.7950000000001</v>
      </c>
      <c r="N9" s="164">
        <v>1368.9259999999999</v>
      </c>
      <c r="O9" s="164">
        <v>414.95600000000002</v>
      </c>
      <c r="P9" s="164">
        <v>69.274000000000001</v>
      </c>
      <c r="Q9" s="164">
        <v>348.35500000000002</v>
      </c>
      <c r="R9" s="164">
        <v>97.138999999999996</v>
      </c>
      <c r="S9" s="164">
        <v>53.207999999999998</v>
      </c>
      <c r="T9" s="164">
        <v>323.43599999999998</v>
      </c>
      <c r="U9" s="163">
        <f t="shared" si="0"/>
        <v>170.58874536507051</v>
      </c>
      <c r="V9" s="164"/>
      <c r="W9" s="164"/>
      <c r="X9" s="164"/>
      <c r="Y9" s="164"/>
      <c r="Z9" s="164"/>
      <c r="AA9" s="164"/>
      <c r="AB9" s="163">
        <f t="shared" si="3"/>
        <v>425.58880804215835</v>
      </c>
      <c r="AC9" s="163">
        <f t="shared" si="4"/>
        <v>308.53980804215837</v>
      </c>
      <c r="AI9" s="165">
        <f t="shared" si="1"/>
        <v>0.76892164999553503</v>
      </c>
      <c r="AJ9" s="165">
        <f t="shared" si="5"/>
        <v>0.84184325803917837</v>
      </c>
    </row>
    <row r="10" spans="1:36" s="156" customFormat="1" ht="12">
      <c r="A10" s="160">
        <v>42156</v>
      </c>
      <c r="B10" s="161">
        <f t="shared" si="2"/>
        <v>493.47200000000004</v>
      </c>
      <c r="C10" s="164">
        <v>2.492</v>
      </c>
      <c r="D10" s="164">
        <v>441.27199999999999</v>
      </c>
      <c r="E10" s="164">
        <v>395.70400000000001</v>
      </c>
      <c r="F10" s="164">
        <v>45.567999999999998</v>
      </c>
      <c r="G10" s="164">
        <v>6.8570000000000002</v>
      </c>
      <c r="H10" s="164">
        <v>42.850999999999999</v>
      </c>
      <c r="I10" s="166"/>
      <c r="J10" s="164">
        <v>146.523</v>
      </c>
      <c r="K10" s="164">
        <v>119.146</v>
      </c>
      <c r="L10" s="164">
        <v>407.25900000000001</v>
      </c>
      <c r="M10" s="164">
        <v>1950.2139999999999</v>
      </c>
      <c r="N10" s="164">
        <v>1280.6510000000001</v>
      </c>
      <c r="O10" s="164">
        <v>364.38499999999999</v>
      </c>
      <c r="P10" s="164">
        <v>63.188000000000002</v>
      </c>
      <c r="Q10" s="164">
        <v>321.209</v>
      </c>
      <c r="R10" s="164">
        <v>92.236999999999995</v>
      </c>
      <c r="S10" s="164">
        <v>51.280999999999999</v>
      </c>
      <c r="T10" s="164">
        <v>304.024</v>
      </c>
      <c r="U10" s="163">
        <f t="shared" si="0"/>
        <v>173.06511840004819</v>
      </c>
      <c r="V10" s="164"/>
      <c r="W10" s="164"/>
      <c r="X10" s="164"/>
      <c r="Y10" s="164"/>
      <c r="Z10" s="164"/>
      <c r="AA10" s="164"/>
      <c r="AB10" s="163">
        <f t="shared" si="3"/>
        <v>432.35557078471135</v>
      </c>
      <c r="AC10" s="163">
        <f t="shared" si="4"/>
        <v>313.20957078471133</v>
      </c>
      <c r="AI10" s="165">
        <f t="shared" si="1"/>
        <v>0.79152490443541468</v>
      </c>
      <c r="AJ10" s="165">
        <f t="shared" si="5"/>
        <v>0.87615015803269758</v>
      </c>
    </row>
    <row r="11" spans="1:36" s="156" customFormat="1" ht="12">
      <c r="A11" s="160">
        <v>42186</v>
      </c>
      <c r="B11" s="161">
        <f t="shared" si="2"/>
        <v>501.39099999999996</v>
      </c>
      <c r="C11" s="164">
        <v>2.645</v>
      </c>
      <c r="D11" s="164">
        <v>448.4</v>
      </c>
      <c r="E11" s="164">
        <v>401.423</v>
      </c>
      <c r="F11" s="164">
        <v>46.976999999999997</v>
      </c>
      <c r="G11" s="164">
        <v>6.2069999999999999</v>
      </c>
      <c r="H11" s="164">
        <v>44.139000000000003</v>
      </c>
      <c r="I11" s="166"/>
      <c r="J11" s="164">
        <v>150.631</v>
      </c>
      <c r="K11" s="164">
        <v>124.428</v>
      </c>
      <c r="L11" s="164">
        <v>450.82900000000001</v>
      </c>
      <c r="M11" s="164">
        <v>1975.1990000000001</v>
      </c>
      <c r="N11" s="164">
        <v>1274.5429999999999</v>
      </c>
      <c r="O11" s="164">
        <v>347.65199999999999</v>
      </c>
      <c r="P11" s="164">
        <v>68.528000000000006</v>
      </c>
      <c r="Q11" s="164">
        <v>333.82799999999997</v>
      </c>
      <c r="R11" s="164">
        <v>97.13</v>
      </c>
      <c r="S11" s="164">
        <v>53.363999999999997</v>
      </c>
      <c r="T11" s="164">
        <v>316.79000000000002</v>
      </c>
      <c r="U11" s="163">
        <f t="shared" si="0"/>
        <v>180.37469673632054</v>
      </c>
      <c r="V11" s="164"/>
      <c r="W11" s="164"/>
      <c r="X11" s="164"/>
      <c r="Y11" s="164"/>
      <c r="Z11" s="164"/>
      <c r="AA11" s="164"/>
      <c r="AB11" s="163">
        <f t="shared" si="3"/>
        <v>450.9860700910599</v>
      </c>
      <c r="AC11" s="163">
        <f t="shared" si="4"/>
        <v>326.5580700910599</v>
      </c>
      <c r="AI11" s="165">
        <f t="shared" si="1"/>
        <v>0.81350114490465142</v>
      </c>
      <c r="AJ11" s="165">
        <f t="shared" si="5"/>
        <v>0.89946981515635493</v>
      </c>
    </row>
    <row r="12" spans="1:36" s="156" customFormat="1" ht="12">
      <c r="A12" s="160">
        <v>42217</v>
      </c>
      <c r="B12" s="161">
        <f t="shared" si="2"/>
        <v>497.69299999999998</v>
      </c>
      <c r="C12" s="164">
        <v>3.129</v>
      </c>
      <c r="D12" s="164">
        <v>445.71800000000002</v>
      </c>
      <c r="E12" s="164">
        <v>398.22199999999998</v>
      </c>
      <c r="F12" s="164">
        <v>47.496000000000002</v>
      </c>
      <c r="G12" s="164">
        <v>6.3360000000000003</v>
      </c>
      <c r="H12" s="164">
        <v>42.51</v>
      </c>
      <c r="I12" s="166"/>
      <c r="J12" s="164">
        <v>155.53899999999999</v>
      </c>
      <c r="K12" s="164">
        <v>120.756</v>
      </c>
      <c r="L12" s="164">
        <v>452.96899999999999</v>
      </c>
      <c r="M12" s="164">
        <v>1928.7159999999999</v>
      </c>
      <c r="N12" s="164">
        <v>1284.329</v>
      </c>
      <c r="O12" s="164">
        <v>339.31599999999997</v>
      </c>
      <c r="P12" s="164">
        <v>66.563000000000002</v>
      </c>
      <c r="Q12" s="164">
        <v>343.476</v>
      </c>
      <c r="R12" s="164">
        <v>96.072000000000003</v>
      </c>
      <c r="S12" s="164">
        <v>52.514000000000003</v>
      </c>
      <c r="T12" s="164">
        <v>290.65199999999999</v>
      </c>
      <c r="U12" s="163">
        <f t="shared" si="0"/>
        <v>146.92360458879008</v>
      </c>
      <c r="V12" s="164"/>
      <c r="W12" s="164"/>
      <c r="X12" s="164"/>
      <c r="Y12" s="164"/>
      <c r="Z12" s="164"/>
      <c r="AA12" s="164"/>
      <c r="AB12" s="163">
        <f t="shared" si="3"/>
        <v>396.05874294957385</v>
      </c>
      <c r="AC12" s="163">
        <f t="shared" si="4"/>
        <v>275.30274294957383</v>
      </c>
      <c r="AI12" s="165">
        <f t="shared" si="1"/>
        <v>0.6913298184167973</v>
      </c>
      <c r="AJ12" s="165">
        <f t="shared" si="5"/>
        <v>0.7957892575334069</v>
      </c>
    </row>
    <row r="13" spans="1:36" s="156" customFormat="1" ht="12">
      <c r="A13" s="160">
        <v>42248</v>
      </c>
      <c r="B13" s="161">
        <f t="shared" si="2"/>
        <v>476.97300000000007</v>
      </c>
      <c r="C13" s="164">
        <v>3.4780000000000002</v>
      </c>
      <c r="D13" s="164">
        <v>425.916</v>
      </c>
      <c r="E13" s="164">
        <v>382.20800000000003</v>
      </c>
      <c r="F13" s="164">
        <v>43.707999999999998</v>
      </c>
      <c r="G13" s="164">
        <v>5.673</v>
      </c>
      <c r="H13" s="164">
        <v>41.905999999999999</v>
      </c>
      <c r="I13" s="166"/>
      <c r="J13" s="164">
        <v>154.10400000000001</v>
      </c>
      <c r="K13" s="164">
        <v>116.155</v>
      </c>
      <c r="L13" s="164">
        <v>420.45800000000003</v>
      </c>
      <c r="M13" s="164">
        <v>1875.1</v>
      </c>
      <c r="N13" s="164">
        <v>1289.7529999999999</v>
      </c>
      <c r="O13" s="164">
        <v>366.77</v>
      </c>
      <c r="P13" s="164">
        <v>56.106000000000002</v>
      </c>
      <c r="Q13" s="164">
        <v>312.54300000000001</v>
      </c>
      <c r="R13" s="164">
        <v>86.522000000000006</v>
      </c>
      <c r="S13" s="164">
        <v>42.604999999999997</v>
      </c>
      <c r="T13" s="164">
        <v>286.61500000000001</v>
      </c>
      <c r="U13" s="163">
        <f t="shared" si="0"/>
        <v>146.38481226493477</v>
      </c>
      <c r="V13" s="164"/>
      <c r="W13" s="164"/>
      <c r="X13" s="164"/>
      <c r="Y13" s="164"/>
      <c r="Z13" s="164"/>
      <c r="AA13" s="164"/>
      <c r="AB13" s="163">
        <f t="shared" si="3"/>
        <v>388.45390622719754</v>
      </c>
      <c r="AC13" s="163">
        <f t="shared" si="4"/>
        <v>272.29890622719756</v>
      </c>
      <c r="AI13" s="165">
        <f t="shared" si="1"/>
        <v>0.71243643834560644</v>
      </c>
      <c r="AJ13" s="165">
        <f t="shared" si="5"/>
        <v>0.81441487511284172</v>
      </c>
    </row>
    <row r="14" spans="1:36" s="156" customFormat="1" ht="12">
      <c r="A14" s="160">
        <v>42278</v>
      </c>
      <c r="B14" s="161">
        <f t="shared" si="2"/>
        <v>492.05500000000001</v>
      </c>
      <c r="C14" s="164">
        <v>2.5990000000000002</v>
      </c>
      <c r="D14" s="164">
        <v>440.38299999999998</v>
      </c>
      <c r="E14" s="164">
        <v>395.298</v>
      </c>
      <c r="F14" s="164">
        <v>45.085000000000001</v>
      </c>
      <c r="G14" s="164">
        <v>6.6870000000000003</v>
      </c>
      <c r="H14" s="164">
        <v>42.386000000000003</v>
      </c>
      <c r="I14" s="166">
        <v>4687</v>
      </c>
      <c r="J14" s="164">
        <v>143.02500000000001</v>
      </c>
      <c r="K14" s="164">
        <v>126.813</v>
      </c>
      <c r="L14" s="164">
        <v>438.02699999999999</v>
      </c>
      <c r="M14" s="164">
        <v>1921.44</v>
      </c>
      <c r="N14" s="164">
        <v>1355.693</v>
      </c>
      <c r="O14" s="164">
        <v>383.45699999999999</v>
      </c>
      <c r="P14" s="164">
        <v>62.783999999999999</v>
      </c>
      <c r="Q14" s="164">
        <v>326.05500000000001</v>
      </c>
      <c r="R14" s="164">
        <v>83.212999999999994</v>
      </c>
      <c r="S14" s="164">
        <v>48.676000000000002</v>
      </c>
      <c r="T14" s="164">
        <v>296.95400000000001</v>
      </c>
      <c r="U14" s="163">
        <f t="shared" si="0"/>
        <v>164.89887770941257</v>
      </c>
      <c r="V14" s="164"/>
      <c r="W14" s="164"/>
      <c r="X14" s="164"/>
      <c r="Y14" s="164"/>
      <c r="Z14" s="164"/>
      <c r="AA14" s="164"/>
      <c r="AB14" s="163">
        <f t="shared" si="3"/>
        <v>431.61689425884691</v>
      </c>
      <c r="AC14" s="163">
        <f t="shared" si="4"/>
        <v>304.80389425884692</v>
      </c>
      <c r="AI14" s="165">
        <f t="shared" si="1"/>
        <v>0.77107370707376943</v>
      </c>
      <c r="AJ14" s="165">
        <f t="shared" si="5"/>
        <v>0.87717205243081953</v>
      </c>
    </row>
    <row r="15" spans="1:36" s="156" customFormat="1" ht="12">
      <c r="A15" s="160">
        <v>42309</v>
      </c>
      <c r="B15" s="161">
        <f t="shared" si="2"/>
        <v>483.38400000000001</v>
      </c>
      <c r="C15" s="164">
        <v>2.97</v>
      </c>
      <c r="D15" s="164">
        <v>433.90300000000002</v>
      </c>
      <c r="E15" s="164">
        <v>387.77699999999999</v>
      </c>
      <c r="F15" s="164">
        <v>46.125999999999998</v>
      </c>
      <c r="G15" s="164">
        <v>5.5759999999999996</v>
      </c>
      <c r="H15" s="164">
        <v>40.935000000000002</v>
      </c>
      <c r="I15" s="166">
        <v>5615</v>
      </c>
      <c r="J15" s="164">
        <v>124.855</v>
      </c>
      <c r="K15" s="164">
        <v>129.786</v>
      </c>
      <c r="L15" s="164">
        <v>413.01900000000001</v>
      </c>
      <c r="M15" s="164">
        <v>1903.3130000000001</v>
      </c>
      <c r="N15" s="164">
        <v>1261.7840000000001</v>
      </c>
      <c r="O15" s="164">
        <v>422.36099999999999</v>
      </c>
      <c r="P15" s="164">
        <v>67.644999999999996</v>
      </c>
      <c r="Q15" s="164">
        <v>322.74099999999999</v>
      </c>
      <c r="R15" s="164">
        <v>84.504999999999995</v>
      </c>
      <c r="S15" s="164">
        <v>53.597000000000001</v>
      </c>
      <c r="T15" s="164">
        <v>289.17099999999999</v>
      </c>
      <c r="U15" s="163">
        <f t="shared" si="0"/>
        <v>160.50221639339884</v>
      </c>
      <c r="V15" s="164"/>
      <c r="W15" s="164"/>
      <c r="X15" s="164"/>
      <c r="Y15" s="164"/>
      <c r="Z15" s="164"/>
      <c r="AA15" s="164"/>
      <c r="AB15" s="163">
        <f t="shared" si="3"/>
        <v>429.51044497567301</v>
      </c>
      <c r="AC15" s="163">
        <f t="shared" si="4"/>
        <v>299.72444497567301</v>
      </c>
      <c r="AI15" s="165">
        <f t="shared" si="1"/>
        <v>0.77292991842134273</v>
      </c>
      <c r="AJ15" s="165">
        <f t="shared" si="5"/>
        <v>0.8885491554864724</v>
      </c>
    </row>
    <row r="16" spans="1:36" s="156" customFormat="1" ht="12">
      <c r="A16" s="160">
        <v>42339</v>
      </c>
      <c r="B16" s="161">
        <f t="shared" si="2"/>
        <v>502.31600000000003</v>
      </c>
      <c r="C16" s="164">
        <v>2.8069999999999999</v>
      </c>
      <c r="D16" s="164">
        <v>451.30599999999998</v>
      </c>
      <c r="E16" s="164">
        <v>401.24200000000002</v>
      </c>
      <c r="F16" s="164">
        <v>50.064</v>
      </c>
      <c r="G16" s="164">
        <v>6.4790000000000001</v>
      </c>
      <c r="H16" s="164">
        <v>41.723999999999997</v>
      </c>
      <c r="I16" s="166">
        <v>7616</v>
      </c>
      <c r="J16" s="164">
        <v>134.196</v>
      </c>
      <c r="K16" s="164">
        <v>130.65199999999999</v>
      </c>
      <c r="L16" s="164">
        <v>423.63200000000001</v>
      </c>
      <c r="M16" s="164">
        <v>1941.7080000000001</v>
      </c>
      <c r="N16" s="164">
        <v>1398.28</v>
      </c>
      <c r="O16" s="164">
        <v>442.44799999999998</v>
      </c>
      <c r="P16" s="164">
        <v>69.668999999999997</v>
      </c>
      <c r="Q16" s="164">
        <v>340.46</v>
      </c>
      <c r="R16" s="164">
        <v>88.921000000000006</v>
      </c>
      <c r="S16" s="164">
        <v>57.578000000000003</v>
      </c>
      <c r="T16" s="164">
        <v>307.87400000000002</v>
      </c>
      <c r="U16" s="163">
        <f t="shared" si="0"/>
        <v>139.02137047143177</v>
      </c>
      <c r="V16" s="164"/>
      <c r="W16" s="164"/>
      <c r="X16" s="164"/>
      <c r="Y16" s="164"/>
      <c r="Z16" s="164"/>
      <c r="AA16" s="164"/>
      <c r="AB16" s="163">
        <f t="shared" si="3"/>
        <v>399.00871894953053</v>
      </c>
      <c r="AC16" s="163">
        <f t="shared" si="4"/>
        <v>268.35671894953055</v>
      </c>
      <c r="AI16" s="165">
        <f t="shared" si="1"/>
        <v>0.66881512640633467</v>
      </c>
      <c r="AJ16" s="165">
        <f t="shared" si="5"/>
        <v>0.79433806398667473</v>
      </c>
    </row>
    <row r="17" spans="1:36" s="156" customFormat="1" ht="12">
      <c r="A17" s="160">
        <v>42370</v>
      </c>
      <c r="B17" s="161">
        <f t="shared" si="2"/>
        <v>494.01300000000003</v>
      </c>
      <c r="C17" s="164">
        <v>3.141</v>
      </c>
      <c r="D17" s="164">
        <v>444.036</v>
      </c>
      <c r="E17" s="164">
        <v>397.02800000000002</v>
      </c>
      <c r="F17" s="164">
        <v>47.008000000000003</v>
      </c>
      <c r="G17" s="164">
        <v>5.5049999999999999</v>
      </c>
      <c r="H17" s="164">
        <v>41.331000000000003</v>
      </c>
      <c r="I17" s="166">
        <v>6939</v>
      </c>
      <c r="J17" s="164">
        <v>135.339</v>
      </c>
      <c r="K17" s="164">
        <v>125.82599999999999</v>
      </c>
      <c r="L17" s="164">
        <v>383.13099999999997</v>
      </c>
      <c r="M17" s="164">
        <v>1905.165</v>
      </c>
      <c r="N17" s="164">
        <v>1313.6320000000001</v>
      </c>
      <c r="O17" s="164">
        <v>454.24799999999999</v>
      </c>
      <c r="P17" s="164">
        <v>63.786999999999999</v>
      </c>
      <c r="Q17" s="164">
        <v>321.95600000000002</v>
      </c>
      <c r="R17" s="164">
        <v>87.266000000000005</v>
      </c>
      <c r="S17" s="164">
        <v>45.975999999999999</v>
      </c>
      <c r="T17" s="164">
        <v>291.88200000000001</v>
      </c>
      <c r="U17" s="163">
        <f t="shared" si="0"/>
        <v>143.06559605978802</v>
      </c>
      <c r="V17" s="167">
        <f t="shared" ref="V17:V28" si="6">S17*2/(H17+F17)</f>
        <v>1.0408992630661429</v>
      </c>
      <c r="W17" s="164"/>
      <c r="X17" s="164"/>
      <c r="Y17" s="164"/>
      <c r="Z17" s="164"/>
      <c r="AA17" s="164"/>
      <c r="AB17" s="163">
        <f t="shared" si="3"/>
        <v>397.8520055300624</v>
      </c>
      <c r="AC17" s="163">
        <f t="shared" si="4"/>
        <v>272.02600553006243</v>
      </c>
      <c r="AI17" s="165">
        <f t="shared" si="1"/>
        <v>0.6851557208309299</v>
      </c>
      <c r="AJ17" s="165">
        <f t="shared" si="5"/>
        <v>0.80534723889869775</v>
      </c>
    </row>
    <row r="18" spans="1:36" s="156" customFormat="1" ht="12">
      <c r="A18" s="160">
        <v>42401</v>
      </c>
      <c r="B18" s="161">
        <f t="shared" si="2"/>
        <v>470.25799999999992</v>
      </c>
      <c r="C18" s="164">
        <v>2.4620000000000002</v>
      </c>
      <c r="D18" s="164">
        <v>420.93700000000001</v>
      </c>
      <c r="E18" s="164">
        <v>377.53</v>
      </c>
      <c r="F18" s="164">
        <v>43.406999999999996</v>
      </c>
      <c r="G18" s="164">
        <v>6.3010000000000002</v>
      </c>
      <c r="H18" s="164">
        <v>40.558</v>
      </c>
      <c r="I18" s="166">
        <v>8719</v>
      </c>
      <c r="J18" s="164">
        <v>122.291</v>
      </c>
      <c r="K18" s="164">
        <v>123.806</v>
      </c>
      <c r="L18" s="164">
        <v>367.43599999999998</v>
      </c>
      <c r="M18" s="164">
        <v>1795.472</v>
      </c>
      <c r="N18" s="164">
        <v>1249.6759999999999</v>
      </c>
      <c r="O18" s="164">
        <v>401.37</v>
      </c>
      <c r="P18" s="164">
        <v>65.123000000000005</v>
      </c>
      <c r="Q18" s="164">
        <v>312.012</v>
      </c>
      <c r="R18" s="164">
        <v>83.643000000000001</v>
      </c>
      <c r="S18" s="164">
        <v>46.49</v>
      </c>
      <c r="T18" s="164">
        <v>277.43400000000003</v>
      </c>
      <c r="U18" s="163">
        <f t="shared" si="0"/>
        <v>173.61526807696251</v>
      </c>
      <c r="V18" s="167">
        <f t="shared" si="6"/>
        <v>1.1073661644732924</v>
      </c>
      <c r="W18" s="164"/>
      <c r="X18" s="164"/>
      <c r="Y18" s="164"/>
      <c r="Z18" s="164"/>
      <c r="AA18" s="164"/>
      <c r="AB18" s="163">
        <f t="shared" si="3"/>
        <v>440.06450824667382</v>
      </c>
      <c r="AC18" s="163">
        <f t="shared" si="4"/>
        <v>316.25850824667384</v>
      </c>
      <c r="AI18" s="165">
        <f t="shared" si="1"/>
        <v>0.83770431024467951</v>
      </c>
      <c r="AJ18" s="165">
        <f t="shared" si="5"/>
        <v>0.93579377330459856</v>
      </c>
    </row>
    <row r="19" spans="1:36" s="156" customFormat="1" ht="12">
      <c r="A19" s="160">
        <v>42430</v>
      </c>
      <c r="B19" s="161">
        <f t="shared" si="2"/>
        <v>491.35500000000002</v>
      </c>
      <c r="C19" s="164">
        <v>2.7120000000000002</v>
      </c>
      <c r="D19" s="164">
        <v>438.38099999999997</v>
      </c>
      <c r="E19" s="164">
        <v>390.91800000000001</v>
      </c>
      <c r="F19" s="164">
        <v>47.463000000000001</v>
      </c>
      <c r="G19" s="164">
        <v>6.1260000000000003</v>
      </c>
      <c r="H19" s="164">
        <v>44.136000000000003</v>
      </c>
      <c r="I19" s="166">
        <v>10156</v>
      </c>
      <c r="J19" s="164">
        <v>137.541</v>
      </c>
      <c r="K19" s="164">
        <v>128.94800000000001</v>
      </c>
      <c r="L19" s="164">
        <v>384.73899999999998</v>
      </c>
      <c r="M19" s="164">
        <v>1919.5070000000001</v>
      </c>
      <c r="N19" s="164">
        <v>1320.3219999999999</v>
      </c>
      <c r="O19" s="164">
        <v>456.25599999999997</v>
      </c>
      <c r="P19" s="164">
        <v>68.14</v>
      </c>
      <c r="Q19" s="164">
        <v>342.66800000000001</v>
      </c>
      <c r="R19" s="164">
        <v>91.944999999999993</v>
      </c>
      <c r="S19" s="164">
        <v>51.414999999999999</v>
      </c>
      <c r="T19" s="164">
        <v>290.565</v>
      </c>
      <c r="U19" s="163">
        <f t="shared" si="0"/>
        <v>174.62965229493634</v>
      </c>
      <c r="V19" s="167">
        <f t="shared" si="6"/>
        <v>1.1226105088483498</v>
      </c>
      <c r="W19" s="164"/>
      <c r="X19" s="164"/>
      <c r="Y19" s="164"/>
      <c r="Z19" s="164"/>
      <c r="AA19" s="164"/>
      <c r="AB19" s="163">
        <f t="shared" si="3"/>
        <v>449.17349433558786</v>
      </c>
      <c r="AC19" s="163">
        <f t="shared" si="4"/>
        <v>320.22549433558788</v>
      </c>
      <c r="AI19" s="165">
        <f t="shared" si="1"/>
        <v>0.8191628278451949</v>
      </c>
      <c r="AJ19" s="165">
        <f t="shared" si="5"/>
        <v>0.91415268865807375</v>
      </c>
    </row>
    <row r="20" spans="1:36" s="156" customFormat="1" ht="12">
      <c r="A20" s="160">
        <v>42461</v>
      </c>
      <c r="B20" s="161">
        <f t="shared" si="2"/>
        <v>453.18</v>
      </c>
      <c r="C20" s="164">
        <v>2.6890000000000001</v>
      </c>
      <c r="D20" s="164">
        <v>400.73099999999999</v>
      </c>
      <c r="E20" s="164">
        <v>358.39100000000002</v>
      </c>
      <c r="F20" s="164">
        <v>42.34</v>
      </c>
      <c r="G20" s="164">
        <v>6.173</v>
      </c>
      <c r="H20" s="164">
        <v>43.587000000000003</v>
      </c>
      <c r="I20" s="166">
        <v>7499</v>
      </c>
      <c r="J20" s="164">
        <v>130.32400000000001</v>
      </c>
      <c r="K20" s="164">
        <v>114.127</v>
      </c>
      <c r="L20" s="164">
        <v>374.75</v>
      </c>
      <c r="M20" s="164">
        <v>1717.0239999999999</v>
      </c>
      <c r="N20" s="164">
        <v>1264.7449999999999</v>
      </c>
      <c r="O20" s="164">
        <v>429.97199999999998</v>
      </c>
      <c r="P20" s="164">
        <v>67.53</v>
      </c>
      <c r="Q20" s="164">
        <v>306.464</v>
      </c>
      <c r="R20" s="164">
        <v>84.915999999999997</v>
      </c>
      <c r="S20" s="164">
        <v>51.454999999999998</v>
      </c>
      <c r="T20" s="164">
        <v>301.28300000000002</v>
      </c>
      <c r="U20" s="163">
        <f t="shared" si="0"/>
        <v>166.33018430127041</v>
      </c>
      <c r="V20" s="167">
        <f t="shared" si="6"/>
        <v>1.1976445122022181</v>
      </c>
      <c r="W20" s="164"/>
      <c r="X20" s="164"/>
      <c r="Y20" s="164"/>
      <c r="Z20" s="164"/>
      <c r="AA20" s="164"/>
      <c r="AB20" s="163">
        <f t="shared" si="3"/>
        <v>414.96444989215973</v>
      </c>
      <c r="AC20" s="163">
        <f t="shared" si="4"/>
        <v>300.83744989215973</v>
      </c>
      <c r="AI20" s="165">
        <f t="shared" si="1"/>
        <v>0.8394112851387443</v>
      </c>
      <c r="AJ20" s="165">
        <f t="shared" si="5"/>
        <v>0.91567246986221751</v>
      </c>
    </row>
    <row r="21" spans="1:36" s="156" customFormat="1" ht="12">
      <c r="A21" s="160">
        <v>42491</v>
      </c>
      <c r="B21" s="161">
        <f t="shared" si="2"/>
        <v>479.00799999999998</v>
      </c>
      <c r="C21" s="164">
        <v>2.8460000000000001</v>
      </c>
      <c r="D21" s="164">
        <v>425.68400000000003</v>
      </c>
      <c r="E21" s="164">
        <v>379.47399999999999</v>
      </c>
      <c r="F21" s="164">
        <v>46.21</v>
      </c>
      <c r="G21" s="164">
        <v>5.923</v>
      </c>
      <c r="H21" s="164">
        <v>44.555</v>
      </c>
      <c r="I21" s="166">
        <v>6301</v>
      </c>
      <c r="J21" s="164">
        <v>131.31800000000001</v>
      </c>
      <c r="K21" s="164">
        <v>125.31100000000001</v>
      </c>
      <c r="L21" s="164">
        <v>411.46699999999998</v>
      </c>
      <c r="M21" s="164">
        <v>1845.2380000000001</v>
      </c>
      <c r="N21" s="164">
        <v>1234.3150000000001</v>
      </c>
      <c r="O21" s="164">
        <v>425.34300000000002</v>
      </c>
      <c r="P21" s="164">
        <v>63.859000000000002</v>
      </c>
      <c r="Q21" s="164">
        <v>332.97500000000002</v>
      </c>
      <c r="R21" s="164">
        <v>88.177000000000007</v>
      </c>
      <c r="S21" s="164">
        <v>50.262</v>
      </c>
      <c r="T21" s="164">
        <v>306.42399999999998</v>
      </c>
      <c r="U21" s="163">
        <f t="shared" si="0"/>
        <v>182.02006825095631</v>
      </c>
      <c r="V21" s="167">
        <f t="shared" si="6"/>
        <v>1.1075194182779706</v>
      </c>
      <c r="W21" s="164"/>
      <c r="X21" s="164"/>
      <c r="Y21" s="164"/>
      <c r="Z21" s="164"/>
      <c r="AA21" s="164"/>
      <c r="AB21" s="163">
        <f t="shared" si="3"/>
        <v>454.72704858411504</v>
      </c>
      <c r="AC21" s="163">
        <f t="shared" si="4"/>
        <v>329.41604858411506</v>
      </c>
      <c r="AI21" s="165">
        <f t="shared" si="1"/>
        <v>0.86808595209188266</v>
      </c>
      <c r="AJ21" s="165">
        <f t="shared" si="5"/>
        <v>0.9493099250620346</v>
      </c>
    </row>
    <row r="22" spans="1:36" s="156" customFormat="1" ht="12">
      <c r="A22" s="160">
        <v>42522</v>
      </c>
      <c r="B22" s="161">
        <f t="shared" si="2"/>
        <v>478.09700000000009</v>
      </c>
      <c r="C22" s="164">
        <v>2.6</v>
      </c>
      <c r="D22" s="164">
        <v>427.55799999999999</v>
      </c>
      <c r="E22" s="164">
        <v>382.79700000000003</v>
      </c>
      <c r="F22" s="164">
        <v>44.761000000000003</v>
      </c>
      <c r="G22" s="164">
        <v>4.9130000000000003</v>
      </c>
      <c r="H22" s="164">
        <v>43.026000000000003</v>
      </c>
      <c r="I22" s="166">
        <v>5978</v>
      </c>
      <c r="J22" s="164">
        <v>132.798</v>
      </c>
      <c r="K22" s="164">
        <v>130.964</v>
      </c>
      <c r="L22" s="164">
        <v>392.43799999999999</v>
      </c>
      <c r="M22" s="164">
        <v>1893.816</v>
      </c>
      <c r="N22" s="164">
        <v>1220.6389999999999</v>
      </c>
      <c r="O22" s="164">
        <v>360.904</v>
      </c>
      <c r="P22" s="164">
        <v>58.121000000000002</v>
      </c>
      <c r="Q22" s="164">
        <v>331.81200000000001</v>
      </c>
      <c r="R22" s="164">
        <v>84.034000000000006</v>
      </c>
      <c r="S22" s="164">
        <v>48.530999999999999</v>
      </c>
      <c r="T22" s="164">
        <v>312.49700000000001</v>
      </c>
      <c r="U22" s="163">
        <f t="shared" si="0"/>
        <v>189.84948551271003</v>
      </c>
      <c r="V22" s="167">
        <f t="shared" si="6"/>
        <v>1.1056534566621481</v>
      </c>
      <c r="W22" s="164"/>
      <c r="X22" s="164"/>
      <c r="Y22" s="164"/>
      <c r="Z22" s="164"/>
      <c r="AA22" s="164"/>
      <c r="AB22" s="163">
        <f t="shared" si="3"/>
        <v>474.67563316460581</v>
      </c>
      <c r="AC22" s="163">
        <f t="shared" si="4"/>
        <v>343.71163316460581</v>
      </c>
      <c r="AI22" s="165">
        <f t="shared" si="1"/>
        <v>0.89789531570154879</v>
      </c>
      <c r="AJ22" s="165">
        <f t="shared" si="5"/>
        <v>0.99284378099968362</v>
      </c>
    </row>
    <row r="23" spans="1:36" s="156" customFormat="1" ht="12">
      <c r="A23" s="160">
        <v>42552</v>
      </c>
      <c r="B23" s="161">
        <f t="shared" si="2"/>
        <v>509.36700000000002</v>
      </c>
      <c r="C23" s="164">
        <v>2.609</v>
      </c>
      <c r="D23" s="164">
        <v>456.42200000000003</v>
      </c>
      <c r="E23" s="164">
        <v>408.50400000000002</v>
      </c>
      <c r="F23" s="164">
        <v>47.917999999999999</v>
      </c>
      <c r="G23" s="164">
        <v>5.7720000000000002</v>
      </c>
      <c r="H23" s="164">
        <v>44.564</v>
      </c>
      <c r="I23" s="166">
        <v>5980</v>
      </c>
      <c r="J23" s="164">
        <v>140.63900000000001</v>
      </c>
      <c r="K23" s="164">
        <v>144.02000000000001</v>
      </c>
      <c r="L23" s="164">
        <v>404.75799999999998</v>
      </c>
      <c r="M23" s="164">
        <v>2047.52</v>
      </c>
      <c r="N23" s="164">
        <v>1228.2860000000001</v>
      </c>
      <c r="O23" s="164">
        <v>359.613</v>
      </c>
      <c r="P23" s="164">
        <v>65.031999999999996</v>
      </c>
      <c r="Q23" s="164">
        <v>339.7</v>
      </c>
      <c r="R23" s="164">
        <v>89.125</v>
      </c>
      <c r="S23" s="164">
        <v>57.325000000000003</v>
      </c>
      <c r="T23" s="164">
        <v>331.94900000000001</v>
      </c>
      <c r="U23" s="163">
        <f t="shared" si="0"/>
        <v>175.22887088738901</v>
      </c>
      <c r="V23" s="167">
        <f t="shared" si="6"/>
        <v>1.2397006985143055</v>
      </c>
      <c r="W23" s="164"/>
      <c r="X23" s="164"/>
      <c r="Y23" s="164"/>
      <c r="Z23" s="164"/>
      <c r="AA23" s="164"/>
      <c r="AB23" s="163">
        <f t="shared" si="3"/>
        <v>472.36062936498081</v>
      </c>
      <c r="AC23" s="163">
        <f t="shared" si="4"/>
        <v>328.34062936498083</v>
      </c>
      <c r="AI23" s="165">
        <f t="shared" si="1"/>
        <v>0.80376356012421135</v>
      </c>
      <c r="AJ23" s="165">
        <f t="shared" si="5"/>
        <v>0.9273483153894555</v>
      </c>
    </row>
    <row r="24" spans="1:36" s="156" customFormat="1" ht="12">
      <c r="A24" s="160">
        <v>42583</v>
      </c>
      <c r="B24" s="161">
        <f t="shared" si="2"/>
        <v>510.96900000000005</v>
      </c>
      <c r="C24" s="164">
        <v>3.1320000000000001</v>
      </c>
      <c r="D24" s="164">
        <v>458.35700000000003</v>
      </c>
      <c r="E24" s="164">
        <v>411.40600000000001</v>
      </c>
      <c r="F24" s="164">
        <v>46.951000000000001</v>
      </c>
      <c r="G24" s="164">
        <v>5.81</v>
      </c>
      <c r="H24" s="164">
        <v>43.67</v>
      </c>
      <c r="I24" s="166">
        <v>4366</v>
      </c>
      <c r="J24" s="164">
        <v>143.04</v>
      </c>
      <c r="K24" s="164">
        <v>142</v>
      </c>
      <c r="L24" s="164">
        <v>428.74799999999999</v>
      </c>
      <c r="M24" s="164">
        <v>2072.6990000000001</v>
      </c>
      <c r="N24" s="164">
        <v>1230.155</v>
      </c>
      <c r="O24" s="164">
        <v>353.75400000000002</v>
      </c>
      <c r="P24" s="164">
        <v>65.783000000000001</v>
      </c>
      <c r="Q24" s="164">
        <v>336.916</v>
      </c>
      <c r="R24" s="164">
        <v>87.793000000000006</v>
      </c>
      <c r="S24" s="164">
        <v>53.97</v>
      </c>
      <c r="T24" s="164">
        <v>309.077</v>
      </c>
      <c r="U24" s="163">
        <f t="shared" si="0"/>
        <v>178.95607887409699</v>
      </c>
      <c r="V24" s="167">
        <f t="shared" si="6"/>
        <v>1.1911146423014531</v>
      </c>
      <c r="W24" s="164"/>
      <c r="X24" s="164"/>
      <c r="Y24" s="164"/>
      <c r="Z24" s="164"/>
      <c r="AA24" s="164"/>
      <c r="AB24" s="163">
        <f t="shared" si="3"/>
        <v>474.88661430211403</v>
      </c>
      <c r="AC24" s="163">
        <f t="shared" si="4"/>
        <v>332.88661430211403</v>
      </c>
      <c r="AI24" s="165">
        <f t="shared" si="1"/>
        <v>0.80914380029001531</v>
      </c>
      <c r="AJ24" s="165">
        <f t="shared" si="5"/>
        <v>0.92938439377362225</v>
      </c>
    </row>
    <row r="25" spans="1:36" s="156" customFormat="1" ht="12">
      <c r="A25" s="160">
        <v>42614</v>
      </c>
      <c r="B25" s="161">
        <f t="shared" si="2"/>
        <v>485.18299999999999</v>
      </c>
      <c r="C25" s="164">
        <v>2.7930000000000001</v>
      </c>
      <c r="D25" s="164">
        <v>435.22</v>
      </c>
      <c r="E25" s="164">
        <v>388.47199999999998</v>
      </c>
      <c r="F25" s="164">
        <v>46.747999999999998</v>
      </c>
      <c r="G25" s="164">
        <v>6.1349999999999998</v>
      </c>
      <c r="H25" s="164">
        <v>41.034999999999997</v>
      </c>
      <c r="I25" s="166">
        <v>2530</v>
      </c>
      <c r="J25" s="164">
        <v>146.76400000000001</v>
      </c>
      <c r="K25" s="164">
        <v>134.26900000000001</v>
      </c>
      <c r="L25" s="164">
        <v>398.12400000000002</v>
      </c>
      <c r="M25" s="164">
        <v>1964.2139999999999</v>
      </c>
      <c r="N25" s="164">
        <v>1194.3440000000001</v>
      </c>
      <c r="O25" s="164">
        <v>375.64100000000002</v>
      </c>
      <c r="P25" s="164">
        <v>54.996000000000002</v>
      </c>
      <c r="Q25" s="164">
        <v>326.21100000000001</v>
      </c>
      <c r="R25" s="164">
        <v>86.724999999999994</v>
      </c>
      <c r="S25" s="164">
        <v>50.524000000000001</v>
      </c>
      <c r="T25" s="164">
        <v>303.50400000000002</v>
      </c>
      <c r="U25" s="163">
        <f t="shared" si="0"/>
        <v>174.59414579865722</v>
      </c>
      <c r="V25" s="167">
        <f t="shared" si="6"/>
        <v>1.1511112630008089</v>
      </c>
      <c r="W25" s="164"/>
      <c r="X25" s="164"/>
      <c r="Y25" s="164"/>
      <c r="Z25" s="164"/>
      <c r="AA25" s="164"/>
      <c r="AB25" s="163">
        <f>(U25+K25)*1.37*1.08</f>
        <v>456.99391052369333</v>
      </c>
      <c r="AC25" s="163">
        <f t="shared" si="4"/>
        <v>322.72491052369332</v>
      </c>
      <c r="AI25" s="165">
        <f t="shared" si="1"/>
        <v>0.83075462458991467</v>
      </c>
      <c r="AJ25" s="165">
        <f t="shared" si="5"/>
        <v>0.94190008826297156</v>
      </c>
    </row>
    <row r="26" spans="1:36" s="156" customFormat="1" ht="12">
      <c r="A26" s="160">
        <v>42644</v>
      </c>
      <c r="B26" s="161">
        <f t="shared" si="2"/>
        <v>507.81799999999998</v>
      </c>
      <c r="C26" s="164">
        <v>3.1840000000000002</v>
      </c>
      <c r="D26" s="164">
        <v>455.81900000000002</v>
      </c>
      <c r="E26" s="164">
        <v>407.49099999999999</v>
      </c>
      <c r="F26" s="164">
        <v>48.328000000000003</v>
      </c>
      <c r="G26" s="164">
        <v>6.2469999999999999</v>
      </c>
      <c r="H26" s="164">
        <v>42.567999999999998</v>
      </c>
      <c r="I26" s="166">
        <v>4519</v>
      </c>
      <c r="J26" s="164">
        <v>145.85300000000001</v>
      </c>
      <c r="K26" s="164">
        <v>141.77500000000001</v>
      </c>
      <c r="L26" s="164">
        <v>448.35500000000002</v>
      </c>
      <c r="M26" s="164">
        <v>1927.2819999999999</v>
      </c>
      <c r="N26" s="164">
        <v>1288.2560000000001</v>
      </c>
      <c r="O26" s="164">
        <v>376.02800000000002</v>
      </c>
      <c r="P26" s="164">
        <v>58.988</v>
      </c>
      <c r="Q26" s="164">
        <v>342.589</v>
      </c>
      <c r="R26" s="164">
        <v>86.227000000000004</v>
      </c>
      <c r="S26" s="164">
        <v>47.86</v>
      </c>
      <c r="T26" s="164">
        <v>300.80799999999999</v>
      </c>
      <c r="U26" s="163">
        <f t="shared" si="0"/>
        <v>175.32863120193335</v>
      </c>
      <c r="V26" s="167">
        <f t="shared" si="6"/>
        <v>1.0530716423164936</v>
      </c>
      <c r="W26" s="164"/>
      <c r="X26" s="164"/>
      <c r="Y26" s="164"/>
      <c r="Z26" s="164"/>
      <c r="AA26" s="164"/>
      <c r="AB26" s="163">
        <f t="shared" ref="AB26:AB89" si="7">(U26+K26)*1.37</f>
        <v>434.43197474664873</v>
      </c>
      <c r="AC26" s="163">
        <f t="shared" si="4"/>
        <v>292.65697474664876</v>
      </c>
      <c r="AI26" s="165">
        <f t="shared" si="1"/>
        <v>0.71819248706511007</v>
      </c>
      <c r="AJ26" s="165">
        <f t="shared" si="5"/>
        <v>0.85548754622059231</v>
      </c>
    </row>
    <row r="27" spans="1:36" s="156" customFormat="1" ht="12">
      <c r="A27" s="160">
        <v>42675</v>
      </c>
      <c r="B27" s="161">
        <f t="shared" si="2"/>
        <v>506.88899999999995</v>
      </c>
      <c r="C27" s="164">
        <v>3.3610000000000002</v>
      </c>
      <c r="D27" s="164">
        <v>452.03899999999999</v>
      </c>
      <c r="E27" s="164">
        <v>407.858</v>
      </c>
      <c r="F27" s="164">
        <v>44.180999999999997</v>
      </c>
      <c r="G27" s="164">
        <v>6.4889999999999999</v>
      </c>
      <c r="H27" s="163">
        <v>45</v>
      </c>
      <c r="I27" s="166">
        <v>4914</v>
      </c>
      <c r="J27" s="164">
        <v>126.968</v>
      </c>
      <c r="K27" s="164">
        <v>147.33600000000001</v>
      </c>
      <c r="L27" s="164">
        <v>423.892</v>
      </c>
      <c r="M27" s="164">
        <v>1995.252</v>
      </c>
      <c r="N27" s="164">
        <v>1281.029</v>
      </c>
      <c r="O27" s="164">
        <v>389.03800000000001</v>
      </c>
      <c r="P27" s="164">
        <v>63.634999999999998</v>
      </c>
      <c r="Q27" s="164">
        <v>309.30500000000001</v>
      </c>
      <c r="R27" s="164">
        <v>84.091999999999999</v>
      </c>
      <c r="S27" s="164">
        <v>49.393000000000001</v>
      </c>
      <c r="T27" s="164">
        <v>326.55</v>
      </c>
      <c r="U27" s="163">
        <f t="shared" si="0"/>
        <v>156.77412239980157</v>
      </c>
      <c r="V27" s="167">
        <f t="shared" si="6"/>
        <v>1.1077023132730066</v>
      </c>
      <c r="W27" s="164"/>
      <c r="X27" s="164"/>
      <c r="Y27" s="164"/>
      <c r="Z27" s="164"/>
      <c r="AA27" s="164"/>
      <c r="AB27" s="163">
        <f t="shared" si="7"/>
        <v>416.6308676877282</v>
      </c>
      <c r="AC27" s="163">
        <f t="shared" si="4"/>
        <v>269.29486768772819</v>
      </c>
      <c r="AI27" s="165">
        <f t="shared" si="1"/>
        <v>0.66026623895504855</v>
      </c>
      <c r="AJ27" s="165">
        <f t="shared" si="5"/>
        <v>0.82193708620176853</v>
      </c>
    </row>
    <row r="28" spans="1:36" s="156" customFormat="1" ht="12">
      <c r="A28" s="160">
        <v>42705</v>
      </c>
      <c r="B28" s="161">
        <f t="shared" si="2"/>
        <v>525.97199999999998</v>
      </c>
      <c r="C28" s="164">
        <v>2.5950000000000002</v>
      </c>
      <c r="D28" s="164">
        <v>473.99700000000001</v>
      </c>
      <c r="E28" s="164">
        <v>424.89299999999997</v>
      </c>
      <c r="F28" s="164">
        <v>49.103999999999999</v>
      </c>
      <c r="G28" s="164">
        <v>6.1079999999999997</v>
      </c>
      <c r="H28" s="164">
        <v>43.271999999999998</v>
      </c>
      <c r="I28" s="166">
        <v>5422</v>
      </c>
      <c r="J28" s="164">
        <v>138.74700000000001</v>
      </c>
      <c r="K28" s="164">
        <v>143.94200000000001</v>
      </c>
      <c r="L28" s="164">
        <v>442.82400000000001</v>
      </c>
      <c r="M28" s="164">
        <v>2095.5500000000002</v>
      </c>
      <c r="N28" s="164">
        <v>1428.635</v>
      </c>
      <c r="O28" s="164">
        <v>434.49799999999999</v>
      </c>
      <c r="P28" s="164">
        <v>63.6</v>
      </c>
      <c r="Q28" s="164">
        <v>349.226</v>
      </c>
      <c r="R28" s="164">
        <v>89.091999999999999</v>
      </c>
      <c r="S28" s="164">
        <v>58.247999999999998</v>
      </c>
      <c r="T28" s="164">
        <v>317.75900000000001</v>
      </c>
      <c r="U28" s="163">
        <f>K28*(U39/K39)</f>
        <v>163.66369453084425</v>
      </c>
      <c r="V28" s="167">
        <f t="shared" si="6"/>
        <v>1.2611067809820731</v>
      </c>
      <c r="W28" s="164"/>
      <c r="X28" s="164"/>
      <c r="Y28" s="164"/>
      <c r="Z28" s="164"/>
      <c r="AA28" s="164"/>
      <c r="AB28" s="163">
        <f t="shared" si="7"/>
        <v>421.41980150725669</v>
      </c>
      <c r="AC28" s="163">
        <f t="shared" si="4"/>
        <v>277.47780150725669</v>
      </c>
      <c r="AI28" s="165">
        <f t="shared" si="1"/>
        <v>0.65305336051019125</v>
      </c>
      <c r="AJ28" s="165">
        <f t="shared" si="5"/>
        <v>0.80122098040819034</v>
      </c>
    </row>
    <row r="29" spans="1:36" s="156" customFormat="1" ht="12">
      <c r="A29" s="160">
        <v>42736</v>
      </c>
      <c r="B29" s="161">
        <f t="shared" si="2"/>
        <v>527.11599999999999</v>
      </c>
      <c r="C29" s="164">
        <v>2.4239999999999999</v>
      </c>
      <c r="D29" s="164">
        <v>473.64100000000002</v>
      </c>
      <c r="E29" s="164">
        <v>424.26900000000001</v>
      </c>
      <c r="F29" s="164">
        <v>49.372</v>
      </c>
      <c r="G29" s="164">
        <v>7.6150000000000002</v>
      </c>
      <c r="H29" s="164">
        <v>43.436</v>
      </c>
      <c r="I29" s="166">
        <v>6556</v>
      </c>
      <c r="J29" s="164">
        <v>132.952</v>
      </c>
      <c r="K29" s="164">
        <v>146.30500000000001</v>
      </c>
      <c r="L29" s="164">
        <v>430.92899999999997</v>
      </c>
      <c r="M29" s="164">
        <v>2073.7399999999998</v>
      </c>
      <c r="N29" s="164">
        <v>1392.605</v>
      </c>
      <c r="O29" s="164">
        <v>444.89699999999999</v>
      </c>
      <c r="P29" s="164">
        <v>66.031000000000006</v>
      </c>
      <c r="Q29" s="164">
        <v>347.38900000000001</v>
      </c>
      <c r="R29" s="164">
        <v>90.593000000000004</v>
      </c>
      <c r="S29" s="163">
        <f>((H29+F29)*1.2)/2</f>
        <v>55.684799999999996</v>
      </c>
      <c r="T29" s="164">
        <v>315.42</v>
      </c>
      <c r="U29" s="164">
        <v>205.166</v>
      </c>
      <c r="V29" s="164">
        <v>203.05699999999999</v>
      </c>
      <c r="W29" s="164">
        <v>198.34100000000001</v>
      </c>
      <c r="X29" s="168">
        <f>-1*(W29/V29-1)</f>
        <v>2.32250057865524E-2</v>
      </c>
      <c r="Y29" s="168"/>
      <c r="Z29" s="164">
        <v>65.058999999999997</v>
      </c>
      <c r="AA29" s="164">
        <v>81.418000000000006</v>
      </c>
      <c r="AB29" s="163">
        <f t="shared" si="7"/>
        <v>481.51527000000004</v>
      </c>
      <c r="AC29" s="163">
        <f t="shared" si="4"/>
        <v>335.21027000000004</v>
      </c>
      <c r="AI29" s="165">
        <f t="shared" si="1"/>
        <v>0.7900890001390628</v>
      </c>
      <c r="AJ29" s="165">
        <f t="shared" si="5"/>
        <v>0.91349014258721051</v>
      </c>
    </row>
    <row r="30" spans="1:36" s="156" customFormat="1" ht="12">
      <c r="A30" s="160">
        <v>42767</v>
      </c>
      <c r="B30" s="161">
        <f t="shared" si="2"/>
        <v>472.75999999999993</v>
      </c>
      <c r="C30" s="164">
        <v>3.08</v>
      </c>
      <c r="D30" s="164">
        <v>423.49700000000001</v>
      </c>
      <c r="E30" s="164">
        <v>382.38299999999998</v>
      </c>
      <c r="F30" s="164">
        <v>41.113999999999997</v>
      </c>
      <c r="G30" s="164">
        <v>7.0449999999999999</v>
      </c>
      <c r="H30" s="164">
        <v>39.137999999999998</v>
      </c>
      <c r="I30" s="166">
        <v>6450</v>
      </c>
      <c r="J30" s="164">
        <v>115.82299999999999</v>
      </c>
      <c r="K30" s="164">
        <v>135.08000000000001</v>
      </c>
      <c r="L30" s="164">
        <v>373.09899999999999</v>
      </c>
      <c r="M30" s="164">
        <v>1893.9480000000001</v>
      </c>
      <c r="N30" s="164">
        <v>1224.7380000000001</v>
      </c>
      <c r="O30" s="164">
        <v>404.41399999999999</v>
      </c>
      <c r="P30" s="164">
        <v>57.56</v>
      </c>
      <c r="Q30" s="164">
        <v>269.32499999999999</v>
      </c>
      <c r="R30" s="164">
        <v>78.78</v>
      </c>
      <c r="S30" s="163">
        <f t="shared" ref="S30:S93" si="8">((H30+F30)*1.2)/2</f>
        <v>48.151199999999996</v>
      </c>
      <c r="T30" s="164">
        <v>292.52600000000001</v>
      </c>
      <c r="U30" s="164">
        <v>182.934</v>
      </c>
      <c r="V30" s="164">
        <v>179.43600000000001</v>
      </c>
      <c r="W30" s="164">
        <v>175.571</v>
      </c>
      <c r="X30" s="168">
        <f t="shared" ref="X30:X93" si="9">-1*(W30/V30-1)</f>
        <v>2.1539713323970755E-2</v>
      </c>
      <c r="Y30" s="168"/>
      <c r="Z30" s="164">
        <v>32.369</v>
      </c>
      <c r="AA30" s="164">
        <v>87.179000000000002</v>
      </c>
      <c r="AB30" s="163">
        <f t="shared" si="7"/>
        <v>435.67918000000003</v>
      </c>
      <c r="AC30" s="163">
        <f t="shared" si="4"/>
        <v>300.59918000000005</v>
      </c>
      <c r="AE30" s="169">
        <f>(W30-W29)</f>
        <v>-22.77000000000001</v>
      </c>
      <c r="AF30" s="169">
        <f>Z30-Z29</f>
        <v>-32.69</v>
      </c>
      <c r="AG30" s="169">
        <f>AA30-AA29</f>
        <v>5.7609999999999957</v>
      </c>
      <c r="AI30" s="165">
        <f t="shared" si="1"/>
        <v>0.78612066959043703</v>
      </c>
      <c r="AJ30" s="165">
        <f t="shared" si="5"/>
        <v>0.9215652339453424</v>
      </c>
    </row>
    <row r="31" spans="1:36" s="156" customFormat="1" ht="12">
      <c r="A31" s="160">
        <v>42795</v>
      </c>
      <c r="B31" s="161">
        <f t="shared" si="2"/>
        <v>514.53699999999992</v>
      </c>
      <c r="C31" s="164">
        <v>2.6619999999999999</v>
      </c>
      <c r="D31" s="164">
        <v>460.38299999999998</v>
      </c>
      <c r="E31" s="164">
        <v>413.733</v>
      </c>
      <c r="F31" s="164">
        <v>46.65</v>
      </c>
      <c r="G31" s="164">
        <v>6.931</v>
      </c>
      <c r="H31" s="164">
        <v>44.561</v>
      </c>
      <c r="I31" s="166">
        <v>7055</v>
      </c>
      <c r="J31" s="164">
        <v>141.95099999999999</v>
      </c>
      <c r="K31" s="164">
        <v>143.26</v>
      </c>
      <c r="L31" s="164">
        <v>425.21300000000002</v>
      </c>
      <c r="M31" s="164">
        <v>1997.3879999999999</v>
      </c>
      <c r="N31" s="164">
        <v>1391.2249999999999</v>
      </c>
      <c r="O31" s="164">
        <v>457.40699999999998</v>
      </c>
      <c r="P31" s="164">
        <v>59.424999999999997</v>
      </c>
      <c r="Q31" s="164">
        <v>355.19400000000002</v>
      </c>
      <c r="R31" s="164">
        <v>89.491</v>
      </c>
      <c r="S31" s="163">
        <f t="shared" si="8"/>
        <v>54.726599999999998</v>
      </c>
      <c r="T31" s="164">
        <v>307.81400000000002</v>
      </c>
      <c r="U31" s="164">
        <v>208.78899999999999</v>
      </c>
      <c r="V31" s="164">
        <v>196.25</v>
      </c>
      <c r="W31" s="164">
        <v>191.28100000000001</v>
      </c>
      <c r="X31" s="168">
        <f t="shared" si="9"/>
        <v>2.5319745222929901E-2</v>
      </c>
      <c r="Y31" s="168"/>
      <c r="Z31" s="164">
        <v>24.196000000000002</v>
      </c>
      <c r="AA31" s="164">
        <v>76.415000000000006</v>
      </c>
      <c r="AB31" s="163">
        <f t="shared" si="7"/>
        <v>482.30713000000003</v>
      </c>
      <c r="AC31" s="163">
        <f t="shared" si="4"/>
        <v>339.04713000000004</v>
      </c>
      <c r="AE31" s="169">
        <f t="shared" ref="AE31:AE94" si="10">(W31-W30)</f>
        <v>15.710000000000008</v>
      </c>
      <c r="AF31" s="169">
        <f t="shared" ref="AF31:AG58" si="11">Z31-Z30</f>
        <v>-8.1729999999999983</v>
      </c>
      <c r="AG31" s="169">
        <f t="shared" si="11"/>
        <v>-10.763999999999996</v>
      </c>
      <c r="AI31" s="165">
        <f t="shared" si="1"/>
        <v>0.81948292739520423</v>
      </c>
      <c r="AJ31" s="165">
        <f t="shared" si="5"/>
        <v>0.937361414242319</v>
      </c>
    </row>
    <row r="32" spans="1:36" s="156" customFormat="1" ht="12">
      <c r="A32" s="160">
        <v>42826</v>
      </c>
      <c r="B32" s="161">
        <f t="shared" si="2"/>
        <v>495.77400000000006</v>
      </c>
      <c r="C32" s="164">
        <v>2.9870000000000001</v>
      </c>
      <c r="D32" s="164">
        <v>440.78899999999999</v>
      </c>
      <c r="E32" s="164">
        <v>393.64499999999998</v>
      </c>
      <c r="F32" s="164">
        <v>47.143999999999998</v>
      </c>
      <c r="G32" s="164">
        <v>7.218</v>
      </c>
      <c r="H32" s="164">
        <v>44.78</v>
      </c>
      <c r="I32" s="166">
        <v>5497</v>
      </c>
      <c r="J32" s="164">
        <v>118.242</v>
      </c>
      <c r="K32" s="164">
        <v>132.804</v>
      </c>
      <c r="L32" s="164">
        <v>437.91399999999999</v>
      </c>
      <c r="M32" s="164">
        <v>1752.27</v>
      </c>
      <c r="N32" s="164">
        <v>1301.4159999999999</v>
      </c>
      <c r="O32" s="164">
        <v>431.983</v>
      </c>
      <c r="P32" s="164">
        <v>60.518999999999998</v>
      </c>
      <c r="Q32" s="164">
        <v>346.37700000000001</v>
      </c>
      <c r="R32" s="164">
        <v>90.132999999999996</v>
      </c>
      <c r="S32" s="163">
        <f t="shared" si="8"/>
        <v>55.154400000000003</v>
      </c>
      <c r="T32" s="164">
        <v>283.83499999999998</v>
      </c>
      <c r="U32" s="164">
        <v>192.904</v>
      </c>
      <c r="V32" s="164">
        <v>199.911</v>
      </c>
      <c r="W32" s="164">
        <v>194.09800000000001</v>
      </c>
      <c r="X32" s="168">
        <f t="shared" si="9"/>
        <v>2.9077939683158971E-2</v>
      </c>
      <c r="Y32" s="168"/>
      <c r="Z32" s="164">
        <v>17.791</v>
      </c>
      <c r="AA32" s="164">
        <v>75.938999999999993</v>
      </c>
      <c r="AB32" s="163">
        <f t="shared" si="7"/>
        <v>446.21996000000001</v>
      </c>
      <c r="AC32" s="163">
        <f t="shared" si="4"/>
        <v>313.41596000000004</v>
      </c>
      <c r="AE32" s="169">
        <f t="shared" si="10"/>
        <v>2.8170000000000073</v>
      </c>
      <c r="AF32" s="169">
        <f t="shared" si="11"/>
        <v>-6.4050000000000011</v>
      </c>
      <c r="AG32" s="169">
        <f t="shared" si="11"/>
        <v>-0.4760000000000133</v>
      </c>
      <c r="AI32" s="165">
        <f t="shared" si="1"/>
        <v>0.79618935843208993</v>
      </c>
      <c r="AJ32" s="165">
        <f t="shared" si="5"/>
        <v>0.90004711824339312</v>
      </c>
    </row>
    <row r="33" spans="1:36" s="156" customFormat="1" ht="12">
      <c r="A33" s="160">
        <v>42856</v>
      </c>
      <c r="B33" s="161">
        <f t="shared" si="2"/>
        <v>508.45499999999998</v>
      </c>
      <c r="C33" s="164">
        <v>3.077</v>
      </c>
      <c r="D33" s="164">
        <v>452.45299999999997</v>
      </c>
      <c r="E33" s="164">
        <v>405.50299999999999</v>
      </c>
      <c r="F33" s="164">
        <v>46.95</v>
      </c>
      <c r="G33" s="164">
        <v>6.4630000000000001</v>
      </c>
      <c r="H33" s="164">
        <v>46.462000000000003</v>
      </c>
      <c r="I33" s="166">
        <v>6909</v>
      </c>
      <c r="J33" s="164">
        <v>146.22499999999999</v>
      </c>
      <c r="K33" s="164">
        <v>148.54400000000001</v>
      </c>
      <c r="L33" s="164">
        <v>435.64</v>
      </c>
      <c r="M33" s="164">
        <v>1906.472</v>
      </c>
      <c r="N33" s="164">
        <v>1361.6859999999999</v>
      </c>
      <c r="O33" s="164">
        <v>460.43200000000002</v>
      </c>
      <c r="P33" s="164">
        <v>63.302</v>
      </c>
      <c r="Q33" s="164">
        <v>341.16699999999997</v>
      </c>
      <c r="R33" s="164">
        <v>91.894999999999996</v>
      </c>
      <c r="S33" s="163">
        <f t="shared" si="8"/>
        <v>56.047200000000004</v>
      </c>
      <c r="T33" s="164">
        <v>313.87599999999998</v>
      </c>
      <c r="U33" s="164">
        <v>215.334</v>
      </c>
      <c r="V33" s="164">
        <v>202.535</v>
      </c>
      <c r="W33" s="164">
        <v>197.58799999999999</v>
      </c>
      <c r="X33" s="168">
        <f t="shared" si="9"/>
        <v>2.44254079541808E-2</v>
      </c>
      <c r="Y33" s="168"/>
      <c r="Z33" s="164">
        <v>19.436</v>
      </c>
      <c r="AA33" s="164">
        <v>68.802000000000007</v>
      </c>
      <c r="AB33" s="163">
        <f t="shared" si="7"/>
        <v>498.5128600000001</v>
      </c>
      <c r="AC33" s="163">
        <f t="shared" si="4"/>
        <v>349.96886000000006</v>
      </c>
      <c r="AE33" s="169">
        <f t="shared" si="10"/>
        <v>3.4899999999999807</v>
      </c>
      <c r="AF33" s="169">
        <f t="shared" si="11"/>
        <v>1.6449999999999996</v>
      </c>
      <c r="AG33" s="169">
        <f t="shared" si="11"/>
        <v>-7.1369999999999862</v>
      </c>
      <c r="AI33" s="165">
        <f t="shared" si="1"/>
        <v>0.86304875672929693</v>
      </c>
      <c r="AJ33" s="165">
        <f t="shared" si="5"/>
        <v>0.98044637185198324</v>
      </c>
    </row>
    <row r="34" spans="1:36" s="156" customFormat="1" ht="12">
      <c r="A34" s="160">
        <v>42887</v>
      </c>
      <c r="B34" s="161">
        <f t="shared" si="2"/>
        <v>487.56</v>
      </c>
      <c r="C34" s="164">
        <v>2.7690000000000001</v>
      </c>
      <c r="D34" s="164">
        <v>434.34199999999998</v>
      </c>
      <c r="E34" s="164">
        <v>388.298</v>
      </c>
      <c r="F34" s="164">
        <v>46.043999999999997</v>
      </c>
      <c r="G34" s="164">
        <v>6.4489999999999998</v>
      </c>
      <c r="H34" s="164">
        <v>44</v>
      </c>
      <c r="I34" s="166">
        <v>4861</v>
      </c>
      <c r="J34" s="164">
        <v>125.67700000000001</v>
      </c>
      <c r="K34" s="164">
        <v>146.53100000000001</v>
      </c>
      <c r="L34" s="164">
        <v>471.49200000000002</v>
      </c>
      <c r="M34" s="164">
        <v>1802.194</v>
      </c>
      <c r="N34" s="164">
        <v>1267.6379999999999</v>
      </c>
      <c r="O34" s="164">
        <v>431.03500000000003</v>
      </c>
      <c r="P34" s="164">
        <v>59.384</v>
      </c>
      <c r="Q34" s="164">
        <v>341.21499999999997</v>
      </c>
      <c r="R34" s="164">
        <v>86.805999999999997</v>
      </c>
      <c r="S34" s="163">
        <f t="shared" si="8"/>
        <v>54.026399999999995</v>
      </c>
      <c r="T34" s="164">
        <v>297.77999999999997</v>
      </c>
      <c r="U34" s="164">
        <v>178.28399999999999</v>
      </c>
      <c r="V34" s="164">
        <v>179.79599999999999</v>
      </c>
      <c r="W34" s="164">
        <v>175.65600000000001</v>
      </c>
      <c r="X34" s="168">
        <f t="shared" si="9"/>
        <v>2.3026096242408034E-2</v>
      </c>
      <c r="Y34" s="168"/>
      <c r="Z34" s="164">
        <v>25.995999999999999</v>
      </c>
      <c r="AA34" s="164">
        <v>65.424999999999997</v>
      </c>
      <c r="AB34" s="163">
        <f t="shared" si="7"/>
        <v>444.99655000000001</v>
      </c>
      <c r="AC34" s="163">
        <f t="shared" si="4"/>
        <v>298.46555000000001</v>
      </c>
      <c r="AE34" s="169">
        <f t="shared" si="10"/>
        <v>-21.931999999999988</v>
      </c>
      <c r="AF34" s="169">
        <f t="shared" si="11"/>
        <v>6.5599999999999987</v>
      </c>
      <c r="AG34" s="169">
        <f t="shared" si="11"/>
        <v>-3.3770000000000095</v>
      </c>
      <c r="AI34" s="165">
        <f t="shared" si="1"/>
        <v>0.76865075277235528</v>
      </c>
      <c r="AJ34" s="165">
        <f t="shared" si="5"/>
        <v>0.91270110345393385</v>
      </c>
    </row>
    <row r="35" spans="1:36" s="156" customFormat="1" ht="12">
      <c r="A35" s="160">
        <v>42917</v>
      </c>
      <c r="B35" s="161">
        <f t="shared" si="2"/>
        <v>509.11</v>
      </c>
      <c r="C35" s="164">
        <v>3.073</v>
      </c>
      <c r="D35" s="164">
        <v>454.786</v>
      </c>
      <c r="E35" s="164">
        <v>412.30500000000001</v>
      </c>
      <c r="F35" s="164">
        <v>42.481000000000002</v>
      </c>
      <c r="G35" s="164">
        <v>5.7160000000000002</v>
      </c>
      <c r="H35" s="164">
        <v>45.534999999999997</v>
      </c>
      <c r="I35" s="166">
        <v>5332</v>
      </c>
      <c r="J35" s="164">
        <v>142.86500000000001</v>
      </c>
      <c r="K35" s="164">
        <v>157.66900000000001</v>
      </c>
      <c r="L35" s="164">
        <v>471.12400000000002</v>
      </c>
      <c r="M35" s="164">
        <v>1921.7439999999999</v>
      </c>
      <c r="N35" s="164">
        <v>1342.934</v>
      </c>
      <c r="O35" s="164">
        <v>423.72800000000001</v>
      </c>
      <c r="P35" s="164">
        <v>57.951999999999998</v>
      </c>
      <c r="Q35" s="164">
        <v>328.03100000000001</v>
      </c>
      <c r="R35" s="164">
        <v>85.087000000000003</v>
      </c>
      <c r="S35" s="163">
        <f t="shared" si="8"/>
        <v>52.809599999999996</v>
      </c>
      <c r="T35" s="164">
        <v>272.16500000000002</v>
      </c>
      <c r="U35" s="164">
        <v>198.703</v>
      </c>
      <c r="V35" s="164">
        <v>186.09</v>
      </c>
      <c r="W35" s="164">
        <v>181.52699999999999</v>
      </c>
      <c r="X35" s="168">
        <f t="shared" si="9"/>
        <v>2.4520393358052672E-2</v>
      </c>
      <c r="Y35" s="168"/>
      <c r="Z35" s="164">
        <v>36.557000000000002</v>
      </c>
      <c r="AA35" s="164">
        <v>77.582999999999998</v>
      </c>
      <c r="AB35" s="163">
        <f t="shared" si="7"/>
        <v>488.22964000000007</v>
      </c>
      <c r="AC35" s="163">
        <f t="shared" si="4"/>
        <v>330.56064000000003</v>
      </c>
      <c r="AE35" s="169">
        <f t="shared" si="10"/>
        <v>5.8709999999999809</v>
      </c>
      <c r="AF35" s="169">
        <f t="shared" si="11"/>
        <v>10.561000000000003</v>
      </c>
      <c r="AG35" s="169">
        <f t="shared" si="11"/>
        <v>12.158000000000001</v>
      </c>
      <c r="AI35" s="165">
        <f t="shared" si="1"/>
        <v>0.80173813075271949</v>
      </c>
      <c r="AJ35" s="165">
        <f t="shared" si="5"/>
        <v>0.95898654514741422</v>
      </c>
    </row>
    <row r="36" spans="1:36" s="156" customFormat="1" ht="12">
      <c r="A36" s="160">
        <v>42948</v>
      </c>
      <c r="B36" s="161">
        <f t="shared" si="2"/>
        <v>542.14599999999996</v>
      </c>
      <c r="C36" s="164">
        <v>3.55</v>
      </c>
      <c r="D36" s="164">
        <v>481.541</v>
      </c>
      <c r="E36" s="164">
        <v>431.26799999999997</v>
      </c>
      <c r="F36" s="164">
        <v>50.273000000000003</v>
      </c>
      <c r="G36" s="164">
        <v>5.8940000000000001</v>
      </c>
      <c r="H36" s="164">
        <v>51.161000000000001</v>
      </c>
      <c r="I36" s="166">
        <v>3733</v>
      </c>
      <c r="J36" s="164">
        <v>133.90899999999999</v>
      </c>
      <c r="K36" s="164">
        <v>160.41300000000001</v>
      </c>
      <c r="L36" s="164">
        <v>472.70499999999998</v>
      </c>
      <c r="M36" s="164">
        <v>2060.482</v>
      </c>
      <c r="N36" s="164">
        <v>1354.204</v>
      </c>
      <c r="O36" s="164">
        <v>431.072</v>
      </c>
      <c r="P36" s="164">
        <v>65.045000000000002</v>
      </c>
      <c r="Q36" s="164">
        <v>367.666</v>
      </c>
      <c r="R36" s="164">
        <v>92.822999999999993</v>
      </c>
      <c r="S36" s="163">
        <f t="shared" si="8"/>
        <v>60.860399999999998</v>
      </c>
      <c r="T36" s="164">
        <v>325.58</v>
      </c>
      <c r="U36" s="164">
        <v>208.59</v>
      </c>
      <c r="V36" s="164">
        <v>184.28</v>
      </c>
      <c r="W36" s="164">
        <v>179.84299999999999</v>
      </c>
      <c r="X36" s="168">
        <f t="shared" si="9"/>
        <v>2.4077490774907839E-2</v>
      </c>
      <c r="Y36" s="168"/>
      <c r="Z36" s="164">
        <v>47.439</v>
      </c>
      <c r="AA36" s="164">
        <v>82.941000000000003</v>
      </c>
      <c r="AB36" s="163">
        <f t="shared" si="7"/>
        <v>505.53411000000011</v>
      </c>
      <c r="AC36" s="163">
        <f t="shared" si="4"/>
        <v>345.1211100000001</v>
      </c>
      <c r="AE36" s="169">
        <f t="shared" si="10"/>
        <v>-1.6839999999999975</v>
      </c>
      <c r="AF36" s="169">
        <f t="shared" si="11"/>
        <v>10.881999999999998</v>
      </c>
      <c r="AG36" s="169">
        <f t="shared" si="11"/>
        <v>5.3580000000000041</v>
      </c>
      <c r="AI36" s="165">
        <f t="shared" si="1"/>
        <v>0.80024743315061664</v>
      </c>
      <c r="AJ36" s="165">
        <f t="shared" si="5"/>
        <v>0.93246857857477539</v>
      </c>
    </row>
    <row r="37" spans="1:36" s="156" customFormat="1" ht="12">
      <c r="A37" s="160">
        <v>42979</v>
      </c>
      <c r="B37" s="161">
        <f t="shared" si="2"/>
        <v>498.02700000000004</v>
      </c>
      <c r="C37" s="164">
        <v>3.5430000000000001</v>
      </c>
      <c r="D37" s="164">
        <v>445.53399999999999</v>
      </c>
      <c r="E37" s="164">
        <v>399.97399999999999</v>
      </c>
      <c r="F37" s="164">
        <v>45.56</v>
      </c>
      <c r="G37" s="164">
        <v>5.5570000000000004</v>
      </c>
      <c r="H37" s="164">
        <v>43.393000000000001</v>
      </c>
      <c r="I37" s="166">
        <v>2391</v>
      </c>
      <c r="J37" s="164">
        <v>135.06100000000001</v>
      </c>
      <c r="K37" s="164">
        <v>149.792</v>
      </c>
      <c r="L37" s="164">
        <v>454.22</v>
      </c>
      <c r="M37" s="164">
        <v>1854.144</v>
      </c>
      <c r="N37" s="164">
        <v>1283.173</v>
      </c>
      <c r="O37" s="164">
        <v>419.9</v>
      </c>
      <c r="P37" s="164">
        <v>85.798000000000002</v>
      </c>
      <c r="Q37" s="164">
        <v>321.50599999999997</v>
      </c>
      <c r="R37" s="164">
        <v>87.322000000000003</v>
      </c>
      <c r="S37" s="163">
        <f t="shared" si="8"/>
        <v>53.3718</v>
      </c>
      <c r="T37" s="164">
        <v>279.654</v>
      </c>
      <c r="U37" s="164">
        <v>185.24299999999999</v>
      </c>
      <c r="V37" s="164">
        <v>174.108</v>
      </c>
      <c r="W37" s="164">
        <v>170.13300000000001</v>
      </c>
      <c r="X37" s="168">
        <f t="shared" si="9"/>
        <v>2.2830656833689456E-2</v>
      </c>
      <c r="Y37" s="168"/>
      <c r="Z37" s="164">
        <v>51.957000000000001</v>
      </c>
      <c r="AA37" s="164">
        <v>75.192999999999998</v>
      </c>
      <c r="AB37" s="163">
        <f t="shared" si="7"/>
        <v>458.99795</v>
      </c>
      <c r="AC37" s="163">
        <f t="shared" si="4"/>
        <v>309.20595000000003</v>
      </c>
      <c r="AE37" s="169">
        <f t="shared" si="10"/>
        <v>-9.7099999999999795</v>
      </c>
      <c r="AF37" s="169">
        <f t="shared" si="11"/>
        <v>4.5180000000000007</v>
      </c>
      <c r="AG37" s="169">
        <f t="shared" si="11"/>
        <v>-7.7480000000000047</v>
      </c>
      <c r="AI37" s="165">
        <f t="shared" si="1"/>
        <v>0.77306512423307527</v>
      </c>
      <c r="AJ37" s="165">
        <f t="shared" si="5"/>
        <v>0.92163266248617037</v>
      </c>
    </row>
    <row r="38" spans="1:36" s="156" customFormat="1" ht="12">
      <c r="A38" s="160">
        <v>43009</v>
      </c>
      <c r="B38" s="161">
        <f t="shared" si="2"/>
        <v>522.63900000000001</v>
      </c>
      <c r="C38" s="164">
        <v>2.9740000000000002</v>
      </c>
      <c r="D38" s="164">
        <v>470.09100000000001</v>
      </c>
      <c r="E38" s="164">
        <v>419.00900000000001</v>
      </c>
      <c r="F38" s="164">
        <v>51.082000000000001</v>
      </c>
      <c r="G38" s="164">
        <v>5.3680000000000003</v>
      </c>
      <c r="H38" s="164">
        <v>44.206000000000003</v>
      </c>
      <c r="I38" s="166">
        <v>2419</v>
      </c>
      <c r="J38" s="164">
        <v>136.19999999999999</v>
      </c>
      <c r="K38" s="164">
        <v>169.31399999999999</v>
      </c>
      <c r="L38" s="164">
        <v>449.19900000000001</v>
      </c>
      <c r="M38" s="164">
        <v>1961.7629999999999</v>
      </c>
      <c r="N38" s="164">
        <v>1335.1659999999999</v>
      </c>
      <c r="O38" s="164">
        <v>443.221</v>
      </c>
      <c r="P38" s="164">
        <v>90.646000000000001</v>
      </c>
      <c r="Q38" s="164">
        <v>353.39400000000001</v>
      </c>
      <c r="R38" s="164">
        <v>93.462999999999994</v>
      </c>
      <c r="S38" s="163">
        <f t="shared" si="8"/>
        <v>57.172800000000002</v>
      </c>
      <c r="T38" s="164">
        <v>302.61799999999999</v>
      </c>
      <c r="U38" s="164">
        <v>180.16</v>
      </c>
      <c r="V38" s="164">
        <v>186.23</v>
      </c>
      <c r="W38" s="164">
        <v>181.67699999999999</v>
      </c>
      <c r="X38" s="168">
        <f t="shared" si="9"/>
        <v>2.4448262900714113E-2</v>
      </c>
      <c r="Y38" s="168"/>
      <c r="Z38" s="164">
        <v>53.944000000000003</v>
      </c>
      <c r="AA38" s="164">
        <v>81.558999999999997</v>
      </c>
      <c r="AB38" s="163">
        <f t="shared" si="7"/>
        <v>478.77938</v>
      </c>
      <c r="AC38" s="163">
        <f t="shared" si="4"/>
        <v>309.46537999999998</v>
      </c>
      <c r="AE38" s="169">
        <f t="shared" si="10"/>
        <v>11.543999999999983</v>
      </c>
      <c r="AF38" s="169">
        <f t="shared" si="11"/>
        <v>1.9870000000000019</v>
      </c>
      <c r="AG38" s="169">
        <f t="shared" si="11"/>
        <v>6.3659999999999997</v>
      </c>
      <c r="AI38" s="165">
        <f t="shared" si="1"/>
        <v>0.73856499502397321</v>
      </c>
      <c r="AJ38" s="165">
        <f t="shared" si="5"/>
        <v>0.91608046854520997</v>
      </c>
    </row>
    <row r="39" spans="1:36" s="156" customFormat="1" ht="12">
      <c r="A39" s="160">
        <v>43040</v>
      </c>
      <c r="B39" s="161">
        <f t="shared" si="2"/>
        <v>525.25199999999995</v>
      </c>
      <c r="C39" s="164">
        <v>3.4470000000000001</v>
      </c>
      <c r="D39" s="164">
        <v>475.66500000000002</v>
      </c>
      <c r="E39" s="164">
        <v>429.12299999999999</v>
      </c>
      <c r="F39" s="164">
        <v>46.542000000000002</v>
      </c>
      <c r="G39" s="164">
        <v>5.6520000000000001</v>
      </c>
      <c r="H39" s="164">
        <v>40.488</v>
      </c>
      <c r="I39" s="166">
        <v>2867</v>
      </c>
      <c r="J39" s="164">
        <v>133.982</v>
      </c>
      <c r="K39" s="164">
        <v>175.21899999999999</v>
      </c>
      <c r="L39" s="164">
        <v>430.22399999999999</v>
      </c>
      <c r="M39" s="164">
        <v>1996.8689999999999</v>
      </c>
      <c r="N39" s="164">
        <v>1375.547</v>
      </c>
      <c r="O39" s="164">
        <v>476.56599999999997</v>
      </c>
      <c r="P39" s="164">
        <v>95.998999999999995</v>
      </c>
      <c r="Q39" s="164">
        <v>311.95699999999999</v>
      </c>
      <c r="R39" s="164">
        <v>90.366</v>
      </c>
      <c r="S39" s="163">
        <f t="shared" si="8"/>
        <v>52.217999999999996</v>
      </c>
      <c r="T39" s="164">
        <v>303.209</v>
      </c>
      <c r="U39" s="164">
        <v>199.226</v>
      </c>
      <c r="V39" s="164">
        <v>174.36099999999999</v>
      </c>
      <c r="W39" s="164">
        <v>169.29499999999999</v>
      </c>
      <c r="X39" s="168">
        <f t="shared" si="9"/>
        <v>2.905466245318622E-2</v>
      </c>
      <c r="Y39" s="168"/>
      <c r="Z39" s="164">
        <v>77.259</v>
      </c>
      <c r="AA39" s="164">
        <v>65.528000000000006</v>
      </c>
      <c r="AB39" s="163">
        <f t="shared" si="7"/>
        <v>512.98964999999998</v>
      </c>
      <c r="AC39" s="163">
        <f t="shared" si="4"/>
        <v>337.77064999999999</v>
      </c>
      <c r="AE39" s="169">
        <f t="shared" si="10"/>
        <v>-12.382000000000005</v>
      </c>
      <c r="AF39" s="169">
        <f t="shared" si="11"/>
        <v>23.314999999999998</v>
      </c>
      <c r="AG39" s="169">
        <f t="shared" si="11"/>
        <v>-16.030999999999992</v>
      </c>
      <c r="AI39" s="165">
        <f t="shared" si="1"/>
        <v>0.78711849516339139</v>
      </c>
      <c r="AJ39" s="165">
        <f t="shared" si="5"/>
        <v>0.97665434876973345</v>
      </c>
    </row>
    <row r="40" spans="1:36" s="156" customFormat="1" ht="12">
      <c r="A40" s="160">
        <v>43070</v>
      </c>
      <c r="B40" s="161">
        <f t="shared" si="2"/>
        <v>538.05899999999997</v>
      </c>
      <c r="C40" s="164">
        <v>2.2490000000000001</v>
      </c>
      <c r="D40" s="164">
        <v>487.71300000000002</v>
      </c>
      <c r="E40" s="164">
        <v>439.92899999999997</v>
      </c>
      <c r="F40" s="164">
        <v>47.783999999999999</v>
      </c>
      <c r="G40" s="164">
        <v>6.8440000000000003</v>
      </c>
      <c r="H40" s="164">
        <v>41.253</v>
      </c>
      <c r="I40" s="166">
        <v>2295</v>
      </c>
      <c r="J40" s="164">
        <v>124.098</v>
      </c>
      <c r="K40" s="164">
        <v>174.078</v>
      </c>
      <c r="L40" s="164">
        <v>442.42700000000002</v>
      </c>
      <c r="M40" s="164">
        <v>1967.7449999999999</v>
      </c>
      <c r="N40" s="164">
        <v>1431.3230000000001</v>
      </c>
      <c r="O40" s="164">
        <v>511.76299999999998</v>
      </c>
      <c r="P40" s="164">
        <v>71.731999999999999</v>
      </c>
      <c r="Q40" s="164">
        <v>318.69400000000002</v>
      </c>
      <c r="R40" s="164">
        <v>91.091999999999999</v>
      </c>
      <c r="S40" s="163">
        <f t="shared" si="8"/>
        <v>53.422200000000004</v>
      </c>
      <c r="T40" s="164">
        <v>309.76499999999999</v>
      </c>
      <c r="U40" s="164">
        <v>195.75399999999999</v>
      </c>
      <c r="V40" s="164">
        <v>189.68700000000001</v>
      </c>
      <c r="W40" s="164">
        <v>185.67400000000001</v>
      </c>
      <c r="X40" s="168">
        <f t="shared" si="9"/>
        <v>2.1155904200076958E-2</v>
      </c>
      <c r="Y40" s="168"/>
      <c r="Z40" s="164">
        <v>84.478999999999999</v>
      </c>
      <c r="AA40" s="164">
        <v>81.078000000000003</v>
      </c>
      <c r="AB40" s="163">
        <f t="shared" si="7"/>
        <v>506.66984000000002</v>
      </c>
      <c r="AC40" s="163">
        <f t="shared" si="4"/>
        <v>332.59184000000005</v>
      </c>
      <c r="AE40" s="169">
        <f t="shared" si="10"/>
        <v>16.379000000000019</v>
      </c>
      <c r="AF40" s="169">
        <f t="shared" si="11"/>
        <v>7.2199999999999989</v>
      </c>
      <c r="AG40" s="169">
        <f t="shared" si="11"/>
        <v>15.549999999999997</v>
      </c>
      <c r="AI40" s="165">
        <f t="shared" si="1"/>
        <v>0.75601253838687621</v>
      </c>
      <c r="AJ40" s="165">
        <f t="shared" si="5"/>
        <v>0.94166223406726779</v>
      </c>
    </row>
    <row r="41" spans="1:36" s="156" customFormat="1" ht="12">
      <c r="A41" s="160">
        <v>43101</v>
      </c>
      <c r="B41" s="161">
        <f t="shared" si="2"/>
        <v>526.08500000000004</v>
      </c>
      <c r="C41" s="164">
        <v>2.9329999999999998</v>
      </c>
      <c r="D41" s="164">
        <v>476.12900000000002</v>
      </c>
      <c r="E41" s="164">
        <v>431.47399999999999</v>
      </c>
      <c r="F41" s="164">
        <v>44.655000000000001</v>
      </c>
      <c r="G41" s="164">
        <v>6.1139999999999999</v>
      </c>
      <c r="H41" s="164">
        <v>40.908999999999999</v>
      </c>
      <c r="I41" s="170">
        <f>(SUM(I36:I40)/SUM(D36:D40))*D41</f>
        <v>2764.3407388296932</v>
      </c>
      <c r="J41" s="164">
        <v>147.32900000000001</v>
      </c>
      <c r="K41" s="164">
        <v>164.32499999999999</v>
      </c>
      <c r="L41" s="164">
        <v>406.64800000000002</v>
      </c>
      <c r="M41" s="164">
        <v>1986.2570000000001</v>
      </c>
      <c r="N41" s="164">
        <v>1443.327</v>
      </c>
      <c r="O41" s="164">
        <v>512.52</v>
      </c>
      <c r="P41" s="164">
        <v>62.668999999999997</v>
      </c>
      <c r="Q41" s="164">
        <v>303.96600000000001</v>
      </c>
      <c r="R41" s="164">
        <v>91.519000000000005</v>
      </c>
      <c r="S41" s="163">
        <f t="shared" si="8"/>
        <v>51.338399999999993</v>
      </c>
      <c r="T41" s="164">
        <v>275.28399999999999</v>
      </c>
      <c r="U41" s="164">
        <v>185.946</v>
      </c>
      <c r="V41" s="164">
        <v>179.26499999999999</v>
      </c>
      <c r="W41" s="164">
        <v>175.4</v>
      </c>
      <c r="X41" s="168">
        <f t="shared" si="9"/>
        <v>2.1560259950352711E-2</v>
      </c>
      <c r="Y41" s="164">
        <v>171.22499999999999</v>
      </c>
      <c r="Z41" s="164">
        <v>87.212999999999994</v>
      </c>
      <c r="AA41" s="164">
        <v>80.555999999999997</v>
      </c>
      <c r="AB41" s="163">
        <f t="shared" si="7"/>
        <v>479.87126999999998</v>
      </c>
      <c r="AC41" s="163">
        <f t="shared" si="4"/>
        <v>315.54626999999999</v>
      </c>
      <c r="AE41" s="169">
        <f t="shared" si="10"/>
        <v>-10.274000000000001</v>
      </c>
      <c r="AF41" s="169">
        <f t="shared" si="11"/>
        <v>2.7339999999999947</v>
      </c>
      <c r="AG41" s="169">
        <f t="shared" si="11"/>
        <v>-0.52200000000000557</v>
      </c>
      <c r="AI41" s="165">
        <f t="shared" si="1"/>
        <v>0.73132163235791725</v>
      </c>
      <c r="AJ41" s="165">
        <f t="shared" si="5"/>
        <v>0.91215539313989169</v>
      </c>
    </row>
    <row r="42" spans="1:36" s="156" customFormat="1" ht="12">
      <c r="A42" s="160">
        <v>43132</v>
      </c>
      <c r="B42" s="161">
        <f t="shared" si="2"/>
        <v>481.78099999999995</v>
      </c>
      <c r="C42" s="164">
        <v>2.3639999999999999</v>
      </c>
      <c r="D42" s="164">
        <v>433.62200000000001</v>
      </c>
      <c r="E42" s="164">
        <v>393.31799999999998</v>
      </c>
      <c r="F42" s="164">
        <v>40.304000000000002</v>
      </c>
      <c r="G42" s="164">
        <v>5.8289999999999997</v>
      </c>
      <c r="H42" s="164">
        <v>39.966000000000001</v>
      </c>
      <c r="I42" s="166">
        <v>1815</v>
      </c>
      <c r="J42" s="164">
        <v>152.279</v>
      </c>
      <c r="K42" s="164">
        <v>164.53100000000001</v>
      </c>
      <c r="L42" s="164">
        <v>371.02600000000001</v>
      </c>
      <c r="M42" s="164">
        <v>1829.2719999999999</v>
      </c>
      <c r="N42" s="164">
        <v>1264.798</v>
      </c>
      <c r="O42" s="164">
        <v>452.351</v>
      </c>
      <c r="P42" s="164">
        <v>58.350999999999999</v>
      </c>
      <c r="Q42" s="164">
        <v>285.46600000000001</v>
      </c>
      <c r="R42" s="164">
        <v>90.924000000000007</v>
      </c>
      <c r="S42" s="163">
        <f t="shared" si="8"/>
        <v>48.162000000000006</v>
      </c>
      <c r="T42" s="164">
        <v>254.749</v>
      </c>
      <c r="U42" s="164">
        <v>176.178</v>
      </c>
      <c r="V42" s="164">
        <v>178.53800000000001</v>
      </c>
      <c r="W42" s="164">
        <v>174.97900000000001</v>
      </c>
      <c r="X42" s="168">
        <f t="shared" si="9"/>
        <v>1.9934131669448463E-2</v>
      </c>
      <c r="Y42" s="164">
        <v>175.10900000000001</v>
      </c>
      <c r="Z42" s="164">
        <v>80.105000000000004</v>
      </c>
      <c r="AA42" s="164">
        <v>79.718999999999994</v>
      </c>
      <c r="AB42" s="163">
        <f t="shared" si="7"/>
        <v>466.77133000000003</v>
      </c>
      <c r="AC42" s="163">
        <f t="shared" si="4"/>
        <v>302.24033000000003</v>
      </c>
      <c r="AE42" s="169">
        <f t="shared" si="10"/>
        <v>-0.42099999999999227</v>
      </c>
      <c r="AF42" s="169">
        <f t="shared" si="11"/>
        <v>-7.1079999999999899</v>
      </c>
      <c r="AG42" s="169">
        <f t="shared" si="11"/>
        <v>-0.8370000000000033</v>
      </c>
      <c r="AI42" s="165">
        <f t="shared" si="1"/>
        <v>0.76843757468511498</v>
      </c>
      <c r="AJ42" s="165">
        <f t="shared" si="5"/>
        <v>0.96884545052627669</v>
      </c>
    </row>
    <row r="43" spans="1:36" s="156" customFormat="1" ht="12">
      <c r="A43" s="160">
        <v>43160</v>
      </c>
      <c r="B43" s="161">
        <f t="shared" si="2"/>
        <v>526.11799999999994</v>
      </c>
      <c r="C43" s="164">
        <v>2.7170000000000001</v>
      </c>
      <c r="D43" s="164">
        <v>472.91199999999998</v>
      </c>
      <c r="E43" s="164">
        <v>428.916</v>
      </c>
      <c r="F43" s="164">
        <v>43.996000000000002</v>
      </c>
      <c r="G43" s="164">
        <v>7.093</v>
      </c>
      <c r="H43" s="164">
        <v>43.396000000000001</v>
      </c>
      <c r="I43" s="166">
        <v>2232</v>
      </c>
      <c r="J43" s="164">
        <v>145.80799999999999</v>
      </c>
      <c r="K43" s="164">
        <v>148.49</v>
      </c>
      <c r="L43" s="164">
        <v>417.19</v>
      </c>
      <c r="M43" s="164">
        <v>1942.75</v>
      </c>
      <c r="N43" s="164">
        <v>1413.6410000000001</v>
      </c>
      <c r="O43" s="164">
        <v>509.08800000000002</v>
      </c>
      <c r="P43" s="164">
        <v>58.359000000000002</v>
      </c>
      <c r="Q43" s="164">
        <v>319.75700000000001</v>
      </c>
      <c r="R43" s="164">
        <v>97.156999999999996</v>
      </c>
      <c r="S43" s="163">
        <f t="shared" si="8"/>
        <v>52.435199999999995</v>
      </c>
      <c r="T43" s="164">
        <v>276.35000000000002</v>
      </c>
      <c r="U43" s="164">
        <v>169.26900000000001</v>
      </c>
      <c r="V43" s="164">
        <v>178.24199999999999</v>
      </c>
      <c r="W43" s="164">
        <v>175.29300000000001</v>
      </c>
      <c r="X43" s="168">
        <f t="shared" si="9"/>
        <v>1.6544922072238788E-2</v>
      </c>
      <c r="Y43" s="164">
        <v>189.90700000000001</v>
      </c>
      <c r="Z43" s="164">
        <v>75.325000000000003</v>
      </c>
      <c r="AA43" s="164">
        <v>66.412999999999997</v>
      </c>
      <c r="AB43" s="163">
        <f t="shared" si="7"/>
        <v>435.32983000000007</v>
      </c>
      <c r="AC43" s="163">
        <f t="shared" si="4"/>
        <v>286.83983000000006</v>
      </c>
      <c r="AE43" s="169">
        <f t="shared" si="10"/>
        <v>0.31399999999999295</v>
      </c>
      <c r="AF43" s="169">
        <f t="shared" si="11"/>
        <v>-4.7800000000000011</v>
      </c>
      <c r="AG43" s="169">
        <f t="shared" si="11"/>
        <v>-13.305999999999997</v>
      </c>
      <c r="AI43" s="165">
        <f t="shared" si="1"/>
        <v>0.66875525743968534</v>
      </c>
      <c r="AJ43" s="165">
        <f t="shared" si="5"/>
        <v>0.82743762806062537</v>
      </c>
    </row>
    <row r="44" spans="1:36" s="156" customFormat="1" ht="12">
      <c r="A44" s="160">
        <v>43191</v>
      </c>
      <c r="B44" s="161">
        <f t="shared" si="2"/>
        <v>498.30900000000008</v>
      </c>
      <c r="C44" s="164">
        <v>3.0960000000000001</v>
      </c>
      <c r="D44" s="164">
        <v>445.32299999999998</v>
      </c>
      <c r="E44" s="164">
        <v>405.73200000000003</v>
      </c>
      <c r="F44" s="164">
        <v>39.591000000000001</v>
      </c>
      <c r="G44" s="164">
        <v>6.0060000000000002</v>
      </c>
      <c r="H44" s="164">
        <v>43.884</v>
      </c>
      <c r="I44" s="166">
        <v>2643</v>
      </c>
      <c r="J44" s="164">
        <v>135.88300000000001</v>
      </c>
      <c r="K44" s="164">
        <v>144.81299999999999</v>
      </c>
      <c r="L44" s="164">
        <v>372.74099999999999</v>
      </c>
      <c r="M44" s="164">
        <v>1831.598</v>
      </c>
      <c r="N44" s="164">
        <v>1394.684</v>
      </c>
      <c r="O44" s="164">
        <v>485.84100000000001</v>
      </c>
      <c r="P44" s="164">
        <v>60.088999999999999</v>
      </c>
      <c r="Q44" s="164">
        <v>304.71600000000001</v>
      </c>
      <c r="R44" s="164">
        <v>91.427000000000007</v>
      </c>
      <c r="S44" s="163">
        <f t="shared" si="8"/>
        <v>50.084999999999994</v>
      </c>
      <c r="T44" s="164">
        <v>254.63800000000001</v>
      </c>
      <c r="U44" s="164">
        <v>172.066</v>
      </c>
      <c r="V44" s="164">
        <v>188.00299999999999</v>
      </c>
      <c r="W44" s="164">
        <v>182.55099999999999</v>
      </c>
      <c r="X44" s="168">
        <f t="shared" si="9"/>
        <v>2.8999537241427009E-2</v>
      </c>
      <c r="Y44" s="164">
        <v>184.173</v>
      </c>
      <c r="Z44" s="164">
        <v>68.183999999999997</v>
      </c>
      <c r="AA44" s="164">
        <v>66.707999999999998</v>
      </c>
      <c r="AB44" s="163">
        <f t="shared" si="7"/>
        <v>434.12423000000007</v>
      </c>
      <c r="AC44" s="163">
        <f t="shared" si="4"/>
        <v>289.31123000000008</v>
      </c>
      <c r="AE44" s="169">
        <f t="shared" si="10"/>
        <v>7.2579999999999814</v>
      </c>
      <c r="AF44" s="169">
        <f t="shared" si="11"/>
        <v>-7.1410000000000053</v>
      </c>
      <c r="AG44" s="169">
        <f t="shared" si="11"/>
        <v>0.29500000000000171</v>
      </c>
      <c r="AI44" s="165">
        <f t="shared" si="1"/>
        <v>0.71305992625674108</v>
      </c>
      <c r="AJ44" s="165">
        <f t="shared" si="5"/>
        <v>0.87119484095209998</v>
      </c>
    </row>
    <row r="45" spans="1:36" s="156" customFormat="1" ht="12">
      <c r="A45" s="160">
        <v>43221</v>
      </c>
      <c r="B45" s="161">
        <f t="shared" si="2"/>
        <v>524.36199999999997</v>
      </c>
      <c r="C45" s="164">
        <v>2.9239999999999999</v>
      </c>
      <c r="D45" s="164">
        <v>470.404</v>
      </c>
      <c r="E45" s="164">
        <v>430.32400000000001</v>
      </c>
      <c r="F45" s="164">
        <v>40.08</v>
      </c>
      <c r="G45" s="164">
        <v>6.1980000000000004</v>
      </c>
      <c r="H45" s="164">
        <v>44.835999999999999</v>
      </c>
      <c r="I45" s="166">
        <v>3694</v>
      </c>
      <c r="J45" s="164">
        <v>137.929</v>
      </c>
      <c r="K45" s="164">
        <v>159.71799999999999</v>
      </c>
      <c r="L45" s="164">
        <v>392.07</v>
      </c>
      <c r="M45" s="164">
        <v>1968.7280000000001</v>
      </c>
      <c r="N45" s="164">
        <v>1397.4390000000001</v>
      </c>
      <c r="O45" s="164">
        <v>467.39800000000002</v>
      </c>
      <c r="P45" s="164">
        <v>62.146000000000001</v>
      </c>
      <c r="Q45" s="164">
        <v>291.54199999999997</v>
      </c>
      <c r="R45" s="164">
        <v>92.486999999999995</v>
      </c>
      <c r="S45" s="163">
        <f t="shared" si="8"/>
        <v>50.949599999999997</v>
      </c>
      <c r="T45" s="164">
        <v>280.97899999999998</v>
      </c>
      <c r="U45" s="164">
        <v>172.18600000000001</v>
      </c>
      <c r="V45" s="164">
        <v>200.21100000000001</v>
      </c>
      <c r="W45" s="164">
        <v>195.34200000000001</v>
      </c>
      <c r="X45" s="168">
        <f t="shared" si="9"/>
        <v>2.4319343093036849E-2</v>
      </c>
      <c r="Y45" s="164">
        <v>205.84</v>
      </c>
      <c r="Z45" s="164">
        <v>59.499000000000002</v>
      </c>
      <c r="AA45" s="164">
        <v>52.021000000000001</v>
      </c>
      <c r="AB45" s="163">
        <f t="shared" si="7"/>
        <v>454.70848000000001</v>
      </c>
      <c r="AC45" s="163">
        <f t="shared" si="4"/>
        <v>294.99048000000005</v>
      </c>
      <c r="AE45" s="169">
        <f t="shared" si="10"/>
        <v>12.791000000000025</v>
      </c>
      <c r="AF45" s="169">
        <f t="shared" si="11"/>
        <v>-8.6849999999999952</v>
      </c>
      <c r="AG45" s="169">
        <f t="shared" si="11"/>
        <v>-14.686999999999998</v>
      </c>
      <c r="AI45" s="165">
        <f t="shared" si="1"/>
        <v>0.68550784989914582</v>
      </c>
      <c r="AJ45" s="165">
        <f t="shared" si="5"/>
        <v>0.86716520266533437</v>
      </c>
    </row>
    <row r="46" spans="1:36" s="156" customFormat="1" ht="12">
      <c r="A46" s="160">
        <v>43252</v>
      </c>
      <c r="B46" s="161">
        <f t="shared" si="2"/>
        <v>517.49200000000008</v>
      </c>
      <c r="C46" s="164">
        <v>3.1230000000000002</v>
      </c>
      <c r="D46" s="164">
        <v>462.74</v>
      </c>
      <c r="E46" s="164">
        <v>421.46300000000002</v>
      </c>
      <c r="F46" s="164">
        <v>41.277000000000001</v>
      </c>
      <c r="G46" s="164">
        <v>6.3220000000000001</v>
      </c>
      <c r="H46" s="164">
        <v>45.307000000000002</v>
      </c>
      <c r="I46" s="166">
        <v>4268</v>
      </c>
      <c r="J46" s="164">
        <v>140.03299999999999</v>
      </c>
      <c r="K46" s="164">
        <v>160.52099999999999</v>
      </c>
      <c r="L46" s="164">
        <v>374.274</v>
      </c>
      <c r="M46" s="164">
        <v>2020.6969999999999</v>
      </c>
      <c r="N46" s="164">
        <v>1308</v>
      </c>
      <c r="O46" s="164">
        <v>403.38099999999997</v>
      </c>
      <c r="P46" s="164">
        <v>61.405000000000001</v>
      </c>
      <c r="Q46" s="164">
        <v>301.89600000000002</v>
      </c>
      <c r="R46" s="164">
        <v>93.356999999999999</v>
      </c>
      <c r="S46" s="163">
        <f t="shared" si="8"/>
        <v>51.950400000000002</v>
      </c>
      <c r="T46" s="164">
        <v>262.16800000000001</v>
      </c>
      <c r="U46" s="164">
        <v>179.31</v>
      </c>
      <c r="V46" s="164">
        <v>174.59200000000001</v>
      </c>
      <c r="W46" s="164">
        <v>170.892</v>
      </c>
      <c r="X46" s="168">
        <f t="shared" si="9"/>
        <v>2.1192265395894472E-2</v>
      </c>
      <c r="Y46" s="164">
        <v>176.084</v>
      </c>
      <c r="Z46" s="164">
        <v>65.075999999999993</v>
      </c>
      <c r="AA46" s="164">
        <v>44.7</v>
      </c>
      <c r="AB46" s="163">
        <f t="shared" si="7"/>
        <v>465.56847000000005</v>
      </c>
      <c r="AC46" s="163">
        <f t="shared" si="4"/>
        <v>305.04747000000009</v>
      </c>
      <c r="AE46" s="169">
        <f t="shared" si="10"/>
        <v>-24.450000000000017</v>
      </c>
      <c r="AF46" s="169">
        <f t="shared" si="11"/>
        <v>5.5769999999999911</v>
      </c>
      <c r="AG46" s="169">
        <f t="shared" si="11"/>
        <v>-7.320999999999998</v>
      </c>
      <c r="AI46" s="165">
        <f t="shared" si="1"/>
        <v>0.723782324901593</v>
      </c>
      <c r="AJ46" s="165">
        <f t="shared" si="5"/>
        <v>0.8996631252270566</v>
      </c>
    </row>
    <row r="47" spans="1:36" s="156" customFormat="1" ht="12">
      <c r="A47" s="160">
        <v>43282</v>
      </c>
      <c r="B47" s="161">
        <f t="shared" si="2"/>
        <v>535.86599999999999</v>
      </c>
      <c r="C47" s="164">
        <v>3.2930000000000001</v>
      </c>
      <c r="D47" s="164">
        <v>481.32</v>
      </c>
      <c r="E47" s="164">
        <v>438.08100000000002</v>
      </c>
      <c r="F47" s="164">
        <v>43.238999999999997</v>
      </c>
      <c r="G47" s="164">
        <v>6</v>
      </c>
      <c r="H47" s="164">
        <v>45.253</v>
      </c>
      <c r="I47" s="166">
        <v>3496</v>
      </c>
      <c r="J47" s="164">
        <v>127.33499999999999</v>
      </c>
      <c r="K47" s="164">
        <v>166.18100000000001</v>
      </c>
      <c r="L47" s="164">
        <v>390.08</v>
      </c>
      <c r="M47" s="164">
        <v>2109.1089999999999</v>
      </c>
      <c r="N47" s="164">
        <v>1330.4829999999999</v>
      </c>
      <c r="O47" s="164">
        <v>420.94</v>
      </c>
      <c r="P47" s="164">
        <v>60.8</v>
      </c>
      <c r="Q47" s="164">
        <v>321.447</v>
      </c>
      <c r="R47" s="164">
        <v>93.113</v>
      </c>
      <c r="S47" s="163">
        <f t="shared" si="8"/>
        <v>53.095199999999991</v>
      </c>
      <c r="T47" s="164">
        <v>263.13900000000001</v>
      </c>
      <c r="U47" s="164">
        <v>189.70699999999999</v>
      </c>
      <c r="V47" s="164">
        <v>216.24799999999999</v>
      </c>
      <c r="W47" s="164">
        <v>211.017</v>
      </c>
      <c r="X47" s="168">
        <f t="shared" si="9"/>
        <v>2.4189819096592791E-2</v>
      </c>
      <c r="Y47" s="164">
        <v>204.72300000000001</v>
      </c>
      <c r="Z47" s="164">
        <v>62.816000000000003</v>
      </c>
      <c r="AA47" s="164">
        <v>45.393000000000001</v>
      </c>
      <c r="AB47" s="163">
        <f t="shared" si="7"/>
        <v>487.56656000000009</v>
      </c>
      <c r="AC47" s="163">
        <f t="shared" si="4"/>
        <v>321.38556000000005</v>
      </c>
      <c r="AE47" s="169">
        <f t="shared" si="10"/>
        <v>40.125</v>
      </c>
      <c r="AF47" s="169">
        <f t="shared" si="11"/>
        <v>-2.2599999999999909</v>
      </c>
      <c r="AG47" s="169">
        <f t="shared" si="11"/>
        <v>0.69299999999999784</v>
      </c>
      <c r="AI47" s="165">
        <f t="shared" si="1"/>
        <v>0.7336213166058333</v>
      </c>
      <c r="AJ47" s="165">
        <f t="shared" si="5"/>
        <v>0.90986657112039226</v>
      </c>
    </row>
    <row r="48" spans="1:36" s="156" customFormat="1" ht="12">
      <c r="A48" s="160">
        <v>43313</v>
      </c>
      <c r="B48" s="161">
        <f t="shared" si="2"/>
        <v>539.01599999999996</v>
      </c>
      <c r="C48" s="164">
        <v>3.5590000000000002</v>
      </c>
      <c r="D48" s="164">
        <v>483.37400000000002</v>
      </c>
      <c r="E48" s="164">
        <v>441.04300000000001</v>
      </c>
      <c r="F48" s="164">
        <v>42.331000000000003</v>
      </c>
      <c r="G48" s="164">
        <v>7.1669999999999998</v>
      </c>
      <c r="H48" s="164">
        <v>44.915999999999997</v>
      </c>
      <c r="I48" s="166">
        <v>3455</v>
      </c>
      <c r="J48" s="164">
        <v>134.30799999999999</v>
      </c>
      <c r="K48" s="164">
        <v>166.10599999999999</v>
      </c>
      <c r="L48" s="164">
        <v>394.90800000000002</v>
      </c>
      <c r="M48" s="164">
        <v>2185.674</v>
      </c>
      <c r="N48" s="164">
        <v>1313.0139999999999</v>
      </c>
      <c r="O48" s="164">
        <v>402.346</v>
      </c>
      <c r="P48" s="164">
        <v>55.012</v>
      </c>
      <c r="Q48" s="164">
        <v>325.54700000000003</v>
      </c>
      <c r="R48" s="164">
        <v>91.947000000000003</v>
      </c>
      <c r="S48" s="163">
        <f t="shared" si="8"/>
        <v>52.348199999999999</v>
      </c>
      <c r="T48" s="164">
        <v>256.26799999999997</v>
      </c>
      <c r="U48" s="164">
        <v>177.30799999999999</v>
      </c>
      <c r="V48" s="164">
        <v>188.173</v>
      </c>
      <c r="W48" s="164">
        <v>183.05099999999999</v>
      </c>
      <c r="X48" s="168">
        <f t="shared" si="9"/>
        <v>2.7219632997295129E-2</v>
      </c>
      <c r="Y48" s="164">
        <v>184.387</v>
      </c>
      <c r="Z48" s="164">
        <v>63.365000000000002</v>
      </c>
      <c r="AA48" s="164">
        <v>56.317</v>
      </c>
      <c r="AB48" s="163">
        <f t="shared" si="7"/>
        <v>470.47718000000003</v>
      </c>
      <c r="AC48" s="163">
        <f t="shared" si="4"/>
        <v>304.37118000000004</v>
      </c>
      <c r="AE48" s="169">
        <f t="shared" si="10"/>
        <v>-27.966000000000008</v>
      </c>
      <c r="AF48" s="169">
        <f t="shared" si="11"/>
        <v>0.54899999999999949</v>
      </c>
      <c r="AG48" s="169">
        <f t="shared" si="11"/>
        <v>10.923999999999999</v>
      </c>
      <c r="AI48" s="165">
        <f t="shared" si="1"/>
        <v>0.69011679133327142</v>
      </c>
      <c r="AJ48" s="165">
        <f t="shared" si="5"/>
        <v>0.87284455377947978</v>
      </c>
    </row>
    <row r="49" spans="1:36" s="156" customFormat="1" ht="12">
      <c r="A49" s="160">
        <v>43344</v>
      </c>
      <c r="B49" s="161">
        <f t="shared" si="2"/>
        <v>500.73699999999997</v>
      </c>
      <c r="C49" s="164">
        <v>2.8079999999999998</v>
      </c>
      <c r="D49" s="164">
        <v>449.28800000000001</v>
      </c>
      <c r="E49" s="164">
        <v>410.96600000000001</v>
      </c>
      <c r="F49" s="164">
        <v>38.322000000000003</v>
      </c>
      <c r="G49" s="164">
        <v>7.0679999999999996</v>
      </c>
      <c r="H49" s="164">
        <v>41.573</v>
      </c>
      <c r="I49" s="166">
        <v>4290</v>
      </c>
      <c r="J49" s="164">
        <v>131.31700000000001</v>
      </c>
      <c r="K49" s="164">
        <v>155.28399999999999</v>
      </c>
      <c r="L49" s="164">
        <v>376.51</v>
      </c>
      <c r="M49" s="164">
        <v>1951.327</v>
      </c>
      <c r="N49" s="164">
        <v>1295.7239999999999</v>
      </c>
      <c r="O49" s="164">
        <v>408.70800000000003</v>
      </c>
      <c r="P49" s="164">
        <v>59.667999999999999</v>
      </c>
      <c r="Q49" s="164">
        <v>293.548</v>
      </c>
      <c r="R49" s="164">
        <v>83.262</v>
      </c>
      <c r="S49" s="163">
        <f t="shared" si="8"/>
        <v>47.937000000000005</v>
      </c>
      <c r="T49" s="164">
        <v>229.18299999999999</v>
      </c>
      <c r="U49" s="164">
        <v>171.86799999999999</v>
      </c>
      <c r="V49" s="164">
        <v>178.68700000000001</v>
      </c>
      <c r="W49" s="164">
        <v>173.24</v>
      </c>
      <c r="X49" s="168">
        <f t="shared" si="9"/>
        <v>3.048347109750571E-2</v>
      </c>
      <c r="Y49" s="164">
        <v>167.56399999999999</v>
      </c>
      <c r="Z49" s="164">
        <v>43.59</v>
      </c>
      <c r="AA49" s="164">
        <v>60.863</v>
      </c>
      <c r="AB49" s="163">
        <f t="shared" si="7"/>
        <v>448.19824</v>
      </c>
      <c r="AC49" s="163">
        <f t="shared" si="4"/>
        <v>292.91424000000001</v>
      </c>
      <c r="AE49" s="169">
        <f t="shared" si="10"/>
        <v>-9.8109999999999786</v>
      </c>
      <c r="AF49" s="169">
        <f t="shared" si="11"/>
        <v>-19.774999999999999</v>
      </c>
      <c r="AG49" s="169">
        <f t="shared" si="11"/>
        <v>4.5459999999999994</v>
      </c>
      <c r="AI49" s="165">
        <f t="shared" si="1"/>
        <v>0.71274567725797267</v>
      </c>
      <c r="AJ49" s="165">
        <f t="shared" si="5"/>
        <v>0.8950771363010922</v>
      </c>
    </row>
    <row r="50" spans="1:36" s="156" customFormat="1" ht="12">
      <c r="A50" s="160">
        <v>43374</v>
      </c>
      <c r="B50" s="161">
        <f t="shared" si="2"/>
        <v>512.79700000000003</v>
      </c>
      <c r="C50" s="164">
        <v>3.2909999999999999</v>
      </c>
      <c r="D50" s="164">
        <v>461.88299999999998</v>
      </c>
      <c r="E50" s="164">
        <v>418.64499999999998</v>
      </c>
      <c r="F50" s="164">
        <v>43.238</v>
      </c>
      <c r="G50" s="164">
        <v>6.7539999999999996</v>
      </c>
      <c r="H50" s="164">
        <v>40.869</v>
      </c>
      <c r="I50" s="166">
        <v>4588</v>
      </c>
      <c r="J50" s="164">
        <v>124.404</v>
      </c>
      <c r="K50" s="164">
        <v>158.71199999999999</v>
      </c>
      <c r="L50" s="164">
        <v>378.00299999999999</v>
      </c>
      <c r="M50" s="164">
        <v>1979.896</v>
      </c>
      <c r="N50" s="164">
        <v>1347.6</v>
      </c>
      <c r="O50" s="164">
        <v>456.67200000000003</v>
      </c>
      <c r="P50" s="164">
        <v>61.021000000000001</v>
      </c>
      <c r="Q50" s="164">
        <v>282.71300000000002</v>
      </c>
      <c r="R50" s="164">
        <v>90.899000000000001</v>
      </c>
      <c r="S50" s="163">
        <f t="shared" si="8"/>
        <v>50.464199999999998</v>
      </c>
      <c r="T50" s="164">
        <v>245.68100000000001</v>
      </c>
      <c r="U50" s="164">
        <v>171.94200000000001</v>
      </c>
      <c r="V50" s="164">
        <v>153.761</v>
      </c>
      <c r="W50" s="164">
        <v>149.08000000000001</v>
      </c>
      <c r="X50" s="168">
        <f t="shared" si="9"/>
        <v>3.0443350394443236E-2</v>
      </c>
      <c r="Y50" s="164">
        <v>150.56399999999999</v>
      </c>
      <c r="Z50" s="164">
        <v>38.015000000000001</v>
      </c>
      <c r="AA50" s="164">
        <v>55.459000000000003</v>
      </c>
      <c r="AB50" s="163">
        <f t="shared" si="7"/>
        <v>452.99598000000003</v>
      </c>
      <c r="AC50" s="163">
        <f t="shared" si="4"/>
        <v>294.28398000000004</v>
      </c>
      <c r="AE50" s="169">
        <f t="shared" si="10"/>
        <v>-24.159999999999997</v>
      </c>
      <c r="AF50" s="169">
        <f t="shared" si="11"/>
        <v>-5.5750000000000028</v>
      </c>
      <c r="AG50" s="169">
        <f t="shared" si="11"/>
        <v>-5.4039999999999964</v>
      </c>
      <c r="AI50" s="165">
        <f t="shared" si="1"/>
        <v>0.70294397401139408</v>
      </c>
      <c r="AJ50" s="165">
        <f t="shared" si="5"/>
        <v>0.88338266409514876</v>
      </c>
    </row>
    <row r="51" spans="1:36" s="156" customFormat="1" ht="12">
      <c r="A51" s="160">
        <v>43405</v>
      </c>
      <c r="B51" s="161">
        <f t="shared" si="2"/>
        <v>503.50399999999991</v>
      </c>
      <c r="C51" s="164">
        <v>2.9409999999999998</v>
      </c>
      <c r="D51" s="164">
        <v>454.53300000000002</v>
      </c>
      <c r="E51" s="164">
        <v>413.19099999999997</v>
      </c>
      <c r="F51" s="164">
        <v>41.341999999999999</v>
      </c>
      <c r="G51" s="164">
        <v>5.782</v>
      </c>
      <c r="H51" s="164">
        <v>40.247999999999998</v>
      </c>
      <c r="I51" s="166">
        <v>5314</v>
      </c>
      <c r="J51" s="164">
        <v>128.80500000000001</v>
      </c>
      <c r="K51" s="164">
        <v>154.77799999999999</v>
      </c>
      <c r="L51" s="164">
        <v>376.137</v>
      </c>
      <c r="M51" s="164">
        <v>1930.259</v>
      </c>
      <c r="N51" s="164">
        <v>1314.662</v>
      </c>
      <c r="O51" s="164">
        <v>472.97199999999998</v>
      </c>
      <c r="P51" s="164">
        <v>54.966999999999999</v>
      </c>
      <c r="Q51" s="164">
        <v>285.36200000000002</v>
      </c>
      <c r="R51" s="164">
        <v>85.51</v>
      </c>
      <c r="S51" s="163">
        <f t="shared" si="8"/>
        <v>48.954000000000001</v>
      </c>
      <c r="T51" s="164">
        <v>257.00299999999999</v>
      </c>
      <c r="U51" s="164">
        <v>176.126</v>
      </c>
      <c r="V51" s="164">
        <v>172.339</v>
      </c>
      <c r="W51" s="164">
        <v>167.529</v>
      </c>
      <c r="X51" s="168">
        <f t="shared" si="9"/>
        <v>2.7910107404592099E-2</v>
      </c>
      <c r="Y51" s="164">
        <v>164.172</v>
      </c>
      <c r="Z51" s="164">
        <v>38.523000000000003</v>
      </c>
      <c r="AA51" s="164">
        <v>55.829000000000001</v>
      </c>
      <c r="AB51" s="163">
        <f t="shared" si="7"/>
        <v>453.33848</v>
      </c>
      <c r="AC51" s="163">
        <f t="shared" si="4"/>
        <v>298.56047999999998</v>
      </c>
      <c r="AE51" s="169">
        <f t="shared" si="10"/>
        <v>18.448999999999984</v>
      </c>
      <c r="AF51" s="169">
        <f t="shared" si="11"/>
        <v>0.50800000000000267</v>
      </c>
      <c r="AG51" s="169">
        <f t="shared" si="11"/>
        <v>0.36999999999999744</v>
      </c>
      <c r="AI51" s="165">
        <f t="shared" si="1"/>
        <v>0.72257256329397301</v>
      </c>
      <c r="AJ51" s="165">
        <f t="shared" si="5"/>
        <v>0.90036718675521965</v>
      </c>
    </row>
    <row r="52" spans="1:36" s="156" customFormat="1" ht="12">
      <c r="A52" s="160">
        <v>43435</v>
      </c>
      <c r="B52" s="161">
        <f t="shared" si="2"/>
        <v>512.19100000000003</v>
      </c>
      <c r="C52" s="164">
        <v>2.5470000000000002</v>
      </c>
      <c r="D52" s="164">
        <v>461.64400000000001</v>
      </c>
      <c r="E52" s="164">
        <v>418.029</v>
      </c>
      <c r="F52" s="164">
        <v>43.615000000000002</v>
      </c>
      <c r="G52" s="164">
        <v>7.1349999999999998</v>
      </c>
      <c r="H52" s="164">
        <v>40.865000000000002</v>
      </c>
      <c r="I52" s="166">
        <v>3045</v>
      </c>
      <c r="J52" s="164">
        <v>134.09399999999999</v>
      </c>
      <c r="K52" s="164">
        <v>152.91800000000001</v>
      </c>
      <c r="L52" s="164">
        <v>357.19600000000003</v>
      </c>
      <c r="M52" s="164">
        <v>1924.1990000000001</v>
      </c>
      <c r="N52" s="164">
        <v>1396.462</v>
      </c>
      <c r="O52" s="164">
        <v>472.46899999999999</v>
      </c>
      <c r="P52" s="164">
        <v>60.677</v>
      </c>
      <c r="Q52" s="164">
        <v>290.178</v>
      </c>
      <c r="R52" s="164">
        <v>88.638000000000005</v>
      </c>
      <c r="S52" s="163">
        <f t="shared" si="8"/>
        <v>50.688000000000002</v>
      </c>
      <c r="T52" s="164">
        <v>256.14600000000002</v>
      </c>
      <c r="U52" s="164">
        <v>182.55699999999999</v>
      </c>
      <c r="V52" s="164">
        <v>202.94</v>
      </c>
      <c r="W52" s="164">
        <v>197.57300000000001</v>
      </c>
      <c r="X52" s="168">
        <f t="shared" si="9"/>
        <v>2.6446240268059529E-2</v>
      </c>
      <c r="Y52" s="164">
        <v>182.58600000000001</v>
      </c>
      <c r="Z52" s="164">
        <v>27.8</v>
      </c>
      <c r="AA52" s="164">
        <v>69.825000000000003</v>
      </c>
      <c r="AB52" s="163">
        <f t="shared" si="7"/>
        <v>459.60075000000006</v>
      </c>
      <c r="AC52" s="163">
        <f t="shared" si="4"/>
        <v>306.68275000000006</v>
      </c>
      <c r="AE52" s="169">
        <f t="shared" si="10"/>
        <v>30.044000000000011</v>
      </c>
      <c r="AF52" s="169">
        <f t="shared" si="11"/>
        <v>-10.723000000000003</v>
      </c>
      <c r="AG52" s="169">
        <f t="shared" si="11"/>
        <v>13.996000000000002</v>
      </c>
      <c r="AI52" s="165">
        <f t="shared" si="1"/>
        <v>0.73363989101234617</v>
      </c>
      <c r="AJ52" s="165">
        <f t="shared" si="5"/>
        <v>0.89732297131343586</v>
      </c>
    </row>
    <row r="53" spans="1:36" s="156" customFormat="1" ht="12">
      <c r="A53" s="160">
        <v>43466</v>
      </c>
      <c r="B53" s="161">
        <f t="shared" si="2"/>
        <v>492.62</v>
      </c>
      <c r="C53" s="164">
        <v>2.8690000000000002</v>
      </c>
      <c r="D53" s="164">
        <v>444.01600000000002</v>
      </c>
      <c r="E53" s="164">
        <v>405.45400000000001</v>
      </c>
      <c r="F53" s="164">
        <v>38.561999999999998</v>
      </c>
      <c r="G53" s="164">
        <v>6.7869999999999999</v>
      </c>
      <c r="H53" s="164">
        <v>38.948</v>
      </c>
      <c r="I53" s="166">
        <v>4883</v>
      </c>
      <c r="J53" s="164">
        <v>118.145</v>
      </c>
      <c r="K53" s="164">
        <v>148.89599999999999</v>
      </c>
      <c r="L53" s="164">
        <v>369.64699999999999</v>
      </c>
      <c r="M53" s="164">
        <v>1822.623</v>
      </c>
      <c r="N53" s="164">
        <v>1357.5039999999999</v>
      </c>
      <c r="O53" s="164">
        <v>469.78699999999998</v>
      </c>
      <c r="P53" s="164">
        <v>61.165999999999997</v>
      </c>
      <c r="Q53" s="164">
        <v>263.21800000000002</v>
      </c>
      <c r="R53" s="164">
        <v>84.213999999999999</v>
      </c>
      <c r="S53" s="163">
        <f t="shared" si="8"/>
        <v>46.505999999999993</v>
      </c>
      <c r="T53" s="164">
        <v>253.10300000000001</v>
      </c>
      <c r="U53" s="164">
        <v>164.74</v>
      </c>
      <c r="V53" s="164">
        <v>161.71799999999999</v>
      </c>
      <c r="W53" s="164">
        <v>158.04</v>
      </c>
      <c r="X53" s="168">
        <f t="shared" si="9"/>
        <v>2.2743293881942628E-2</v>
      </c>
      <c r="Y53" s="164">
        <v>161.00200000000001</v>
      </c>
      <c r="Z53" s="164">
        <v>36.552</v>
      </c>
      <c r="AA53" s="164">
        <v>69.007999999999996</v>
      </c>
      <c r="AB53" s="163">
        <f t="shared" si="7"/>
        <v>429.68131999999997</v>
      </c>
      <c r="AC53" s="163">
        <f t="shared" si="4"/>
        <v>280.78531999999996</v>
      </c>
      <c r="AE53" s="169">
        <f t="shared" si="10"/>
        <v>-39.533000000000015</v>
      </c>
      <c r="AF53" s="169">
        <f t="shared" si="11"/>
        <v>8.7519999999999989</v>
      </c>
      <c r="AG53" s="169">
        <f t="shared" si="11"/>
        <v>-0.81700000000000728</v>
      </c>
      <c r="AI53" s="165">
        <f t="shared" si="1"/>
        <v>0.69252077917593602</v>
      </c>
      <c r="AJ53" s="165">
        <f t="shared" si="5"/>
        <v>0.87223685599447842</v>
      </c>
    </row>
    <row r="54" spans="1:36" s="156" customFormat="1" ht="12">
      <c r="A54" s="160">
        <v>43497</v>
      </c>
      <c r="B54" s="161">
        <f t="shared" si="2"/>
        <v>449.07600000000002</v>
      </c>
      <c r="C54" s="164">
        <v>2.74</v>
      </c>
      <c r="D54" s="164">
        <v>402.89400000000001</v>
      </c>
      <c r="E54" s="164">
        <v>367.27300000000002</v>
      </c>
      <c r="F54" s="164">
        <v>35.621000000000002</v>
      </c>
      <c r="G54" s="164">
        <v>6.157</v>
      </c>
      <c r="H54" s="164">
        <v>37.284999999999997</v>
      </c>
      <c r="I54" s="166">
        <v>5054</v>
      </c>
      <c r="J54" s="164">
        <v>109.504</v>
      </c>
      <c r="K54" s="164">
        <v>132.62700000000001</v>
      </c>
      <c r="L54" s="164">
        <v>336.464</v>
      </c>
      <c r="M54" s="164">
        <v>1691.758</v>
      </c>
      <c r="N54" s="164">
        <v>1213.8150000000001</v>
      </c>
      <c r="O54" s="164">
        <v>427.76100000000002</v>
      </c>
      <c r="P54" s="164">
        <v>56.218000000000004</v>
      </c>
      <c r="Q54" s="164">
        <v>250.857</v>
      </c>
      <c r="R54" s="164">
        <v>77.453999999999994</v>
      </c>
      <c r="S54" s="163">
        <f t="shared" si="8"/>
        <v>43.743600000000001</v>
      </c>
      <c r="T54" s="164">
        <v>224.333</v>
      </c>
      <c r="U54" s="164">
        <v>155.624</v>
      </c>
      <c r="V54" s="164">
        <v>163.56299999999999</v>
      </c>
      <c r="W54" s="164">
        <v>160.12</v>
      </c>
      <c r="X54" s="168">
        <f t="shared" si="9"/>
        <v>2.1049992969069953E-2</v>
      </c>
      <c r="Y54" s="164">
        <v>150.95699999999999</v>
      </c>
      <c r="Z54" s="164">
        <v>49.982999999999997</v>
      </c>
      <c r="AA54" s="164">
        <v>68.41</v>
      </c>
      <c r="AB54" s="163">
        <f t="shared" si="7"/>
        <v>394.90386999999998</v>
      </c>
      <c r="AC54" s="163">
        <f t="shared" si="4"/>
        <v>262.27686999999997</v>
      </c>
      <c r="AE54" s="169">
        <f t="shared" si="10"/>
        <v>2.0800000000000125</v>
      </c>
      <c r="AF54" s="169">
        <f t="shared" si="11"/>
        <v>13.430999999999997</v>
      </c>
      <c r="AG54" s="169">
        <f t="shared" si="11"/>
        <v>-0.59799999999999898</v>
      </c>
      <c r="AI54" s="165">
        <f t="shared" si="1"/>
        <v>0.71411966030718277</v>
      </c>
      <c r="AJ54" s="165">
        <f t="shared" si="5"/>
        <v>0.87936979486768374</v>
      </c>
    </row>
    <row r="55" spans="1:36" s="156" customFormat="1" ht="12">
      <c r="A55" s="160">
        <v>43525</v>
      </c>
      <c r="B55" s="161">
        <f t="shared" si="2"/>
        <v>493.24700000000001</v>
      </c>
      <c r="C55" s="164">
        <v>3.4550000000000001</v>
      </c>
      <c r="D55" s="164">
        <v>440.05399999999997</v>
      </c>
      <c r="E55" s="164">
        <v>400.93700000000001</v>
      </c>
      <c r="F55" s="164">
        <v>39.116999999999997</v>
      </c>
      <c r="G55" s="164">
        <v>7.133</v>
      </c>
      <c r="H55" s="164">
        <v>42.604999999999997</v>
      </c>
      <c r="I55" s="166">
        <v>5167</v>
      </c>
      <c r="J55" s="164">
        <v>115.583</v>
      </c>
      <c r="K55" s="164">
        <v>148.71700000000001</v>
      </c>
      <c r="L55" s="164">
        <v>386.41300000000001</v>
      </c>
      <c r="M55" s="164">
        <v>1855.9749999999999</v>
      </c>
      <c r="N55" s="164">
        <v>1337.3820000000001</v>
      </c>
      <c r="O55" s="164">
        <v>357.90899999999999</v>
      </c>
      <c r="P55" s="164">
        <v>61.000999999999998</v>
      </c>
      <c r="Q55" s="164">
        <v>304.04700000000003</v>
      </c>
      <c r="R55" s="164">
        <v>88.89</v>
      </c>
      <c r="S55" s="163">
        <f t="shared" si="8"/>
        <v>49.033199999999994</v>
      </c>
      <c r="T55" s="164">
        <v>224.85</v>
      </c>
      <c r="U55" s="164">
        <v>174.917</v>
      </c>
      <c r="V55" s="164">
        <v>181.05600000000001</v>
      </c>
      <c r="W55" s="164">
        <v>176.87</v>
      </c>
      <c r="X55" s="168">
        <f t="shared" si="9"/>
        <v>2.3119918699187059E-2</v>
      </c>
      <c r="Y55" s="164">
        <v>173.99299999999999</v>
      </c>
      <c r="Z55" s="164">
        <v>28.83</v>
      </c>
      <c r="AA55" s="171">
        <v>69.583020733341073</v>
      </c>
      <c r="AB55" s="163">
        <f t="shared" si="7"/>
        <v>443.37858000000006</v>
      </c>
      <c r="AC55" s="163">
        <f t="shared" si="4"/>
        <v>294.66158000000007</v>
      </c>
      <c r="AE55" s="169">
        <f t="shared" si="10"/>
        <v>16.75</v>
      </c>
      <c r="AF55" s="169">
        <f t="shared" si="11"/>
        <v>-21.152999999999999</v>
      </c>
      <c r="AG55" s="169">
        <f t="shared" ref="AG55:AG56" si="12">FORECAST(AF55,AG30:AG54,AF30:AF54)</f>
        <v>1.4930752401806442</v>
      </c>
      <c r="AI55" s="165">
        <f t="shared" si="1"/>
        <v>0.73493237092111741</v>
      </c>
      <c r="AJ55" s="165">
        <f t="shared" si="5"/>
        <v>0.89889767195745751</v>
      </c>
    </row>
    <row r="56" spans="1:36" s="156" customFormat="1" ht="12">
      <c r="A56" s="160">
        <v>43556</v>
      </c>
      <c r="B56" s="161">
        <f t="shared" si="2"/>
        <v>493.15899999999999</v>
      </c>
      <c r="C56" s="164">
        <v>3.6920000000000002</v>
      </c>
      <c r="D56" s="164">
        <v>440.47699999999998</v>
      </c>
      <c r="E56" s="164">
        <v>399.72899999999998</v>
      </c>
      <c r="F56" s="164">
        <v>40.747999999999998</v>
      </c>
      <c r="G56" s="164">
        <v>6.26</v>
      </c>
      <c r="H56" s="164">
        <v>42.73</v>
      </c>
      <c r="I56" s="166">
        <v>4418</v>
      </c>
      <c r="J56" s="164">
        <v>127.703</v>
      </c>
      <c r="K56" s="164">
        <v>150.114</v>
      </c>
      <c r="L56" s="164">
        <v>376.77499999999998</v>
      </c>
      <c r="M56" s="164">
        <v>1858.3050000000001</v>
      </c>
      <c r="N56" s="164">
        <v>1351.347</v>
      </c>
      <c r="O56" s="164">
        <v>364.589</v>
      </c>
      <c r="P56" s="164">
        <v>69.703000000000003</v>
      </c>
      <c r="Q56" s="164">
        <v>296.68099999999998</v>
      </c>
      <c r="R56" s="164">
        <v>91.364000000000004</v>
      </c>
      <c r="S56" s="163">
        <f t="shared" si="8"/>
        <v>50.086799999999997</v>
      </c>
      <c r="T56" s="164">
        <v>253.959</v>
      </c>
      <c r="U56" s="164">
        <v>168.46100000000001</v>
      </c>
      <c r="V56" s="164">
        <v>170.86</v>
      </c>
      <c r="W56" s="164">
        <v>165.733</v>
      </c>
      <c r="X56" s="168">
        <f t="shared" si="9"/>
        <v>3.0007023293924906E-2</v>
      </c>
      <c r="Y56" s="164">
        <v>165.136</v>
      </c>
      <c r="Z56" s="164">
        <v>26.863</v>
      </c>
      <c r="AA56" s="171">
        <f>AA55+AG56</f>
        <v>68.995925306024873</v>
      </c>
      <c r="AB56" s="163">
        <f t="shared" si="7"/>
        <v>436.4477500000001</v>
      </c>
      <c r="AC56" s="163">
        <f t="shared" si="4"/>
        <v>286.33375000000012</v>
      </c>
      <c r="AE56" s="169">
        <f t="shared" si="10"/>
        <v>-11.137</v>
      </c>
      <c r="AF56" s="169">
        <f t="shared" si="11"/>
        <v>-1.9669999999999987</v>
      </c>
      <c r="AG56" s="169">
        <f t="shared" si="12"/>
        <v>-0.58709542731619901</v>
      </c>
      <c r="AI56" s="165">
        <f t="shared" si="1"/>
        <v>0.71631968158427373</v>
      </c>
      <c r="AJ56" s="165">
        <f t="shared" si="5"/>
        <v>0.88500412645820137</v>
      </c>
    </row>
    <row r="57" spans="1:36" s="156" customFormat="1" ht="12">
      <c r="A57" s="160">
        <v>43586</v>
      </c>
      <c r="B57" s="161">
        <f t="shared" si="2"/>
        <v>515.40399999999988</v>
      </c>
      <c r="C57" s="164">
        <v>3.327</v>
      </c>
      <c r="D57" s="164">
        <v>459.48500000000001</v>
      </c>
      <c r="E57" s="164">
        <v>418.28</v>
      </c>
      <c r="F57" s="164">
        <v>41.204999999999998</v>
      </c>
      <c r="G57" s="164">
        <v>5.9240000000000004</v>
      </c>
      <c r="H57" s="164">
        <v>46.667999999999999</v>
      </c>
      <c r="I57" s="166">
        <v>5176</v>
      </c>
      <c r="J57" s="164">
        <v>115.995</v>
      </c>
      <c r="K57" s="164">
        <v>157.62299999999999</v>
      </c>
      <c r="L57" s="164">
        <v>401.17099999999999</v>
      </c>
      <c r="M57" s="164">
        <v>1942.7919999999999</v>
      </c>
      <c r="N57" s="164">
        <v>1343.7190000000001</v>
      </c>
      <c r="O57" s="164">
        <v>456.572</v>
      </c>
      <c r="P57" s="164">
        <v>68.852000000000004</v>
      </c>
      <c r="Q57" s="164">
        <v>298.34699999999998</v>
      </c>
      <c r="R57" s="164">
        <v>93.185000000000002</v>
      </c>
      <c r="S57" s="163">
        <f t="shared" si="8"/>
        <v>52.72379999999999</v>
      </c>
      <c r="T57" s="164">
        <v>269.96699999999998</v>
      </c>
      <c r="U57" s="164">
        <v>178.93</v>
      </c>
      <c r="V57" s="164">
        <v>170.81200000000001</v>
      </c>
      <c r="W57" s="164">
        <v>166.768</v>
      </c>
      <c r="X57" s="168">
        <f t="shared" si="9"/>
        <v>2.3675151628691271E-2</v>
      </c>
      <c r="Y57" s="164">
        <v>177.79300000000001</v>
      </c>
      <c r="Z57" s="164">
        <v>30.471</v>
      </c>
      <c r="AA57" s="172">
        <v>54.137</v>
      </c>
      <c r="AB57" s="163">
        <f t="shared" si="7"/>
        <v>461.07761000000005</v>
      </c>
      <c r="AC57" s="163">
        <f t="shared" si="4"/>
        <v>303.45461000000006</v>
      </c>
      <c r="AE57" s="169">
        <f t="shared" si="10"/>
        <v>1.0349999999999966</v>
      </c>
      <c r="AF57" s="169">
        <f t="shared" si="11"/>
        <v>3.6080000000000005</v>
      </c>
      <c r="AG57" s="169">
        <f t="shared" si="11"/>
        <v>-14.858925306024872</v>
      </c>
      <c r="AI57" s="165">
        <f t="shared" si="1"/>
        <v>0.72548199770488686</v>
      </c>
      <c r="AJ57" s="165">
        <f t="shared" si="5"/>
        <v>0.89459455107061669</v>
      </c>
    </row>
    <row r="58" spans="1:36" s="156" customFormat="1" ht="12">
      <c r="A58" s="160">
        <v>43617</v>
      </c>
      <c r="B58" s="161">
        <f t="shared" si="2"/>
        <v>509.35300000000001</v>
      </c>
      <c r="C58" s="164">
        <v>3.4390000000000001</v>
      </c>
      <c r="D58" s="164">
        <v>456.43099999999998</v>
      </c>
      <c r="E58" s="164">
        <v>415.76299999999998</v>
      </c>
      <c r="F58" s="164">
        <v>40.667999999999999</v>
      </c>
      <c r="G58" s="164">
        <v>5.9260000000000002</v>
      </c>
      <c r="H58" s="164">
        <v>43.557000000000002</v>
      </c>
      <c r="I58" s="166">
        <v>4918</v>
      </c>
      <c r="J58" s="164">
        <v>97.364999999999995</v>
      </c>
      <c r="K58" s="164">
        <v>164.36600000000001</v>
      </c>
      <c r="L58" s="164">
        <v>369.39400000000001</v>
      </c>
      <c r="M58" s="164">
        <v>1959.56</v>
      </c>
      <c r="N58" s="164">
        <v>1294.222</v>
      </c>
      <c r="O58" s="164">
        <v>391.65</v>
      </c>
      <c r="P58" s="164">
        <v>66.290999999999997</v>
      </c>
      <c r="Q58" s="164">
        <v>286.101</v>
      </c>
      <c r="R58" s="164">
        <v>92.106999999999999</v>
      </c>
      <c r="S58" s="163">
        <f t="shared" si="8"/>
        <v>50.534999999999997</v>
      </c>
      <c r="T58" s="164">
        <v>250.82599999999999</v>
      </c>
      <c r="U58" s="164">
        <v>179.38300000000001</v>
      </c>
      <c r="V58" s="164">
        <v>167.89500000000001</v>
      </c>
      <c r="W58" s="164">
        <v>163.11000000000001</v>
      </c>
      <c r="X58" s="168">
        <f t="shared" si="9"/>
        <v>2.8499955329223559E-2</v>
      </c>
      <c r="Y58" s="164">
        <v>163.65799999999999</v>
      </c>
      <c r="Z58" s="164">
        <v>28.725000000000001</v>
      </c>
      <c r="AA58" s="172">
        <v>54.972999999999999</v>
      </c>
      <c r="AB58" s="163">
        <f t="shared" si="7"/>
        <v>470.93613000000005</v>
      </c>
      <c r="AC58" s="163">
        <f t="shared" si="4"/>
        <v>306.57013000000006</v>
      </c>
      <c r="AE58" s="169">
        <f t="shared" si="10"/>
        <v>-3.657999999999987</v>
      </c>
      <c r="AF58" s="169">
        <f t="shared" si="11"/>
        <v>-1.7459999999999987</v>
      </c>
      <c r="AG58" s="169">
        <f t="shared" si="11"/>
        <v>0.83599999999999852</v>
      </c>
      <c r="AI58" s="165">
        <f t="shared" si="1"/>
        <v>0.73736751466580741</v>
      </c>
      <c r="AJ58" s="165">
        <f t="shared" si="5"/>
        <v>0.92457712038605844</v>
      </c>
    </row>
    <row r="59" spans="1:36" s="156" customFormat="1" ht="12">
      <c r="A59" s="160">
        <v>43647</v>
      </c>
      <c r="B59" s="161">
        <f t="shared" si="2"/>
        <v>507.58</v>
      </c>
      <c r="C59" s="164">
        <v>5.1109999999999998</v>
      </c>
      <c r="D59" s="164">
        <v>450.78199999999998</v>
      </c>
      <c r="E59" s="164">
        <v>407.32799999999997</v>
      </c>
      <c r="F59" s="164">
        <v>43.454000000000001</v>
      </c>
      <c r="G59" s="164">
        <v>7.4580000000000002</v>
      </c>
      <c r="H59" s="164">
        <v>44.228999999999999</v>
      </c>
      <c r="I59" s="166">
        <v>5438</v>
      </c>
      <c r="J59" s="164">
        <v>108.366</v>
      </c>
      <c r="K59" s="164">
        <v>165.477</v>
      </c>
      <c r="L59" s="164">
        <v>379.68900000000002</v>
      </c>
      <c r="M59" s="164">
        <v>1985.82</v>
      </c>
      <c r="N59" s="164">
        <v>1197.7470000000001</v>
      </c>
      <c r="O59" s="164">
        <v>378.82100000000003</v>
      </c>
      <c r="P59" s="164">
        <v>67.082999999999998</v>
      </c>
      <c r="Q59" s="164">
        <v>300.572</v>
      </c>
      <c r="R59" s="164">
        <v>93.494</v>
      </c>
      <c r="S59" s="163">
        <f t="shared" si="8"/>
        <v>52.609799999999993</v>
      </c>
      <c r="T59" s="164">
        <v>252.084</v>
      </c>
      <c r="U59" s="164">
        <v>185.828</v>
      </c>
      <c r="V59" s="164">
        <v>188.774</v>
      </c>
      <c r="W59" s="164">
        <v>183.005</v>
      </c>
      <c r="X59" s="168">
        <f t="shared" si="9"/>
        <v>3.0560352590928819E-2</v>
      </c>
      <c r="Y59" s="164">
        <v>195.499</v>
      </c>
      <c r="Z59" s="164">
        <v>25.591999999999999</v>
      </c>
      <c r="AA59" s="172">
        <v>39.558999999999997</v>
      </c>
      <c r="AB59" s="163">
        <f t="shared" si="7"/>
        <v>481.28785000000005</v>
      </c>
      <c r="AC59" s="163">
        <f t="shared" si="4"/>
        <v>315.81085000000007</v>
      </c>
      <c r="AE59" s="169">
        <f t="shared" si="10"/>
        <v>19.894999999999982</v>
      </c>
      <c r="AF59" s="169">
        <f t="shared" ref="AF59:AG74" si="13">Z59-Z58</f>
        <v>-3.1330000000000027</v>
      </c>
      <c r="AG59" s="169">
        <f t="shared" si="13"/>
        <v>-15.414000000000001</v>
      </c>
      <c r="AI59" s="165">
        <f t="shared" si="1"/>
        <v>0.77532320390447029</v>
      </c>
      <c r="AJ59" s="165">
        <f t="shared" si="5"/>
        <v>0.94820097324559682</v>
      </c>
    </row>
    <row r="60" spans="1:36" s="156" customFormat="1" ht="12">
      <c r="A60" s="160">
        <v>43678</v>
      </c>
      <c r="B60" s="161">
        <f t="shared" si="2"/>
        <v>507.80900000000003</v>
      </c>
      <c r="C60" s="164">
        <v>3.3410000000000002</v>
      </c>
      <c r="D60" s="164">
        <v>454.63299999999998</v>
      </c>
      <c r="E60" s="164">
        <v>410.74900000000002</v>
      </c>
      <c r="F60" s="164">
        <v>43.884</v>
      </c>
      <c r="G60" s="164">
        <v>5.9290000000000003</v>
      </c>
      <c r="H60" s="164">
        <v>43.905999999999999</v>
      </c>
      <c r="I60" s="166">
        <v>6115</v>
      </c>
      <c r="J60" s="164">
        <v>95.69</v>
      </c>
      <c r="K60" s="164">
        <v>163.64599999999999</v>
      </c>
      <c r="L60" s="164">
        <v>336.04300000000001</v>
      </c>
      <c r="M60" s="164">
        <v>2014.491</v>
      </c>
      <c r="N60" s="164">
        <v>1282.77</v>
      </c>
      <c r="O60" s="164">
        <v>409.28500000000003</v>
      </c>
      <c r="P60" s="164">
        <v>58.475000000000001</v>
      </c>
      <c r="Q60" s="164">
        <v>306.375</v>
      </c>
      <c r="R60" s="164">
        <v>90.513000000000005</v>
      </c>
      <c r="S60" s="163">
        <f t="shared" si="8"/>
        <v>52.673999999999992</v>
      </c>
      <c r="T60" s="164">
        <v>261.24299999999999</v>
      </c>
      <c r="U60" s="164">
        <v>175.56299999999999</v>
      </c>
      <c r="V60" s="164">
        <v>183.536</v>
      </c>
      <c r="W60" s="164">
        <v>178.09899999999999</v>
      </c>
      <c r="X60" s="168">
        <f t="shared" si="9"/>
        <v>2.9623616075320491E-2</v>
      </c>
      <c r="Y60" s="164">
        <v>178.04900000000001</v>
      </c>
      <c r="Z60" s="164">
        <v>32.305999999999997</v>
      </c>
      <c r="AA60" s="172">
        <v>49.527000000000001</v>
      </c>
      <c r="AB60" s="163">
        <f t="shared" si="7"/>
        <v>464.71632999999997</v>
      </c>
      <c r="AC60" s="163">
        <f t="shared" si="4"/>
        <v>301.07033000000001</v>
      </c>
      <c r="AE60" s="169">
        <f t="shared" si="10"/>
        <v>-4.9060000000000059</v>
      </c>
      <c r="AF60" s="169">
        <f t="shared" si="13"/>
        <v>6.7139999999999986</v>
      </c>
      <c r="AG60" s="169">
        <f t="shared" si="13"/>
        <v>9.9680000000000035</v>
      </c>
      <c r="AI60" s="165">
        <f t="shared" si="1"/>
        <v>0.73297885083104275</v>
      </c>
      <c r="AJ60" s="165">
        <f t="shared" si="5"/>
        <v>0.91514000342648505</v>
      </c>
    </row>
    <row r="61" spans="1:36" s="156" customFormat="1" ht="12">
      <c r="A61" s="160">
        <v>43709</v>
      </c>
      <c r="B61" s="161">
        <f t="shared" si="2"/>
        <v>453.99499999999995</v>
      </c>
      <c r="C61" s="164">
        <v>3.3</v>
      </c>
      <c r="D61" s="164">
        <v>405.685</v>
      </c>
      <c r="E61" s="164">
        <v>365.51299999999998</v>
      </c>
      <c r="F61" s="164">
        <v>40.171999999999997</v>
      </c>
      <c r="G61" s="164">
        <v>5.327</v>
      </c>
      <c r="H61" s="164">
        <v>39.683</v>
      </c>
      <c r="I61" s="166">
        <v>5127</v>
      </c>
      <c r="J61" s="164">
        <v>102.911</v>
      </c>
      <c r="K61" s="164">
        <v>142.86099999999999</v>
      </c>
      <c r="L61" s="164">
        <v>286.84899999999999</v>
      </c>
      <c r="M61" s="164">
        <v>1788.73</v>
      </c>
      <c r="N61" s="164">
        <v>1217.873</v>
      </c>
      <c r="O61" s="164">
        <v>398.84399999999999</v>
      </c>
      <c r="P61" s="164">
        <v>64.058999999999997</v>
      </c>
      <c r="Q61" s="164">
        <v>289.79700000000003</v>
      </c>
      <c r="R61" s="164">
        <v>86.423000000000002</v>
      </c>
      <c r="S61" s="163">
        <f t="shared" si="8"/>
        <v>47.91299999999999</v>
      </c>
      <c r="T61" s="164">
        <v>208.64500000000001</v>
      </c>
      <c r="U61" s="164">
        <v>168.245</v>
      </c>
      <c r="V61" s="164">
        <v>171.43899999999999</v>
      </c>
      <c r="W61" s="164">
        <v>166.32</v>
      </c>
      <c r="X61" s="168">
        <f t="shared" si="9"/>
        <v>2.9859016909804637E-2</v>
      </c>
      <c r="Y61" s="164">
        <v>167.05500000000001</v>
      </c>
      <c r="Z61" s="164">
        <v>45.396999999999998</v>
      </c>
      <c r="AA61" s="172">
        <v>36.207999999999998</v>
      </c>
      <c r="AB61" s="163">
        <f t="shared" si="7"/>
        <v>426.21522000000004</v>
      </c>
      <c r="AC61" s="163">
        <f t="shared" si="4"/>
        <v>283.35422000000005</v>
      </c>
      <c r="AE61" s="169">
        <f t="shared" si="10"/>
        <v>-11.778999999999996</v>
      </c>
      <c r="AF61" s="169">
        <f t="shared" si="13"/>
        <v>13.091000000000001</v>
      </c>
      <c r="AG61" s="169">
        <f t="shared" si="13"/>
        <v>-13.319000000000003</v>
      </c>
      <c r="AI61" s="165">
        <f t="shared" si="1"/>
        <v>0.77522337098817296</v>
      </c>
      <c r="AJ61" s="165">
        <f t="shared" si="5"/>
        <v>0.93881038337426648</v>
      </c>
    </row>
    <row r="62" spans="1:36" s="156" customFormat="1" ht="12">
      <c r="A62" s="160">
        <v>43739</v>
      </c>
      <c r="B62" s="161">
        <f t="shared" si="2"/>
        <v>482.19299999999998</v>
      </c>
      <c r="C62" s="164">
        <v>3.1949999999999998</v>
      </c>
      <c r="D62" s="164">
        <v>433.09699999999998</v>
      </c>
      <c r="E62" s="164">
        <v>390.64699999999999</v>
      </c>
      <c r="F62" s="164">
        <v>42.45</v>
      </c>
      <c r="G62" s="164">
        <v>6.3239999999999998</v>
      </c>
      <c r="H62" s="164">
        <v>39.576999999999998</v>
      </c>
      <c r="I62" s="166">
        <v>4054</v>
      </c>
      <c r="J62" s="164">
        <v>93.867000000000004</v>
      </c>
      <c r="K62" s="164">
        <v>147.749</v>
      </c>
      <c r="L62" s="164">
        <v>348.762</v>
      </c>
      <c r="M62" s="164">
        <v>1832.1849999999999</v>
      </c>
      <c r="N62" s="164">
        <v>1286.4090000000001</v>
      </c>
      <c r="O62" s="164">
        <v>447.47500000000002</v>
      </c>
      <c r="P62" s="164">
        <v>51.988</v>
      </c>
      <c r="Q62" s="164">
        <v>293.89</v>
      </c>
      <c r="R62" s="164">
        <v>87.588999999999999</v>
      </c>
      <c r="S62" s="163">
        <f t="shared" si="8"/>
        <v>49.216200000000001</v>
      </c>
      <c r="T62" s="164">
        <v>233.34800000000001</v>
      </c>
      <c r="U62" s="164">
        <v>141.999</v>
      </c>
      <c r="V62" s="171">
        <v>169.42358119564759</v>
      </c>
      <c r="W62" s="171">
        <f>V62*(1-X62)</f>
        <v>164.76659080402868</v>
      </c>
      <c r="X62" s="173">
        <v>2.7487262155325785E-2</v>
      </c>
      <c r="Y62" s="171">
        <v>144.89442526346227</v>
      </c>
      <c r="Z62" s="164">
        <v>25.942</v>
      </c>
      <c r="AA62" s="171">
        <v>47.402909981664855</v>
      </c>
      <c r="AB62" s="163">
        <f t="shared" si="7"/>
        <v>396.95476000000002</v>
      </c>
      <c r="AC62" s="163">
        <f t="shared" si="4"/>
        <v>249.20576000000003</v>
      </c>
      <c r="AE62" s="169">
        <f t="shared" si="10"/>
        <v>-1.5534091959713123</v>
      </c>
      <c r="AF62" s="169">
        <f t="shared" si="13"/>
        <v>-19.454999999999998</v>
      </c>
      <c r="AG62" s="169">
        <f t="shared" si="13"/>
        <v>11.194909981664857</v>
      </c>
      <c r="AI62" s="165">
        <f t="shared" si="1"/>
        <v>0.63793081733636769</v>
      </c>
      <c r="AJ62" s="165">
        <f t="shared" si="5"/>
        <v>0.8232279605883952</v>
      </c>
    </row>
    <row r="63" spans="1:36" s="156" customFormat="1" ht="12">
      <c r="A63" s="160">
        <v>43770</v>
      </c>
      <c r="B63" s="161">
        <f t="shared" si="2"/>
        <v>506.69699999999995</v>
      </c>
      <c r="C63" s="164">
        <v>3.4060000000000001</v>
      </c>
      <c r="D63" s="164">
        <v>456.66</v>
      </c>
      <c r="E63" s="164">
        <v>413.47699999999998</v>
      </c>
      <c r="F63" s="164">
        <v>43.183</v>
      </c>
      <c r="G63" s="164">
        <v>6.1980000000000004</v>
      </c>
      <c r="H63" s="164">
        <v>40.433</v>
      </c>
      <c r="I63" s="166">
        <v>4044</v>
      </c>
      <c r="J63" s="164">
        <v>99.399000000000001</v>
      </c>
      <c r="K63" s="164">
        <v>159.852</v>
      </c>
      <c r="L63" s="164">
        <v>316.39</v>
      </c>
      <c r="M63" s="164">
        <v>1880.4880000000001</v>
      </c>
      <c r="N63" s="164">
        <v>1348.2809999999999</v>
      </c>
      <c r="O63" s="164">
        <v>458.12</v>
      </c>
      <c r="P63" s="164">
        <v>63.073</v>
      </c>
      <c r="Q63" s="164">
        <v>272.089</v>
      </c>
      <c r="R63" s="164">
        <v>90.102000000000004</v>
      </c>
      <c r="S63" s="163">
        <f t="shared" si="8"/>
        <v>50.169599999999996</v>
      </c>
      <c r="T63" s="164">
        <v>262.089</v>
      </c>
      <c r="U63" s="164">
        <v>184.24</v>
      </c>
      <c r="V63" s="164">
        <v>165.65</v>
      </c>
      <c r="W63" s="164">
        <v>160.858</v>
      </c>
      <c r="X63" s="168">
        <f t="shared" si="9"/>
        <v>2.8928463628131618E-2</v>
      </c>
      <c r="Y63" s="164">
        <v>166.12899999999999</v>
      </c>
      <c r="Z63" s="164">
        <v>29.096</v>
      </c>
      <c r="AA63" s="172">
        <v>35.207000000000001</v>
      </c>
      <c r="AB63" s="163">
        <f t="shared" si="7"/>
        <v>471.40604000000002</v>
      </c>
      <c r="AC63" s="163">
        <f t="shared" si="4"/>
        <v>311.55403999999999</v>
      </c>
      <c r="AE63" s="169">
        <f t="shared" si="10"/>
        <v>-3.9085908040286768</v>
      </c>
      <c r="AF63" s="169">
        <f t="shared" si="13"/>
        <v>3.1539999999999999</v>
      </c>
      <c r="AG63" s="169">
        <f t="shared" si="13"/>
        <v>-12.195909981664855</v>
      </c>
      <c r="AI63" s="165">
        <f t="shared" si="1"/>
        <v>0.7534978729167523</v>
      </c>
      <c r="AJ63" s="165">
        <f t="shared" si="5"/>
        <v>0.93035095925178179</v>
      </c>
    </row>
    <row r="64" spans="1:36" s="156" customFormat="1" ht="12">
      <c r="A64" s="160">
        <v>43800</v>
      </c>
      <c r="B64" s="161">
        <f t="shared" si="2"/>
        <v>530.21500000000003</v>
      </c>
      <c r="C64" s="164">
        <v>3.2389999999999999</v>
      </c>
      <c r="D64" s="164">
        <v>479.214</v>
      </c>
      <c r="E64" s="164">
        <v>431.51400000000001</v>
      </c>
      <c r="F64" s="164">
        <v>47.7</v>
      </c>
      <c r="G64" s="164">
        <v>6.8040000000000003</v>
      </c>
      <c r="H64" s="164">
        <v>40.957999999999998</v>
      </c>
      <c r="I64" s="166">
        <v>5341</v>
      </c>
      <c r="J64" s="164">
        <v>101.158</v>
      </c>
      <c r="K64" s="164">
        <v>165.21</v>
      </c>
      <c r="L64" s="164">
        <v>388.15600000000001</v>
      </c>
      <c r="M64" s="164">
        <v>1908.251</v>
      </c>
      <c r="N64" s="164">
        <v>1403.875</v>
      </c>
      <c r="O64" s="164">
        <v>493.17</v>
      </c>
      <c r="P64" s="164">
        <v>68.956999999999994</v>
      </c>
      <c r="Q64" s="164">
        <v>306.31799999999998</v>
      </c>
      <c r="R64" s="164">
        <v>93.644000000000005</v>
      </c>
      <c r="S64" s="163">
        <f t="shared" si="8"/>
        <v>53.194800000000001</v>
      </c>
      <c r="T64" s="164">
        <v>257.38099999999997</v>
      </c>
      <c r="U64" s="164">
        <v>192.001</v>
      </c>
      <c r="V64" s="164">
        <v>201.35499999999999</v>
      </c>
      <c r="W64" s="164">
        <v>195.93600000000001</v>
      </c>
      <c r="X64" s="168">
        <f t="shared" si="9"/>
        <v>2.691266668322112E-2</v>
      </c>
      <c r="Y64" s="164">
        <v>178.613</v>
      </c>
      <c r="Z64" s="164">
        <v>42.070999999999998</v>
      </c>
      <c r="AA64" s="172">
        <v>49.161000000000001</v>
      </c>
      <c r="AB64" s="163">
        <f t="shared" si="7"/>
        <v>489.37907000000007</v>
      </c>
      <c r="AC64" s="163">
        <f t="shared" si="4"/>
        <v>324.16907000000003</v>
      </c>
      <c r="AE64" s="169">
        <f t="shared" si="10"/>
        <v>35.078000000000003</v>
      </c>
      <c r="AF64" s="169">
        <f t="shared" si="13"/>
        <v>12.974999999999998</v>
      </c>
      <c r="AG64" s="169">
        <f t="shared" si="13"/>
        <v>13.954000000000001</v>
      </c>
      <c r="AI64" s="165">
        <f t="shared" si="1"/>
        <v>0.75123650681090304</v>
      </c>
      <c r="AJ64" s="165">
        <f t="shared" si="5"/>
        <v>0.92298231849344137</v>
      </c>
    </row>
    <row r="65" spans="1:36" s="156" customFormat="1" ht="12">
      <c r="A65" s="160">
        <v>43831</v>
      </c>
      <c r="B65" s="161">
        <f t="shared" si="2"/>
        <v>519.4</v>
      </c>
      <c r="C65" s="164">
        <v>2.6989999999999998</v>
      </c>
      <c r="D65" s="164">
        <v>469.46300000000002</v>
      </c>
      <c r="E65" s="164">
        <v>422.56400000000002</v>
      </c>
      <c r="F65" s="164">
        <v>46.899000000000001</v>
      </c>
      <c r="G65" s="164">
        <v>6.7759999999999998</v>
      </c>
      <c r="H65" s="164">
        <v>40.462000000000003</v>
      </c>
      <c r="I65" s="166">
        <v>4967</v>
      </c>
      <c r="J65" s="164">
        <v>121.74</v>
      </c>
      <c r="K65" s="164">
        <v>151.16200000000001</v>
      </c>
      <c r="L65" s="164">
        <v>358.47800000000001</v>
      </c>
      <c r="M65" s="164">
        <v>1950.153</v>
      </c>
      <c r="N65" s="164">
        <v>1387.5119999999999</v>
      </c>
      <c r="O65" s="164">
        <v>476.12599999999998</v>
      </c>
      <c r="P65" s="164">
        <v>68.153999999999996</v>
      </c>
      <c r="Q65" s="164">
        <v>308.08100000000002</v>
      </c>
      <c r="R65" s="164">
        <v>93.096999999999994</v>
      </c>
      <c r="S65" s="163">
        <f t="shared" si="8"/>
        <v>52.416600000000003</v>
      </c>
      <c r="T65" s="164">
        <v>258.48099999999999</v>
      </c>
      <c r="U65" s="164">
        <v>178.46100000000001</v>
      </c>
      <c r="V65" s="164">
        <v>181.875</v>
      </c>
      <c r="W65" s="164">
        <v>177.405</v>
      </c>
      <c r="X65" s="168">
        <f t="shared" si="9"/>
        <v>2.4577319587628876E-2</v>
      </c>
      <c r="Y65" s="164">
        <v>167.33</v>
      </c>
      <c r="Z65" s="164">
        <v>19.548999999999999</v>
      </c>
      <c r="AA65" s="172">
        <v>49.045999999999999</v>
      </c>
      <c r="AB65" s="163">
        <f t="shared" si="7"/>
        <v>451.5835100000001</v>
      </c>
      <c r="AC65" s="163">
        <f t="shared" si="4"/>
        <v>300.42151000000013</v>
      </c>
      <c r="AE65" s="169">
        <f t="shared" si="10"/>
        <v>-18.531000000000006</v>
      </c>
      <c r="AF65" s="169">
        <f t="shared" si="13"/>
        <v>-22.521999999999998</v>
      </c>
      <c r="AG65" s="169">
        <f>AA65-AA64</f>
        <v>-0.11500000000000199</v>
      </c>
      <c r="AI65" s="165">
        <f t="shared" si="1"/>
        <v>0.71094913433231444</v>
      </c>
      <c r="AJ65" s="165">
        <f t="shared" si="5"/>
        <v>0.86943301886792479</v>
      </c>
    </row>
    <row r="66" spans="1:36" s="156" customFormat="1" ht="12">
      <c r="A66" s="160">
        <v>43862</v>
      </c>
      <c r="B66" s="161">
        <f t="shared" si="2"/>
        <v>480.37200000000007</v>
      </c>
      <c r="C66" s="164">
        <v>2.617</v>
      </c>
      <c r="D66" s="164">
        <v>432.74900000000002</v>
      </c>
      <c r="E66" s="164">
        <v>389.34500000000003</v>
      </c>
      <c r="F66" s="164">
        <v>43.404000000000003</v>
      </c>
      <c r="G66" s="164">
        <v>6.8090000000000002</v>
      </c>
      <c r="H66" s="164">
        <v>38.197000000000003</v>
      </c>
      <c r="I66" s="166">
        <v>5857</v>
      </c>
      <c r="J66" s="164">
        <v>99.141999999999996</v>
      </c>
      <c r="K66" s="164">
        <v>148.501</v>
      </c>
      <c r="L66" s="164">
        <v>328.113</v>
      </c>
      <c r="M66" s="164">
        <v>1813.6089999999999</v>
      </c>
      <c r="N66" s="164">
        <v>1218.655</v>
      </c>
      <c r="O66" s="164">
        <v>469.44400000000002</v>
      </c>
      <c r="P66" s="164">
        <v>63.305</v>
      </c>
      <c r="Q66" s="164">
        <v>281.16000000000003</v>
      </c>
      <c r="R66" s="164">
        <v>88.021000000000001</v>
      </c>
      <c r="S66" s="163">
        <f t="shared" si="8"/>
        <v>48.960599999999999</v>
      </c>
      <c r="T66" s="164">
        <v>235.941</v>
      </c>
      <c r="U66" s="164">
        <v>165.02199999999999</v>
      </c>
      <c r="V66" s="164">
        <v>174.154</v>
      </c>
      <c r="W66" s="164">
        <v>169.60400000000001</v>
      </c>
      <c r="X66" s="168">
        <f t="shared" si="9"/>
        <v>2.6126302008567026E-2</v>
      </c>
      <c r="Y66" s="164">
        <v>172.33</v>
      </c>
      <c r="Z66" s="164">
        <v>37.680999999999997</v>
      </c>
      <c r="AA66" s="172">
        <v>52.234000000000002</v>
      </c>
      <c r="AB66" s="163">
        <f t="shared" si="7"/>
        <v>429.52651000000009</v>
      </c>
      <c r="AC66" s="163">
        <f t="shared" si="4"/>
        <v>281.02551000000005</v>
      </c>
      <c r="AE66" s="169">
        <f t="shared" si="10"/>
        <v>-7.8009999999999877</v>
      </c>
      <c r="AF66" s="169">
        <f t="shared" si="13"/>
        <v>18.131999999999998</v>
      </c>
      <c r="AG66" s="169">
        <f t="shared" si="13"/>
        <v>3.1880000000000024</v>
      </c>
      <c r="AI66" s="165">
        <f t="shared" si="1"/>
        <v>0.72179046860753326</v>
      </c>
      <c r="AJ66" s="165">
        <f t="shared" si="5"/>
        <v>0.89415392654026471</v>
      </c>
    </row>
    <row r="67" spans="1:36" s="156" customFormat="1" ht="12">
      <c r="A67" s="160">
        <v>43891</v>
      </c>
      <c r="B67" s="161">
        <f t="shared" si="2"/>
        <v>465.11799999999994</v>
      </c>
      <c r="C67" s="164">
        <v>4.0449999999999999</v>
      </c>
      <c r="D67" s="164">
        <v>410.31400000000002</v>
      </c>
      <c r="E67" s="164">
        <v>370.08</v>
      </c>
      <c r="F67" s="164">
        <v>40.234000000000002</v>
      </c>
      <c r="G67" s="164">
        <v>7.7510000000000003</v>
      </c>
      <c r="H67" s="164">
        <v>43.008000000000003</v>
      </c>
      <c r="I67" s="166">
        <v>4640</v>
      </c>
      <c r="J67" s="164">
        <v>99.381</v>
      </c>
      <c r="K67" s="164">
        <v>147.715</v>
      </c>
      <c r="L67" s="164">
        <v>317.411</v>
      </c>
      <c r="M67" s="164">
        <v>1647.029</v>
      </c>
      <c r="N67" s="164">
        <v>1218.394</v>
      </c>
      <c r="O67" s="164">
        <v>475.10899999999998</v>
      </c>
      <c r="P67" s="164">
        <v>69.959999999999994</v>
      </c>
      <c r="Q67" s="164">
        <v>291.86099999999999</v>
      </c>
      <c r="R67" s="164">
        <v>92.269000000000005</v>
      </c>
      <c r="S67" s="163">
        <f t="shared" si="8"/>
        <v>49.9452</v>
      </c>
      <c r="T67" s="164">
        <v>245.209</v>
      </c>
      <c r="U67" s="164">
        <v>179.25399999999999</v>
      </c>
      <c r="V67" s="164">
        <v>177.26</v>
      </c>
      <c r="W67" s="164">
        <v>172.53700000000001</v>
      </c>
      <c r="X67" s="168">
        <f t="shared" si="9"/>
        <v>2.6644477039377112E-2</v>
      </c>
      <c r="Y67" s="164">
        <v>184.625</v>
      </c>
      <c r="Z67" s="164">
        <v>39.481000000000002</v>
      </c>
      <c r="AA67" s="172">
        <v>38.905000000000001</v>
      </c>
      <c r="AB67" s="163">
        <f t="shared" si="7"/>
        <v>447.94753000000003</v>
      </c>
      <c r="AC67" s="163">
        <f t="shared" si="4"/>
        <v>300.23253</v>
      </c>
      <c r="AE67" s="169">
        <f t="shared" si="10"/>
        <v>2.9329999999999927</v>
      </c>
      <c r="AF67" s="169">
        <f t="shared" si="13"/>
        <v>1.8000000000000043</v>
      </c>
      <c r="AG67" s="169">
        <f t="shared" si="13"/>
        <v>-13.329000000000001</v>
      </c>
      <c r="AI67" s="165">
        <f t="shared" si="1"/>
        <v>0.81126386186770427</v>
      </c>
      <c r="AJ67" s="165">
        <f t="shared" si="5"/>
        <v>0.96308362609058362</v>
      </c>
    </row>
    <row r="68" spans="1:36" s="156" customFormat="1" ht="12">
      <c r="A68" s="160">
        <v>43922</v>
      </c>
      <c r="B68" s="161">
        <f t="shared" si="2"/>
        <v>298.96100000000001</v>
      </c>
      <c r="C68" s="164">
        <v>4.1369999999999996</v>
      </c>
      <c r="D68" s="164">
        <v>244.983</v>
      </c>
      <c r="E68" s="164">
        <v>213.905</v>
      </c>
      <c r="F68" s="164">
        <v>31.077999999999999</v>
      </c>
      <c r="G68" s="164">
        <v>11.753</v>
      </c>
      <c r="H68" s="164">
        <v>38.088000000000001</v>
      </c>
      <c r="I68" s="166">
        <v>2716</v>
      </c>
      <c r="J68" s="164">
        <v>78.629000000000005</v>
      </c>
      <c r="K68" s="164">
        <v>89.132000000000005</v>
      </c>
      <c r="L68" s="164">
        <v>173.465</v>
      </c>
      <c r="M68" s="164">
        <v>1013.914</v>
      </c>
      <c r="N68" s="164">
        <v>696.47500000000002</v>
      </c>
      <c r="O68" s="164">
        <v>274.28500000000003</v>
      </c>
      <c r="P68" s="164">
        <v>51.929000000000002</v>
      </c>
      <c r="Q68" s="164">
        <v>231.14500000000001</v>
      </c>
      <c r="R68" s="164">
        <v>76.897000000000006</v>
      </c>
      <c r="S68" s="163">
        <f t="shared" si="8"/>
        <v>41.499599999999994</v>
      </c>
      <c r="T68" s="164">
        <v>188.25800000000001</v>
      </c>
      <c r="U68" s="164">
        <v>139.21100000000001</v>
      </c>
      <c r="V68" s="164">
        <v>178.51300000000001</v>
      </c>
      <c r="W68" s="164">
        <v>173.577</v>
      </c>
      <c r="X68" s="168">
        <f t="shared" si="9"/>
        <v>2.7650647291793895E-2</v>
      </c>
      <c r="Y68" s="164">
        <v>172.40299999999999</v>
      </c>
      <c r="Z68" s="164">
        <v>17.286999999999999</v>
      </c>
      <c r="AA68" s="172">
        <v>35.454999999999998</v>
      </c>
      <c r="AB68" s="163">
        <f t="shared" si="7"/>
        <v>312.82991000000004</v>
      </c>
      <c r="AC68" s="163">
        <f t="shared" si="4"/>
        <v>223.69791000000004</v>
      </c>
      <c r="AE68" s="169">
        <f t="shared" si="10"/>
        <v>1.039999999999992</v>
      </c>
      <c r="AF68" s="169">
        <f t="shared" si="13"/>
        <v>-22.194000000000003</v>
      </c>
      <c r="AG68" s="169">
        <f t="shared" si="13"/>
        <v>-3.4500000000000028</v>
      </c>
      <c r="AI68" s="165">
        <f t="shared" si="1"/>
        <v>1.0457815852831867</v>
      </c>
      <c r="AJ68" s="165">
        <f t="shared" si="5"/>
        <v>1.0463903652984838</v>
      </c>
    </row>
    <row r="69" spans="1:36" s="156" customFormat="1" ht="12">
      <c r="A69" s="160">
        <v>43952</v>
      </c>
      <c r="B69" s="161">
        <f t="shared" si="2"/>
        <v>353.82499999999999</v>
      </c>
      <c r="C69" s="164">
        <v>3.992</v>
      </c>
      <c r="D69" s="164">
        <v>299.93400000000003</v>
      </c>
      <c r="E69" s="164">
        <v>255.61699999999999</v>
      </c>
      <c r="F69" s="164">
        <v>44.317</v>
      </c>
      <c r="G69" s="164">
        <v>12.281000000000001</v>
      </c>
      <c r="H69" s="164">
        <v>37.618000000000002</v>
      </c>
      <c r="I69" s="166">
        <v>2047</v>
      </c>
      <c r="J69" s="164">
        <v>81.971000000000004</v>
      </c>
      <c r="K69" s="164">
        <v>104.898</v>
      </c>
      <c r="L69" s="164">
        <v>205.75</v>
      </c>
      <c r="M69" s="164">
        <v>1233.6079999999999</v>
      </c>
      <c r="N69" s="164">
        <v>696.15200000000004</v>
      </c>
      <c r="O69" s="164">
        <v>242.26400000000001</v>
      </c>
      <c r="P69" s="164">
        <v>64.2</v>
      </c>
      <c r="Q69" s="164">
        <v>291.06400000000002</v>
      </c>
      <c r="R69" s="164">
        <v>91.013000000000005</v>
      </c>
      <c r="S69" s="163">
        <f t="shared" si="8"/>
        <v>49.161000000000001</v>
      </c>
      <c r="T69" s="164">
        <v>224.69499999999999</v>
      </c>
      <c r="U69" s="164">
        <v>177.596</v>
      </c>
      <c r="V69" s="164">
        <v>156.44200000000001</v>
      </c>
      <c r="W69" s="164">
        <v>151.91399999999999</v>
      </c>
      <c r="X69" s="168">
        <f t="shared" si="9"/>
        <v>2.8943634062464141E-2</v>
      </c>
      <c r="Y69" s="164">
        <v>156.899</v>
      </c>
      <c r="Z69" s="171">
        <f>FORECAST(AA69,Z57:Z68,AA57:AA68)-10</f>
        <v>20.843573724653268</v>
      </c>
      <c r="AA69" s="172">
        <v>32.862000000000002</v>
      </c>
      <c r="AB69" s="163">
        <f t="shared" si="7"/>
        <v>387.0167800000001</v>
      </c>
      <c r="AC69" s="163">
        <f t="shared" si="4"/>
        <v>282.11878000000013</v>
      </c>
      <c r="AE69" s="169">
        <f t="shared" si="10"/>
        <v>-21.663000000000011</v>
      </c>
      <c r="AF69" s="169">
        <f t="shared" si="13"/>
        <v>3.5565737246532692</v>
      </c>
      <c r="AG69" s="169">
        <f t="shared" si="13"/>
        <v>-2.5929999999999964</v>
      </c>
      <c r="AI69" s="165">
        <f t="shared" ref="AI69:AI96" si="14">AC69/E69</f>
        <v>1.1036776896685281</v>
      </c>
      <c r="AJ69" s="165">
        <f t="shared" si="5"/>
        <v>1.0938084646364732</v>
      </c>
    </row>
    <row r="70" spans="1:36" s="156" customFormat="1" ht="12">
      <c r="A70" s="160">
        <v>43983</v>
      </c>
      <c r="B70" s="161">
        <f t="shared" si="2"/>
        <v>431.88599999999997</v>
      </c>
      <c r="C70" s="164">
        <v>3.649</v>
      </c>
      <c r="D70" s="164">
        <v>379.21600000000001</v>
      </c>
      <c r="E70" s="164">
        <v>337.66500000000002</v>
      </c>
      <c r="F70" s="164">
        <v>41.551000000000002</v>
      </c>
      <c r="G70" s="164">
        <v>9.3059999999999992</v>
      </c>
      <c r="H70" s="164">
        <v>39.715000000000003</v>
      </c>
      <c r="I70" s="166">
        <v>1286</v>
      </c>
      <c r="J70" s="164">
        <v>86.247</v>
      </c>
      <c r="K70" s="164">
        <v>135.72</v>
      </c>
      <c r="L70" s="164">
        <v>268.20100000000002</v>
      </c>
      <c r="M70" s="164">
        <v>1664.1310000000001</v>
      </c>
      <c r="N70" s="164">
        <v>823.71799999999996</v>
      </c>
      <c r="O70" s="164">
        <v>309.98099999999999</v>
      </c>
      <c r="P70" s="164">
        <v>65.113</v>
      </c>
      <c r="Q70" s="164">
        <v>294.07400000000001</v>
      </c>
      <c r="R70" s="164">
        <v>90.257000000000005</v>
      </c>
      <c r="S70" s="163">
        <f t="shared" si="8"/>
        <v>48.759599999999999</v>
      </c>
      <c r="T70" s="164">
        <v>244.09700000000001</v>
      </c>
      <c r="U70" s="164">
        <v>158.267</v>
      </c>
      <c r="V70" s="164">
        <v>161.899</v>
      </c>
      <c r="W70" s="164">
        <v>156.803</v>
      </c>
      <c r="X70" s="168">
        <f t="shared" si="9"/>
        <v>3.1476414307685663E-2</v>
      </c>
      <c r="Y70" s="164">
        <v>156.512</v>
      </c>
      <c r="Z70" s="164">
        <v>23.369</v>
      </c>
      <c r="AA70" s="172">
        <v>32.835000000000001</v>
      </c>
      <c r="AB70" s="163">
        <f t="shared" si="7"/>
        <v>402.76218999999998</v>
      </c>
      <c r="AC70" s="163">
        <f t="shared" ref="AC70:AC90" si="15">AB70-K70</f>
        <v>267.04219000000001</v>
      </c>
      <c r="AE70" s="169">
        <f t="shared" si="10"/>
        <v>4.88900000000001</v>
      </c>
      <c r="AF70" s="169">
        <f t="shared" si="13"/>
        <v>2.5254262753467316</v>
      </c>
      <c r="AG70" s="169">
        <f t="shared" si="13"/>
        <v>-2.7000000000001023E-2</v>
      </c>
      <c r="AI70" s="165">
        <f t="shared" si="14"/>
        <v>0.79084948099447672</v>
      </c>
      <c r="AJ70" s="165">
        <f t="shared" ref="AJ70:AJ125" si="16">AB70/B70</f>
        <v>0.93256597805902486</v>
      </c>
    </row>
    <row r="71" spans="1:36" s="156" customFormat="1" ht="12">
      <c r="A71" s="160">
        <v>44013</v>
      </c>
      <c r="B71" s="161">
        <f t="shared" si="2"/>
        <v>477</v>
      </c>
      <c r="C71" s="164">
        <v>3.2469999999999999</v>
      </c>
      <c r="D71" s="164">
        <v>424.05399999999997</v>
      </c>
      <c r="E71" s="164">
        <v>379.06299999999999</v>
      </c>
      <c r="F71" s="164">
        <v>44.991</v>
      </c>
      <c r="G71" s="164">
        <v>9.01</v>
      </c>
      <c r="H71" s="164">
        <v>40.689</v>
      </c>
      <c r="I71" s="166">
        <v>926</v>
      </c>
      <c r="J71" s="164">
        <v>87.911000000000001</v>
      </c>
      <c r="K71" s="164">
        <v>150.11699999999999</v>
      </c>
      <c r="L71" s="164">
        <v>335.52100000000002</v>
      </c>
      <c r="M71" s="164">
        <v>1865.1310000000001</v>
      </c>
      <c r="N71" s="164">
        <v>851.81</v>
      </c>
      <c r="O71" s="164">
        <v>375.041</v>
      </c>
      <c r="P71" s="164">
        <v>65.831000000000003</v>
      </c>
      <c r="Q71" s="164">
        <v>305.19600000000003</v>
      </c>
      <c r="R71" s="164">
        <v>93.578000000000003</v>
      </c>
      <c r="S71" s="163">
        <f t="shared" si="8"/>
        <v>51.408000000000001</v>
      </c>
      <c r="T71" s="164">
        <v>264.77800000000002</v>
      </c>
      <c r="U71" s="164">
        <v>165.84800000000001</v>
      </c>
      <c r="V71" s="164">
        <v>164.226</v>
      </c>
      <c r="W71" s="164">
        <v>158.822</v>
      </c>
      <c r="X71" s="168">
        <f t="shared" si="9"/>
        <v>3.2905873613191527E-2</v>
      </c>
      <c r="Y71" s="164">
        <v>155.14699999999999</v>
      </c>
      <c r="Z71" s="164">
        <v>22.285</v>
      </c>
      <c r="AA71" s="172">
        <v>35.72</v>
      </c>
      <c r="AB71" s="163">
        <f t="shared" si="7"/>
        <v>432.87205000000006</v>
      </c>
      <c r="AC71" s="163">
        <f t="shared" si="15"/>
        <v>282.7550500000001</v>
      </c>
      <c r="AE71" s="169">
        <f t="shared" si="10"/>
        <v>2.0190000000000055</v>
      </c>
      <c r="AF71" s="169">
        <f t="shared" si="13"/>
        <v>-1.0839999999999996</v>
      </c>
      <c r="AG71" s="169">
        <f t="shared" si="13"/>
        <v>2.884999999999998</v>
      </c>
      <c r="AI71" s="165">
        <f t="shared" si="14"/>
        <v>0.74593154699878417</v>
      </c>
      <c r="AJ71" s="165">
        <f t="shared" si="16"/>
        <v>0.90748857442348019</v>
      </c>
    </row>
    <row r="72" spans="1:36" s="156" customFormat="1" ht="12">
      <c r="A72" s="160">
        <v>44044</v>
      </c>
      <c r="B72" s="161">
        <f t="shared" si="2"/>
        <v>461.96400000000006</v>
      </c>
      <c r="C72" s="164">
        <v>3.2010000000000001</v>
      </c>
      <c r="D72" s="164">
        <v>411.10899999999998</v>
      </c>
      <c r="E72" s="164">
        <v>371.3</v>
      </c>
      <c r="F72" s="164">
        <v>39.808999999999997</v>
      </c>
      <c r="G72" s="164">
        <v>8.9039999999999999</v>
      </c>
      <c r="H72" s="164">
        <v>38.75</v>
      </c>
      <c r="I72" s="174">
        <v>850</v>
      </c>
      <c r="J72" s="164">
        <v>81.213999999999999</v>
      </c>
      <c r="K72" s="164">
        <v>146.00899999999999</v>
      </c>
      <c r="L72" s="164">
        <v>342.654</v>
      </c>
      <c r="M72" s="164">
        <v>1805.45</v>
      </c>
      <c r="N72" s="164">
        <v>926.81200000000001</v>
      </c>
      <c r="O72" s="164">
        <v>373.476</v>
      </c>
      <c r="P72" s="164">
        <v>53.576000000000001</v>
      </c>
      <c r="Q72" s="164">
        <v>260.45299999999997</v>
      </c>
      <c r="R72" s="164">
        <v>86.406000000000006</v>
      </c>
      <c r="S72" s="163">
        <f t="shared" si="8"/>
        <v>47.135399999999997</v>
      </c>
      <c r="T72" s="164">
        <v>252.006</v>
      </c>
      <c r="U72" s="164">
        <v>163.964</v>
      </c>
      <c r="V72" s="164">
        <v>153.79499999999999</v>
      </c>
      <c r="W72" s="164">
        <v>148.511</v>
      </c>
      <c r="X72" s="168">
        <f t="shared" si="9"/>
        <v>3.4357423843427881E-2</v>
      </c>
      <c r="Y72" s="164">
        <v>147.95400000000001</v>
      </c>
      <c r="Z72" s="164">
        <v>52.994999999999997</v>
      </c>
      <c r="AA72" s="172">
        <v>36.011000000000003</v>
      </c>
      <c r="AB72" s="163">
        <f t="shared" si="7"/>
        <v>424.66300999999999</v>
      </c>
      <c r="AC72" s="163">
        <f t="shared" si="15"/>
        <v>278.65400999999997</v>
      </c>
      <c r="AE72" s="169">
        <f t="shared" si="10"/>
        <v>-10.311000000000007</v>
      </c>
      <c r="AF72" s="169">
        <f t="shared" si="13"/>
        <v>30.709999999999997</v>
      </c>
      <c r="AG72" s="169">
        <f t="shared" si="13"/>
        <v>0.29100000000000392</v>
      </c>
      <c r="AI72" s="165">
        <f t="shared" si="14"/>
        <v>0.75048211688661448</v>
      </c>
      <c r="AJ72" s="165">
        <f t="shared" si="16"/>
        <v>0.91925563463819682</v>
      </c>
    </row>
    <row r="73" spans="1:36" s="156" customFormat="1" ht="12">
      <c r="A73" s="160">
        <v>44075</v>
      </c>
      <c r="B73" s="161">
        <f t="shared" si="2"/>
        <v>450.55200000000002</v>
      </c>
      <c r="C73" s="164">
        <v>3.8620000000000001</v>
      </c>
      <c r="D73" s="164">
        <v>401.53199999999998</v>
      </c>
      <c r="E73" s="164">
        <v>361.48500000000001</v>
      </c>
      <c r="F73" s="164">
        <v>40.046999999999997</v>
      </c>
      <c r="G73" s="164">
        <v>6.4050000000000002</v>
      </c>
      <c r="H73" s="164">
        <v>38.753</v>
      </c>
      <c r="I73" s="174">
        <v>800</v>
      </c>
      <c r="J73" s="164">
        <v>77.293999999999997</v>
      </c>
      <c r="K73" s="164">
        <v>140.46799999999999</v>
      </c>
      <c r="L73" s="164">
        <v>341.15600000000001</v>
      </c>
      <c r="M73" s="164">
        <v>1736.318</v>
      </c>
      <c r="N73" s="164">
        <v>961.69500000000005</v>
      </c>
      <c r="O73" s="164">
        <v>403.60300000000001</v>
      </c>
      <c r="P73" s="164">
        <v>50.401000000000003</v>
      </c>
      <c r="Q73" s="164">
        <v>284.40899999999999</v>
      </c>
      <c r="R73" s="164">
        <v>85.347999999999999</v>
      </c>
      <c r="S73" s="163">
        <f t="shared" si="8"/>
        <v>47.279999999999994</v>
      </c>
      <c r="T73" s="164">
        <v>251.19900000000001</v>
      </c>
      <c r="U73" s="164">
        <v>158.1</v>
      </c>
      <c r="V73" s="164">
        <v>162.083</v>
      </c>
      <c r="W73" s="164">
        <v>156.06399999999999</v>
      </c>
      <c r="X73" s="168">
        <f t="shared" si="9"/>
        <v>3.7135294879783842E-2</v>
      </c>
      <c r="Y73" s="164">
        <v>143.52199999999999</v>
      </c>
      <c r="Z73" s="164">
        <v>48.703000000000003</v>
      </c>
      <c r="AA73" s="172">
        <v>53.292000000000002</v>
      </c>
      <c r="AB73" s="163">
        <f t="shared" si="7"/>
        <v>409.03816</v>
      </c>
      <c r="AC73" s="163">
        <f t="shared" si="15"/>
        <v>268.57015999999999</v>
      </c>
      <c r="AE73" s="169">
        <f t="shared" si="10"/>
        <v>7.5529999999999973</v>
      </c>
      <c r="AF73" s="169">
        <f t="shared" si="13"/>
        <v>-4.2919999999999945</v>
      </c>
      <c r="AG73" s="169">
        <f t="shared" si="13"/>
        <v>17.280999999999999</v>
      </c>
      <c r="AI73" s="165">
        <f t="shared" si="14"/>
        <v>0.74296349779382265</v>
      </c>
      <c r="AJ73" s="165">
        <f t="shared" si="16"/>
        <v>0.90786004723095226</v>
      </c>
    </row>
    <row r="74" spans="1:36" s="156" customFormat="1" ht="12">
      <c r="A74" s="160">
        <v>44105</v>
      </c>
      <c r="B74" s="161">
        <f t="shared" si="2"/>
        <v>482.80700000000002</v>
      </c>
      <c r="C74" s="164">
        <v>3.3010000000000002</v>
      </c>
      <c r="D74" s="164">
        <v>434.16699999999997</v>
      </c>
      <c r="E74" s="164">
        <v>389.346</v>
      </c>
      <c r="F74" s="164">
        <v>44.820999999999998</v>
      </c>
      <c r="G74" s="164">
        <v>7.0529999999999999</v>
      </c>
      <c r="H74" s="164">
        <v>38.286000000000001</v>
      </c>
      <c r="I74" s="174">
        <v>800</v>
      </c>
      <c r="J74" s="164">
        <v>87.707999999999998</v>
      </c>
      <c r="K74" s="164">
        <v>161.20500000000001</v>
      </c>
      <c r="L74" s="164">
        <v>377.96</v>
      </c>
      <c r="M74" s="164">
        <v>1823.6210000000001</v>
      </c>
      <c r="N74" s="164">
        <v>1008.841</v>
      </c>
      <c r="O74" s="164">
        <v>409.03</v>
      </c>
      <c r="P74" s="164">
        <v>43.241999999999997</v>
      </c>
      <c r="Q74" s="164">
        <v>293.79300000000001</v>
      </c>
      <c r="R74" s="164">
        <v>108.84399999999999</v>
      </c>
      <c r="S74" s="163">
        <f t="shared" si="8"/>
        <v>49.864199999999997</v>
      </c>
      <c r="T74" s="164">
        <v>244.61799999999999</v>
      </c>
      <c r="U74" s="164">
        <v>167.262</v>
      </c>
      <c r="V74" s="164">
        <v>159.68899999999999</v>
      </c>
      <c r="W74" s="164">
        <v>154.065</v>
      </c>
      <c r="X74" s="168">
        <f t="shared" si="9"/>
        <v>3.5218455873604282E-2</v>
      </c>
      <c r="Y74" s="164">
        <v>129.65899999999999</v>
      </c>
      <c r="Z74" s="164">
        <v>51.472999999999999</v>
      </c>
      <c r="AA74" s="172">
        <v>52.677</v>
      </c>
      <c r="AB74" s="163">
        <f t="shared" si="7"/>
        <v>449.99979000000002</v>
      </c>
      <c r="AC74" s="163">
        <f t="shared" si="15"/>
        <v>288.79479000000003</v>
      </c>
      <c r="AE74" s="169">
        <f t="shared" si="10"/>
        <v>-1.9989999999999952</v>
      </c>
      <c r="AF74" s="169">
        <f t="shared" si="13"/>
        <v>2.769999999999996</v>
      </c>
      <c r="AG74" s="169">
        <f t="shared" si="13"/>
        <v>-0.61500000000000199</v>
      </c>
      <c r="AI74" s="165">
        <f t="shared" si="14"/>
        <v>0.74174330800881483</v>
      </c>
      <c r="AJ74" s="165">
        <f t="shared" si="16"/>
        <v>0.93204901751631608</v>
      </c>
    </row>
    <row r="75" spans="1:36" s="156" customFormat="1" ht="12">
      <c r="A75" s="160">
        <v>44136</v>
      </c>
      <c r="B75" s="161">
        <f t="shared" si="2"/>
        <v>480.64499999999998</v>
      </c>
      <c r="C75" s="164">
        <v>3.952</v>
      </c>
      <c r="D75" s="164">
        <v>431.661</v>
      </c>
      <c r="E75" s="164">
        <v>389.01600000000002</v>
      </c>
      <c r="F75" s="164">
        <v>42.645000000000003</v>
      </c>
      <c r="G75" s="164">
        <v>5.9109999999999996</v>
      </c>
      <c r="H75" s="164">
        <v>39.121000000000002</v>
      </c>
      <c r="I75" s="174">
        <v>750</v>
      </c>
      <c r="J75" s="164">
        <v>73.802999999999997</v>
      </c>
      <c r="K75" s="164">
        <v>165.852</v>
      </c>
      <c r="L75" s="164">
        <v>372.899</v>
      </c>
      <c r="M75" s="164">
        <v>1794.0350000000001</v>
      </c>
      <c r="N75" s="164">
        <v>1077.107</v>
      </c>
      <c r="O75" s="164">
        <v>421.779</v>
      </c>
      <c r="P75" s="164">
        <v>53.825000000000003</v>
      </c>
      <c r="Q75" s="164">
        <v>295.358</v>
      </c>
      <c r="R75" s="164">
        <v>108.624</v>
      </c>
      <c r="S75" s="163">
        <f t="shared" si="8"/>
        <v>49.059600000000003</v>
      </c>
      <c r="T75" s="164">
        <v>230.61099999999999</v>
      </c>
      <c r="U75" s="164">
        <v>173.42500000000001</v>
      </c>
      <c r="V75" s="164">
        <v>153.67400000000001</v>
      </c>
      <c r="W75" s="164">
        <v>148.637</v>
      </c>
      <c r="X75" s="168">
        <f>-1*(W75/V75-1)</f>
        <v>3.2777177661803547E-2</v>
      </c>
      <c r="Y75" s="164">
        <v>132.53299999999999</v>
      </c>
      <c r="Z75" s="164">
        <v>64.679000000000002</v>
      </c>
      <c r="AA75" s="172">
        <v>60.8</v>
      </c>
      <c r="AB75" s="163">
        <f t="shared" si="7"/>
        <v>464.8094900000001</v>
      </c>
      <c r="AC75" s="163">
        <f t="shared" si="15"/>
        <v>298.95749000000012</v>
      </c>
      <c r="AE75" s="169">
        <f t="shared" si="10"/>
        <v>-5.4279999999999973</v>
      </c>
      <c r="AF75" s="169">
        <f t="shared" ref="AF75:AG90" si="17">Z75-Z74</f>
        <v>13.206000000000003</v>
      </c>
      <c r="AG75" s="169">
        <f t="shared" si="17"/>
        <v>8.1229999999999976</v>
      </c>
      <c r="AI75" s="165">
        <f t="shared" si="14"/>
        <v>0.76849664281160701</v>
      </c>
      <c r="AJ75" s="165">
        <f t="shared" si="16"/>
        <v>0.96705362585692167</v>
      </c>
    </row>
    <row r="76" spans="1:36" s="156" customFormat="1" ht="12">
      <c r="A76" s="160">
        <v>44166</v>
      </c>
      <c r="B76" s="161">
        <f t="shared" si="2"/>
        <v>479.726</v>
      </c>
      <c r="C76" s="164">
        <v>3.7160000000000002</v>
      </c>
      <c r="D76" s="164">
        <v>431.73099999999999</v>
      </c>
      <c r="E76" s="164">
        <v>388.22800000000001</v>
      </c>
      <c r="F76" s="164">
        <v>43.503</v>
      </c>
      <c r="G76" s="164">
        <v>6.3310000000000004</v>
      </c>
      <c r="H76" s="164">
        <v>37.948</v>
      </c>
      <c r="I76" s="174">
        <v>700</v>
      </c>
      <c r="J76" s="164">
        <v>74.497</v>
      </c>
      <c r="K76" s="164">
        <v>160.25899999999999</v>
      </c>
      <c r="L76" s="164">
        <v>364.53199999999998</v>
      </c>
      <c r="M76" s="164">
        <v>1787.124</v>
      </c>
      <c r="N76" s="164">
        <v>1094.5989999999999</v>
      </c>
      <c r="O76" s="164">
        <v>435.64800000000002</v>
      </c>
      <c r="P76" s="164">
        <v>47.715000000000003</v>
      </c>
      <c r="Q76" s="164">
        <v>309.298</v>
      </c>
      <c r="R76" s="164">
        <v>113.754</v>
      </c>
      <c r="S76" s="163">
        <f t="shared" si="8"/>
        <v>48.870599999999996</v>
      </c>
      <c r="T76" s="164">
        <v>185.18700000000001</v>
      </c>
      <c r="U76" s="164">
        <v>170.91</v>
      </c>
      <c r="V76" s="164">
        <v>164.34</v>
      </c>
      <c r="W76" s="164">
        <v>161.91999999999999</v>
      </c>
      <c r="X76" s="168">
        <f t="shared" si="9"/>
        <v>1.4725568942436484E-2</v>
      </c>
      <c r="Y76" s="171">
        <f>FORECAST(W76,Y64:Y75,W64:W75)</f>
        <v>156.42558417894949</v>
      </c>
      <c r="Z76" s="164">
        <v>61.02</v>
      </c>
      <c r="AA76" s="172">
        <v>78.915000000000006</v>
      </c>
      <c r="AB76" s="163">
        <f t="shared" si="7"/>
        <v>453.70152999999999</v>
      </c>
      <c r="AC76" s="163">
        <f t="shared" si="15"/>
        <v>293.44253000000003</v>
      </c>
      <c r="AE76" s="169">
        <f t="shared" si="10"/>
        <v>13.282999999999987</v>
      </c>
      <c r="AF76" s="169">
        <f t="shared" si="17"/>
        <v>-3.6589999999999989</v>
      </c>
      <c r="AG76" s="169">
        <f t="shared" si="17"/>
        <v>18.115000000000009</v>
      </c>
      <c r="AI76" s="165">
        <f t="shared" si="14"/>
        <v>0.75585102053432529</v>
      </c>
      <c r="AJ76" s="165">
        <f t="shared" si="16"/>
        <v>0.94575138725022201</v>
      </c>
    </row>
    <row r="77" spans="1:36" s="156" customFormat="1" ht="12">
      <c r="A77" s="160">
        <v>44197</v>
      </c>
      <c r="B77" s="161">
        <f t="shared" si="2"/>
        <v>464.73699999999997</v>
      </c>
      <c r="C77" s="164">
        <v>3.2909999999999999</v>
      </c>
      <c r="D77" s="164">
        <v>414.94799999999998</v>
      </c>
      <c r="E77" s="164">
        <v>373.56299999999999</v>
      </c>
      <c r="F77" s="164">
        <v>41.27</v>
      </c>
      <c r="G77" s="164">
        <v>7.3310000000000004</v>
      </c>
      <c r="H77" s="164">
        <v>39.281999999999996</v>
      </c>
      <c r="I77" s="174">
        <v>650</v>
      </c>
      <c r="J77" s="164">
        <v>79.61</v>
      </c>
      <c r="K77" s="164">
        <v>148.52699999999999</v>
      </c>
      <c r="L77" s="164">
        <v>342.55700000000002</v>
      </c>
      <c r="M77" s="164">
        <v>1753.4010000000001</v>
      </c>
      <c r="N77" s="164">
        <v>1042.6600000000001</v>
      </c>
      <c r="O77" s="164">
        <v>415.85700000000003</v>
      </c>
      <c r="P77" s="164">
        <v>53.241999999999997</v>
      </c>
      <c r="Q77" s="164">
        <v>282.16300000000001</v>
      </c>
      <c r="R77" s="164">
        <v>116.178</v>
      </c>
      <c r="S77" s="163">
        <f t="shared" si="8"/>
        <v>48.331199999999995</v>
      </c>
      <c r="T77" s="164">
        <v>214.62299999999999</v>
      </c>
      <c r="U77" s="164">
        <v>170.09899999999999</v>
      </c>
      <c r="V77" s="164">
        <v>190.988</v>
      </c>
      <c r="W77" s="164">
        <v>188.38900000000001</v>
      </c>
      <c r="X77" s="168">
        <f t="shared" si="9"/>
        <v>1.360818480742243E-2</v>
      </c>
      <c r="Y77" s="164">
        <v>180.999</v>
      </c>
      <c r="Z77" s="164">
        <v>56.075000000000003</v>
      </c>
      <c r="AA77" s="172">
        <v>63.176000000000002</v>
      </c>
      <c r="AB77" s="163">
        <f t="shared" si="7"/>
        <v>436.51762000000002</v>
      </c>
      <c r="AC77" s="163">
        <f t="shared" si="15"/>
        <v>287.99062000000004</v>
      </c>
      <c r="AE77" s="169">
        <f t="shared" si="10"/>
        <v>26.469000000000023</v>
      </c>
      <c r="AF77" s="169">
        <f t="shared" si="17"/>
        <v>-4.9450000000000003</v>
      </c>
      <c r="AG77" s="169">
        <f t="shared" si="17"/>
        <v>-15.739000000000004</v>
      </c>
      <c r="AI77" s="165">
        <f t="shared" si="14"/>
        <v>0.77092918731244808</v>
      </c>
      <c r="AJ77" s="165">
        <f t="shared" si="16"/>
        <v>0.93927881791206647</v>
      </c>
    </row>
    <row r="78" spans="1:36" s="156" customFormat="1" ht="12">
      <c r="A78" s="160">
        <v>44228</v>
      </c>
      <c r="B78" s="161">
        <f t="shared" si="2"/>
        <v>374.214</v>
      </c>
      <c r="C78" s="164">
        <v>2.7549999999999999</v>
      </c>
      <c r="D78" s="164">
        <v>334.22899999999998</v>
      </c>
      <c r="E78" s="164">
        <v>300.49</v>
      </c>
      <c r="F78" s="164">
        <v>30.263000000000002</v>
      </c>
      <c r="G78" s="164">
        <v>6.6840000000000002</v>
      </c>
      <c r="H78" s="164">
        <v>34.021999999999998</v>
      </c>
      <c r="I78" s="174">
        <v>600</v>
      </c>
      <c r="J78" s="164">
        <v>92.525000000000006</v>
      </c>
      <c r="K78" s="164">
        <v>117.90300000000001</v>
      </c>
      <c r="L78" s="164">
        <v>262.26100000000002</v>
      </c>
      <c r="M78" s="164">
        <v>1406.4269999999999</v>
      </c>
      <c r="N78" s="164">
        <v>885.93200000000002</v>
      </c>
      <c r="O78" s="164">
        <v>377.68799999999999</v>
      </c>
      <c r="P78" s="164">
        <v>44.415999999999997</v>
      </c>
      <c r="Q78" s="164">
        <v>217.60499999999999</v>
      </c>
      <c r="R78" s="164">
        <v>97.68</v>
      </c>
      <c r="S78" s="163">
        <f t="shared" si="8"/>
        <v>38.570999999999998</v>
      </c>
      <c r="T78" s="164">
        <v>169.005</v>
      </c>
      <c r="U78" s="164">
        <v>136.172</v>
      </c>
      <c r="V78" s="164">
        <v>130.64099999999999</v>
      </c>
      <c r="W78" s="164">
        <v>127.505</v>
      </c>
      <c r="X78" s="168">
        <f t="shared" si="9"/>
        <v>2.4004715211916605E-2</v>
      </c>
      <c r="Y78" s="164">
        <v>119.626</v>
      </c>
      <c r="Z78" s="164">
        <v>64.953000000000003</v>
      </c>
      <c r="AA78" s="172">
        <v>59.692</v>
      </c>
      <c r="AB78" s="163">
        <f t="shared" si="7"/>
        <v>348.08275000000003</v>
      </c>
      <c r="AC78" s="163">
        <f t="shared" si="15"/>
        <v>230.17975000000001</v>
      </c>
      <c r="AE78" s="169">
        <f t="shared" si="10"/>
        <v>-60.884000000000015</v>
      </c>
      <c r="AF78" s="169">
        <f t="shared" si="17"/>
        <v>8.8780000000000001</v>
      </c>
      <c r="AG78" s="169">
        <f t="shared" si="17"/>
        <v>-3.4840000000000018</v>
      </c>
      <c r="AI78" s="165">
        <f t="shared" si="14"/>
        <v>0.76601467602915241</v>
      </c>
      <c r="AJ78" s="165">
        <f t="shared" si="16"/>
        <v>0.93017030362306075</v>
      </c>
    </row>
    <row r="79" spans="1:36" s="156" customFormat="1" ht="12">
      <c r="A79" s="160">
        <v>44256</v>
      </c>
      <c r="B79" s="161">
        <f t="shared" si="2"/>
        <v>472.40099999999995</v>
      </c>
      <c r="C79" s="164">
        <v>3.7210000000000001</v>
      </c>
      <c r="D79" s="164">
        <v>419.625</v>
      </c>
      <c r="E79" s="164">
        <v>383.54399999999998</v>
      </c>
      <c r="F79" s="164">
        <v>35.531999999999996</v>
      </c>
      <c r="G79" s="164">
        <v>7.4450000000000003</v>
      </c>
      <c r="H79" s="164">
        <v>42.158999999999999</v>
      </c>
      <c r="I79" s="174">
        <v>400</v>
      </c>
      <c r="J79" s="164">
        <v>90.53</v>
      </c>
      <c r="K79" s="164">
        <v>156.90299999999999</v>
      </c>
      <c r="L79" s="164">
        <v>368.07499999999999</v>
      </c>
      <c r="M79" s="164">
        <v>1803.4939999999999</v>
      </c>
      <c r="N79" s="164">
        <v>1114.039</v>
      </c>
      <c r="O79" s="164">
        <v>391.91300000000001</v>
      </c>
      <c r="P79" s="164">
        <v>50.088000000000001</v>
      </c>
      <c r="Q79" s="164">
        <v>266.30799999999999</v>
      </c>
      <c r="R79" s="164">
        <v>113.36499999999999</v>
      </c>
      <c r="S79" s="163">
        <f t="shared" si="8"/>
        <v>46.614600000000003</v>
      </c>
      <c r="T79" s="164">
        <v>206.83099999999999</v>
      </c>
      <c r="U79" s="164">
        <v>166.495</v>
      </c>
      <c r="V79" s="164">
        <v>169.96199999999999</v>
      </c>
      <c r="W79" s="164">
        <v>167.11</v>
      </c>
      <c r="X79" s="168">
        <f t="shared" si="9"/>
        <v>1.6780221461267675E-2</v>
      </c>
      <c r="Y79" s="171">
        <f>FORECAST(W79,Y67:Y78,W67:W78)</f>
        <v>163.32748226524254</v>
      </c>
      <c r="Z79" s="164">
        <v>61.298000000000002</v>
      </c>
      <c r="AA79" s="172">
        <v>59.37</v>
      </c>
      <c r="AB79" s="163">
        <f t="shared" si="7"/>
        <v>443.05526000000009</v>
      </c>
      <c r="AC79" s="163">
        <f t="shared" si="15"/>
        <v>286.15226000000007</v>
      </c>
      <c r="AE79" s="169">
        <f t="shared" si="10"/>
        <v>39.605000000000018</v>
      </c>
      <c r="AF79" s="169">
        <f t="shared" si="17"/>
        <v>-3.6550000000000011</v>
      </c>
      <c r="AG79" s="169">
        <f t="shared" si="17"/>
        <v>-0.32200000000000273</v>
      </c>
      <c r="AI79" s="165">
        <f t="shared" si="14"/>
        <v>0.74607414012473172</v>
      </c>
      <c r="AJ79" s="165">
        <f t="shared" si="16"/>
        <v>0.93787959805334897</v>
      </c>
    </row>
    <row r="80" spans="1:36" s="156" customFormat="1" ht="12">
      <c r="A80" s="160">
        <v>44287</v>
      </c>
      <c r="B80" s="161">
        <f t="shared" ref="B80:B126" si="18">C80+SUM(E80:H80)</f>
        <v>502.55500000000006</v>
      </c>
      <c r="C80" s="164">
        <v>3.6579999999999999</v>
      </c>
      <c r="D80" s="164">
        <v>407.524</v>
      </c>
      <c r="E80" s="164">
        <v>411.55900000000003</v>
      </c>
      <c r="F80" s="164">
        <v>37.305</v>
      </c>
      <c r="G80" s="164">
        <v>6.516</v>
      </c>
      <c r="H80" s="164">
        <v>43.517000000000003</v>
      </c>
      <c r="I80" s="174">
        <v>300</v>
      </c>
      <c r="J80" s="164">
        <v>86.073999999999998</v>
      </c>
      <c r="K80" s="164">
        <v>149.43100000000001</v>
      </c>
      <c r="L80" s="164">
        <v>342.87</v>
      </c>
      <c r="M80" s="164">
        <v>1768.002</v>
      </c>
      <c r="N80" s="164">
        <v>1078.944</v>
      </c>
      <c r="O80" s="164">
        <v>373.09</v>
      </c>
      <c r="P80" s="164">
        <v>63.567999999999998</v>
      </c>
      <c r="Q80" s="164">
        <v>291.55799999999999</v>
      </c>
      <c r="R80" s="164">
        <v>113.905</v>
      </c>
      <c r="S80" s="163">
        <f t="shared" si="8"/>
        <v>48.493200000000002</v>
      </c>
      <c r="T80" s="164">
        <v>202.49100000000001</v>
      </c>
      <c r="U80" s="164">
        <v>158.56299999999999</v>
      </c>
      <c r="V80" s="164">
        <v>145.488</v>
      </c>
      <c r="W80" s="164">
        <v>142.77600000000001</v>
      </c>
      <c r="X80" s="168">
        <f t="shared" si="9"/>
        <v>1.864071263609357E-2</v>
      </c>
      <c r="Y80" s="171">
        <f>FORECAST(W80,Y68:Y79,W68:W79)</f>
        <v>135.21753653612978</v>
      </c>
      <c r="Z80" s="164">
        <v>65.89</v>
      </c>
      <c r="AA80" s="172">
        <v>66.926000000000002</v>
      </c>
      <c r="AB80" s="163">
        <f t="shared" si="7"/>
        <v>421.9517800000001</v>
      </c>
      <c r="AC80" s="163">
        <f t="shared" si="15"/>
        <v>272.52078000000006</v>
      </c>
      <c r="AE80" s="169">
        <f t="shared" si="10"/>
        <v>-24.334000000000003</v>
      </c>
      <c r="AF80" s="169">
        <f t="shared" si="17"/>
        <v>4.5919999999999987</v>
      </c>
      <c r="AG80" s="169">
        <f t="shared" si="17"/>
        <v>7.5560000000000045</v>
      </c>
      <c r="AI80" s="165">
        <f t="shared" si="14"/>
        <v>0.66216697970400362</v>
      </c>
      <c r="AJ80" s="165">
        <f t="shared" si="16"/>
        <v>0.83961313687059136</v>
      </c>
    </row>
    <row r="81" spans="1:36" s="156" customFormat="1" ht="12">
      <c r="A81" s="160">
        <v>44317</v>
      </c>
      <c r="B81" s="161">
        <f t="shared" si="18"/>
        <v>494.76100000000002</v>
      </c>
      <c r="C81" s="164">
        <v>3.8519999999999999</v>
      </c>
      <c r="D81" s="164">
        <v>448.86399999999998</v>
      </c>
      <c r="E81" s="164">
        <v>402.74299999999999</v>
      </c>
      <c r="F81" s="164">
        <v>36.662999999999997</v>
      </c>
      <c r="G81" s="164">
        <v>7.0110000000000001</v>
      </c>
      <c r="H81" s="164">
        <v>44.491999999999997</v>
      </c>
      <c r="I81" s="166">
        <v>115.10999999999999</v>
      </c>
      <c r="J81" s="164">
        <v>95.299000000000007</v>
      </c>
      <c r="K81" s="164">
        <v>168.904</v>
      </c>
      <c r="L81" s="164">
        <v>380.62</v>
      </c>
      <c r="M81" s="164">
        <v>1942.7619999999999</v>
      </c>
      <c r="N81" s="164">
        <v>1084.2380000000001</v>
      </c>
      <c r="O81" s="164">
        <v>344.779</v>
      </c>
      <c r="P81" s="164">
        <v>64.606999999999999</v>
      </c>
      <c r="Q81" s="164">
        <v>299.12299999999999</v>
      </c>
      <c r="R81" s="164">
        <v>114.13500000000001</v>
      </c>
      <c r="S81" s="163">
        <f t="shared" si="8"/>
        <v>48.692999999999998</v>
      </c>
      <c r="T81" s="164">
        <v>208.57499999999999</v>
      </c>
      <c r="U81" s="164">
        <v>167.108</v>
      </c>
      <c r="V81" s="164">
        <v>156.602</v>
      </c>
      <c r="W81" s="164">
        <v>153.47300000000001</v>
      </c>
      <c r="X81" s="168">
        <f t="shared" si="9"/>
        <v>1.9980587731957433E-2</v>
      </c>
      <c r="Y81" s="171">
        <f>FORECAST(W81,Y69:Y80,W69:W80)</f>
        <v>146.354051556569</v>
      </c>
      <c r="Z81" s="164">
        <v>68.650999999999996</v>
      </c>
      <c r="AA81" s="172">
        <v>77.664000000000001</v>
      </c>
      <c r="AB81" s="163">
        <f t="shared" si="7"/>
        <v>460.33644000000004</v>
      </c>
      <c r="AC81" s="163">
        <f t="shared" si="15"/>
        <v>291.43244000000004</v>
      </c>
      <c r="AE81" s="169">
        <f t="shared" si="10"/>
        <v>10.697000000000003</v>
      </c>
      <c r="AF81" s="169">
        <f t="shared" si="17"/>
        <v>2.7609999999999957</v>
      </c>
      <c r="AG81" s="169">
        <f t="shared" si="17"/>
        <v>10.738</v>
      </c>
      <c r="AI81" s="165">
        <f t="shared" si="14"/>
        <v>0.72361888350635528</v>
      </c>
      <c r="AJ81" s="165">
        <f t="shared" si="16"/>
        <v>0.93042184003993855</v>
      </c>
    </row>
    <row r="82" spans="1:36" s="156" customFormat="1" ht="12">
      <c r="A82" s="160">
        <v>44348</v>
      </c>
      <c r="B82" s="161">
        <f t="shared" si="18"/>
        <v>502.17</v>
      </c>
      <c r="C82" s="164">
        <v>3.7080000000000002</v>
      </c>
      <c r="D82" s="164">
        <v>439.99799999999999</v>
      </c>
      <c r="E82" s="164">
        <v>411.04199999999997</v>
      </c>
      <c r="F82" s="164">
        <v>39.295000000000002</v>
      </c>
      <c r="G82" s="164">
        <v>6.2439999999999998</v>
      </c>
      <c r="H82" s="164">
        <v>41.881</v>
      </c>
      <c r="I82" s="166">
        <v>355.96</v>
      </c>
      <c r="J82" s="164">
        <v>102.483</v>
      </c>
      <c r="K82" s="164">
        <v>171.34399999999999</v>
      </c>
      <c r="L82" s="164">
        <v>370.69400000000002</v>
      </c>
      <c r="M82" s="164">
        <v>1925.037</v>
      </c>
      <c r="N82" s="164">
        <v>1114.2</v>
      </c>
      <c r="O82" s="164">
        <v>411.9</v>
      </c>
      <c r="P82" s="164">
        <v>56.402999999999999</v>
      </c>
      <c r="Q82" s="164">
        <v>287.839</v>
      </c>
      <c r="R82" s="164">
        <v>112.18899999999999</v>
      </c>
      <c r="S82" s="163">
        <f t="shared" si="8"/>
        <v>48.705599999999997</v>
      </c>
      <c r="T82" s="164">
        <v>207.751</v>
      </c>
      <c r="U82" s="164">
        <v>157.54</v>
      </c>
      <c r="V82" s="164">
        <v>162.608</v>
      </c>
      <c r="W82" s="164">
        <v>159.40799999999999</v>
      </c>
      <c r="X82" s="168">
        <f t="shared" si="9"/>
        <v>1.9679228574239982E-2</v>
      </c>
      <c r="Y82" s="171">
        <f>FORECAST(W82,Y70:Y81,W70:W81)</f>
        <v>151.55766331644671</v>
      </c>
      <c r="Z82" s="164">
        <v>75.741</v>
      </c>
      <c r="AA82" s="172">
        <v>67.204999999999998</v>
      </c>
      <c r="AB82" s="163">
        <f t="shared" si="7"/>
        <v>450.57108000000005</v>
      </c>
      <c r="AC82" s="163">
        <f t="shared" si="15"/>
        <v>279.22708000000006</v>
      </c>
      <c r="AE82" s="169">
        <f t="shared" si="10"/>
        <v>5.9349999999999739</v>
      </c>
      <c r="AF82" s="169">
        <f t="shared" si="17"/>
        <v>7.0900000000000034</v>
      </c>
      <c r="AG82" s="169">
        <f t="shared" si="17"/>
        <v>-10.459000000000003</v>
      </c>
      <c r="AI82" s="165">
        <f t="shared" si="14"/>
        <v>0.67931520379912536</v>
      </c>
      <c r="AJ82" s="165">
        <f t="shared" si="16"/>
        <v>0.89724810323197335</v>
      </c>
    </row>
    <row r="83" spans="1:36" s="156" customFormat="1" ht="12">
      <c r="A83" s="160">
        <v>44378</v>
      </c>
      <c r="B83" s="161">
        <f t="shared" si="18"/>
        <v>520.12800000000004</v>
      </c>
      <c r="C83" s="164">
        <v>3.6419999999999999</v>
      </c>
      <c r="D83" s="164">
        <v>450.32100000000003</v>
      </c>
      <c r="E83" s="164">
        <v>429.39100000000002</v>
      </c>
      <c r="F83" s="164">
        <v>37.659999999999997</v>
      </c>
      <c r="G83" s="164">
        <v>6.0650000000000004</v>
      </c>
      <c r="H83" s="164">
        <v>43.37</v>
      </c>
      <c r="I83" s="166">
        <v>322.84999999999997</v>
      </c>
      <c r="J83" s="164">
        <v>88.506</v>
      </c>
      <c r="K83" s="164">
        <v>176.71199999999999</v>
      </c>
      <c r="L83" s="164">
        <v>341.13600000000002</v>
      </c>
      <c r="M83" s="164">
        <v>1970.1389999999999</v>
      </c>
      <c r="N83" s="164">
        <v>1122.403</v>
      </c>
      <c r="O83" s="164">
        <v>399.66899999999998</v>
      </c>
      <c r="P83" s="164">
        <v>63.731999999999999</v>
      </c>
      <c r="Q83" s="164">
        <v>304.52699999999999</v>
      </c>
      <c r="R83" s="164">
        <v>103.107</v>
      </c>
      <c r="S83" s="163">
        <f t="shared" si="8"/>
        <v>48.618000000000002</v>
      </c>
      <c r="T83" s="164">
        <v>209.83600000000001</v>
      </c>
      <c r="U83" s="164">
        <v>175.524</v>
      </c>
      <c r="V83" s="164">
        <v>162.08199999999999</v>
      </c>
      <c r="W83" s="164">
        <v>157.494</v>
      </c>
      <c r="X83" s="168">
        <f t="shared" si="9"/>
        <v>2.8306659592058359E-2</v>
      </c>
      <c r="Y83" s="164">
        <v>133.97300000000001</v>
      </c>
      <c r="Z83" s="164">
        <v>94.122</v>
      </c>
      <c r="AA83" s="172">
        <v>76.625</v>
      </c>
      <c r="AB83" s="163">
        <f t="shared" si="7"/>
        <v>482.56332000000003</v>
      </c>
      <c r="AC83" s="163">
        <f t="shared" si="15"/>
        <v>305.85132000000004</v>
      </c>
      <c r="AE83" s="169">
        <f t="shared" si="10"/>
        <v>-1.9139999999999873</v>
      </c>
      <c r="AF83" s="169">
        <f t="shared" si="17"/>
        <v>18.381</v>
      </c>
      <c r="AG83" s="169">
        <f t="shared" si="17"/>
        <v>9.4200000000000017</v>
      </c>
      <c r="AI83" s="165">
        <f t="shared" si="14"/>
        <v>0.71229094228803125</v>
      </c>
      <c r="AJ83" s="165">
        <f t="shared" si="16"/>
        <v>0.92777800849021774</v>
      </c>
    </row>
    <row r="84" spans="1:36" s="156" customFormat="1" ht="12">
      <c r="A84" s="160">
        <v>44409</v>
      </c>
      <c r="B84" s="161">
        <f t="shared" si="18"/>
        <v>531.4</v>
      </c>
      <c r="C84" s="164">
        <v>2.3719999999999999</v>
      </c>
      <c r="D84" s="164">
        <v>416.83600000000001</v>
      </c>
      <c r="E84" s="164">
        <v>439.31200000000001</v>
      </c>
      <c r="F84" s="164">
        <v>38.706000000000003</v>
      </c>
      <c r="G84" s="164">
        <v>7.2910000000000004</v>
      </c>
      <c r="H84" s="164">
        <v>43.719000000000001</v>
      </c>
      <c r="I84" s="166">
        <v>295.19</v>
      </c>
      <c r="J84" s="164">
        <v>76.361000000000004</v>
      </c>
      <c r="K84" s="164">
        <v>168.22399999999999</v>
      </c>
      <c r="L84" s="164">
        <v>295.25400000000002</v>
      </c>
      <c r="M84" s="164">
        <v>1827.3779999999999</v>
      </c>
      <c r="N84" s="164">
        <v>1170.789</v>
      </c>
      <c r="O84" s="164">
        <v>395.05399999999997</v>
      </c>
      <c r="P84" s="164">
        <v>54.576000000000001</v>
      </c>
      <c r="Q84" s="164">
        <v>274.358</v>
      </c>
      <c r="R84" s="164">
        <v>106.05</v>
      </c>
      <c r="S84" s="163">
        <f t="shared" si="8"/>
        <v>49.455000000000005</v>
      </c>
      <c r="T84" s="164">
        <v>205.63399999999999</v>
      </c>
      <c r="U84" s="164">
        <v>138.785</v>
      </c>
      <c r="V84" s="171">
        <f t="shared" ref="V84:V88" si="19">FORECAST(T84,V72:V83,T72:T83)</f>
        <v>157.93184680651606</v>
      </c>
      <c r="W84" s="171">
        <f t="shared" ref="W84:W88" si="20">FORECAST(V84,W72:W83,V72:V83)</f>
        <v>154.03155436704981</v>
      </c>
      <c r="X84" s="168">
        <f t="shared" si="9"/>
        <v>2.4696047810069288E-2</v>
      </c>
      <c r="Y84" s="171">
        <f t="shared" ref="Y84:Y88" si="21">FORECAST(W84,Y72:Y83,W72:W83)</f>
        <v>143.64047779539939</v>
      </c>
      <c r="Z84" s="164">
        <v>81.947999999999993</v>
      </c>
      <c r="AA84" s="172">
        <v>63.618000000000002</v>
      </c>
      <c r="AB84" s="163">
        <f t="shared" si="7"/>
        <v>420.60233000000005</v>
      </c>
      <c r="AC84" s="163">
        <f t="shared" si="15"/>
        <v>252.37833000000006</v>
      </c>
      <c r="AE84" s="169">
        <f t="shared" si="10"/>
        <v>-3.4624456329501925</v>
      </c>
      <c r="AF84" s="169">
        <f t="shared" si="17"/>
        <v>-12.174000000000007</v>
      </c>
      <c r="AG84" s="169">
        <f t="shared" si="17"/>
        <v>-13.006999999999998</v>
      </c>
      <c r="AI84" s="165">
        <f t="shared" si="14"/>
        <v>0.5744853998980225</v>
      </c>
      <c r="AJ84" s="165">
        <f t="shared" si="16"/>
        <v>0.79149855099736555</v>
      </c>
    </row>
    <row r="85" spans="1:36" s="156" customFormat="1" ht="12">
      <c r="A85" s="160">
        <v>44440</v>
      </c>
      <c r="B85" s="161">
        <f t="shared" si="18"/>
        <v>456.72899999999998</v>
      </c>
      <c r="C85" s="164">
        <v>3.4129999999999998</v>
      </c>
      <c r="D85" s="164">
        <v>407.13099999999997</v>
      </c>
      <c r="E85" s="164">
        <v>371.20699999999999</v>
      </c>
      <c r="F85" s="164">
        <v>35.923999999999999</v>
      </c>
      <c r="G85" s="164">
        <v>7.0140000000000002</v>
      </c>
      <c r="H85" s="164">
        <v>39.170999999999999</v>
      </c>
      <c r="I85" s="166">
        <v>269.02999999999997</v>
      </c>
      <c r="J85" s="164">
        <v>85.92</v>
      </c>
      <c r="K85" s="164">
        <v>155.91800000000001</v>
      </c>
      <c r="L85" s="164">
        <v>293.34399999999999</v>
      </c>
      <c r="M85" s="164">
        <v>1761.0340000000001</v>
      </c>
      <c r="N85" s="164">
        <v>1187.941</v>
      </c>
      <c r="O85" s="164">
        <v>423.404</v>
      </c>
      <c r="P85" s="164">
        <v>57.868000000000002</v>
      </c>
      <c r="Q85" s="164">
        <v>280.23200000000003</v>
      </c>
      <c r="R85" s="164">
        <v>106.657</v>
      </c>
      <c r="S85" s="163">
        <f t="shared" si="8"/>
        <v>45.056999999999995</v>
      </c>
      <c r="T85" s="164">
        <v>208.33500000000001</v>
      </c>
      <c r="U85" s="164">
        <v>136.51400000000001</v>
      </c>
      <c r="V85" s="171">
        <f t="shared" si="19"/>
        <v>158.99809416918293</v>
      </c>
      <c r="W85" s="171">
        <f t="shared" si="20"/>
        <v>155.2242525963284</v>
      </c>
      <c r="X85" s="168">
        <f t="shared" si="9"/>
        <v>2.3735137157298025E-2</v>
      </c>
      <c r="Y85" s="171">
        <f t="shared" si="21"/>
        <v>144.01265328987336</v>
      </c>
      <c r="Z85" s="164">
        <v>89.968000000000004</v>
      </c>
      <c r="AA85" s="171">
        <f>FORECAST(Y85,AA73:AA84,Y73:Y84)</f>
        <v>64.932873025272556</v>
      </c>
      <c r="AB85" s="163">
        <f t="shared" si="7"/>
        <v>400.63184000000007</v>
      </c>
      <c r="AC85" s="163">
        <f t="shared" si="15"/>
        <v>244.71384000000006</v>
      </c>
      <c r="AE85" s="169">
        <f t="shared" si="10"/>
        <v>1.1926982292785908</v>
      </c>
      <c r="AF85" s="169">
        <f t="shared" si="17"/>
        <v>8.0200000000000102</v>
      </c>
      <c r="AG85" s="169">
        <f t="shared" si="17"/>
        <v>1.3148730252725542</v>
      </c>
      <c r="AI85" s="165">
        <f t="shared" si="14"/>
        <v>0.65923821479659617</v>
      </c>
      <c r="AJ85" s="165">
        <f t="shared" si="16"/>
        <v>0.87717626864070397</v>
      </c>
    </row>
    <row r="86" spans="1:36" s="156" customFormat="1" ht="12">
      <c r="A86" s="160">
        <v>44470</v>
      </c>
      <c r="B86" s="161">
        <f t="shared" si="18"/>
        <v>519.62900000000002</v>
      </c>
      <c r="C86" s="164">
        <v>3.8370000000000002</v>
      </c>
      <c r="D86" s="164">
        <v>467.952</v>
      </c>
      <c r="E86" s="164">
        <v>427.00099999999998</v>
      </c>
      <c r="F86" s="164">
        <v>40.951000000000001</v>
      </c>
      <c r="G86" s="164">
        <v>6.0919999999999996</v>
      </c>
      <c r="H86" s="164">
        <v>41.747999999999998</v>
      </c>
      <c r="I86" s="166">
        <v>692.52</v>
      </c>
      <c r="J86" s="164">
        <v>95.239000000000004</v>
      </c>
      <c r="K86" s="164">
        <v>183.804</v>
      </c>
      <c r="L86" s="164">
        <v>383.93900000000002</v>
      </c>
      <c r="M86" s="164">
        <v>1948.8119999999999</v>
      </c>
      <c r="N86" s="164">
        <v>1299.3240000000001</v>
      </c>
      <c r="O86" s="164">
        <v>396.74799999999999</v>
      </c>
      <c r="P86" s="164">
        <v>65.635000000000005</v>
      </c>
      <c r="Q86" s="164">
        <v>300.63400000000001</v>
      </c>
      <c r="R86" s="164">
        <v>108.083</v>
      </c>
      <c r="S86" s="163">
        <f t="shared" si="8"/>
        <v>49.619399999999999</v>
      </c>
      <c r="T86" s="164">
        <v>212.45500000000001</v>
      </c>
      <c r="U86" s="164">
        <v>160.21299999999999</v>
      </c>
      <c r="V86" s="171">
        <f t="shared" si="19"/>
        <v>160.78788456077604</v>
      </c>
      <c r="W86" s="171">
        <f t="shared" si="20"/>
        <v>157.22250265763725</v>
      </c>
      <c r="X86" s="168">
        <f t="shared" si="9"/>
        <v>2.2174443757863593E-2</v>
      </c>
      <c r="Y86" s="171">
        <f t="shared" si="21"/>
        <v>146.24872045429834</v>
      </c>
      <c r="Z86" s="164">
        <v>103.05</v>
      </c>
      <c r="AA86" s="172">
        <v>69.56</v>
      </c>
      <c r="AB86" s="163">
        <f t="shared" si="7"/>
        <v>471.30329</v>
      </c>
      <c r="AC86" s="163">
        <f t="shared" si="15"/>
        <v>287.49928999999997</v>
      </c>
      <c r="AE86" s="169">
        <f t="shared" si="10"/>
        <v>1.9982500613088519</v>
      </c>
      <c r="AF86" s="169">
        <f t="shared" si="17"/>
        <v>13.081999999999994</v>
      </c>
      <c r="AG86" s="169">
        <f t="shared" si="17"/>
        <v>4.6271269747274459</v>
      </c>
      <c r="AI86" s="165">
        <f t="shared" si="14"/>
        <v>0.67329886815253359</v>
      </c>
      <c r="AJ86" s="165">
        <f t="shared" si="16"/>
        <v>0.90699959009216191</v>
      </c>
    </row>
    <row r="87" spans="1:36" s="156" customFormat="1" ht="12">
      <c r="A87" s="160">
        <v>44501</v>
      </c>
      <c r="B87" s="161">
        <f t="shared" si="18"/>
        <v>518.81099999999992</v>
      </c>
      <c r="C87" s="164">
        <v>4.79</v>
      </c>
      <c r="D87" s="164">
        <v>466.86700000000002</v>
      </c>
      <c r="E87" s="164">
        <v>429.20699999999999</v>
      </c>
      <c r="F87" s="164">
        <v>37.659999999999997</v>
      </c>
      <c r="G87" s="164">
        <v>6.3620000000000001</v>
      </c>
      <c r="H87" s="164">
        <v>40.792000000000002</v>
      </c>
      <c r="I87" s="166">
        <v>1550.6399999999999</v>
      </c>
      <c r="J87" s="164">
        <v>87.051000000000002</v>
      </c>
      <c r="K87" s="164">
        <v>187.291</v>
      </c>
      <c r="L87" s="164">
        <v>379.07100000000003</v>
      </c>
      <c r="M87" s="164">
        <v>1997.444</v>
      </c>
      <c r="N87" s="164">
        <v>1328.9949999999999</v>
      </c>
      <c r="O87" s="164">
        <v>515.75800000000004</v>
      </c>
      <c r="P87" s="164">
        <v>61.841999999999999</v>
      </c>
      <c r="Q87" s="164">
        <v>278.43400000000003</v>
      </c>
      <c r="R87" s="164">
        <v>110.303</v>
      </c>
      <c r="S87" s="163">
        <f t="shared" si="8"/>
        <v>47.071199999999997</v>
      </c>
      <c r="T87" s="164">
        <v>211.26</v>
      </c>
      <c r="U87" s="164">
        <v>150.429</v>
      </c>
      <c r="V87" s="171">
        <f t="shared" si="19"/>
        <v>162.31863208108638</v>
      </c>
      <c r="W87" s="171">
        <f t="shared" si="20"/>
        <v>158.94159000252358</v>
      </c>
      <c r="X87" s="168">
        <f t="shared" si="9"/>
        <v>2.0805018100915174E-2</v>
      </c>
      <c r="Y87" s="171">
        <f t="shared" si="21"/>
        <v>149.14294395712196</v>
      </c>
      <c r="Z87" s="164">
        <v>81.350999999999999</v>
      </c>
      <c r="AA87" s="172">
        <v>71.515000000000001</v>
      </c>
      <c r="AB87" s="163">
        <f t="shared" si="7"/>
        <v>462.67640000000006</v>
      </c>
      <c r="AC87" s="163">
        <f t="shared" si="15"/>
        <v>275.38540000000006</v>
      </c>
      <c r="AE87" s="169">
        <f t="shared" si="10"/>
        <v>1.7190873448863329</v>
      </c>
      <c r="AF87" s="169">
        <f t="shared" si="17"/>
        <v>-21.698999999999998</v>
      </c>
      <c r="AG87" s="169">
        <f t="shared" si="17"/>
        <v>1.9549999999999983</v>
      </c>
      <c r="AI87" s="165">
        <f t="shared" si="14"/>
        <v>0.64161441914973438</v>
      </c>
      <c r="AJ87" s="165">
        <f t="shared" si="16"/>
        <v>0.89180144599863942</v>
      </c>
    </row>
    <row r="88" spans="1:36" s="156" customFormat="1" ht="12">
      <c r="A88" s="160">
        <v>44531</v>
      </c>
      <c r="B88" s="161">
        <f t="shared" si="18"/>
        <v>531.34100000000001</v>
      </c>
      <c r="C88" s="164">
        <v>4.74</v>
      </c>
      <c r="D88" s="164">
        <v>477.87799999999999</v>
      </c>
      <c r="E88" s="164">
        <v>439.17200000000003</v>
      </c>
      <c r="F88" s="164">
        <v>38.706000000000003</v>
      </c>
      <c r="G88" s="164">
        <v>8.0719999999999992</v>
      </c>
      <c r="H88" s="164">
        <v>40.651000000000003</v>
      </c>
      <c r="I88" s="166">
        <v>1525.87</v>
      </c>
      <c r="J88" s="164">
        <v>94.168000000000006</v>
      </c>
      <c r="K88" s="164">
        <v>194.49700000000001</v>
      </c>
      <c r="L88" s="164">
        <v>383.19600000000003</v>
      </c>
      <c r="M88" s="164">
        <v>2073.1880000000001</v>
      </c>
      <c r="N88" s="164">
        <v>1422.171</v>
      </c>
      <c r="O88" s="164">
        <v>546.625</v>
      </c>
      <c r="P88" s="164">
        <v>63.314</v>
      </c>
      <c r="Q88" s="164">
        <v>285.387</v>
      </c>
      <c r="R88" s="164">
        <v>107.003</v>
      </c>
      <c r="S88" s="163">
        <f t="shared" si="8"/>
        <v>47.614199999999997</v>
      </c>
      <c r="T88" s="164">
        <v>214.346</v>
      </c>
      <c r="U88" s="164">
        <v>151.43100000000001</v>
      </c>
      <c r="V88" s="171">
        <f t="shared" si="19"/>
        <v>167.87430717704015</v>
      </c>
      <c r="W88" s="171">
        <f t="shared" si="20"/>
        <v>164.65542854728221</v>
      </c>
      <c r="X88" s="168">
        <f t="shared" si="9"/>
        <v>1.9174337537925412E-2</v>
      </c>
      <c r="Y88" s="171">
        <f t="shared" si="21"/>
        <v>155.45567355755077</v>
      </c>
      <c r="Z88" s="164">
        <v>89.813000000000002</v>
      </c>
      <c r="AA88" s="172">
        <v>77.456999999999994</v>
      </c>
      <c r="AB88" s="163">
        <f t="shared" si="7"/>
        <v>473.92136000000005</v>
      </c>
      <c r="AC88" s="163">
        <f t="shared" si="15"/>
        <v>279.42436000000004</v>
      </c>
      <c r="AE88" s="169">
        <f t="shared" si="10"/>
        <v>5.7138385447586302</v>
      </c>
      <c r="AF88" s="169">
        <f t="shared" si="17"/>
        <v>8.4620000000000033</v>
      </c>
      <c r="AG88" s="169">
        <f t="shared" si="17"/>
        <v>5.9419999999999931</v>
      </c>
      <c r="AI88" s="165">
        <f t="shared" si="14"/>
        <v>0.63625267548932996</v>
      </c>
      <c r="AJ88" s="165">
        <f t="shared" si="16"/>
        <v>0.89193448275213105</v>
      </c>
    </row>
    <row r="89" spans="1:36" s="156" customFormat="1" ht="12">
      <c r="A89" s="160">
        <v>44562</v>
      </c>
      <c r="B89" s="161">
        <f t="shared" si="18"/>
        <v>516.37299999999993</v>
      </c>
      <c r="C89" s="164">
        <v>3.7869999999999999</v>
      </c>
      <c r="D89" s="164">
        <v>463.512</v>
      </c>
      <c r="E89" s="164">
        <v>427.80399999999997</v>
      </c>
      <c r="F89" s="164">
        <v>35.707999999999998</v>
      </c>
      <c r="G89" s="164">
        <v>8.2379999999999995</v>
      </c>
      <c r="H89" s="164">
        <v>40.835999999999999</v>
      </c>
      <c r="I89" s="175">
        <v>1388.8</v>
      </c>
      <c r="J89" s="164">
        <v>100.26300000000001</v>
      </c>
      <c r="K89" s="164">
        <v>175.11</v>
      </c>
      <c r="L89" s="164">
        <v>356.95699999999999</v>
      </c>
      <c r="M89" s="164">
        <v>1929.115</v>
      </c>
      <c r="N89" s="164">
        <v>1425.8969999999999</v>
      </c>
      <c r="O89" s="164">
        <v>535.03599999999994</v>
      </c>
      <c r="P89" s="164">
        <v>53.503999999999998</v>
      </c>
      <c r="Q89" s="164">
        <v>271.89</v>
      </c>
      <c r="R89" s="164">
        <v>102.711</v>
      </c>
      <c r="S89" s="163">
        <f t="shared" si="8"/>
        <v>45.926399999999994</v>
      </c>
      <c r="T89" s="164">
        <v>197.17500000000001</v>
      </c>
      <c r="U89" s="164">
        <v>146.80600000000001</v>
      </c>
      <c r="V89" s="172">
        <v>172.86199999999999</v>
      </c>
      <c r="W89" s="172">
        <v>168.977</v>
      </c>
      <c r="X89" s="168">
        <f t="shared" si="9"/>
        <v>2.2474575094584059E-2</v>
      </c>
      <c r="Y89" s="172">
        <v>159.36000000000001</v>
      </c>
      <c r="Z89" s="164">
        <v>110.02500000000001</v>
      </c>
      <c r="AA89" s="172">
        <v>73.260999999999996</v>
      </c>
      <c r="AB89" s="163">
        <f t="shared" si="7"/>
        <v>441.02492000000012</v>
      </c>
      <c r="AC89" s="163">
        <f t="shared" si="15"/>
        <v>265.91492000000011</v>
      </c>
      <c r="AE89" s="169">
        <f t="shared" si="10"/>
        <v>4.3215714527177909</v>
      </c>
      <c r="AF89" s="169">
        <f t="shared" si="17"/>
        <v>20.212000000000003</v>
      </c>
      <c r="AG89" s="169">
        <f t="shared" si="17"/>
        <v>-4.195999999999998</v>
      </c>
      <c r="AI89" s="165">
        <f t="shared" si="14"/>
        <v>0.62158119138671009</v>
      </c>
      <c r="AJ89" s="165">
        <f t="shared" si="16"/>
        <v>0.85408206858220737</v>
      </c>
    </row>
    <row r="90" spans="1:36" s="156" customFormat="1" ht="12">
      <c r="A90" s="160">
        <v>44593</v>
      </c>
      <c r="B90" s="161">
        <f t="shared" si="18"/>
        <v>455.71899999999994</v>
      </c>
      <c r="C90" s="164">
        <v>4.0609999999999999</v>
      </c>
      <c r="D90" s="164">
        <v>406.07499999999999</v>
      </c>
      <c r="E90" s="164">
        <v>378.45400000000001</v>
      </c>
      <c r="F90" s="164">
        <v>27.620999999999999</v>
      </c>
      <c r="G90" s="164">
        <v>7.1189999999999998</v>
      </c>
      <c r="H90" s="164">
        <v>38.463999999999999</v>
      </c>
      <c r="I90" s="175">
        <v>1333.25</v>
      </c>
      <c r="J90" s="164">
        <v>103.03700000000001</v>
      </c>
      <c r="K90" s="164">
        <v>154.93299999999999</v>
      </c>
      <c r="L90" s="164">
        <v>303.78800000000001</v>
      </c>
      <c r="M90" s="164">
        <v>1693.2529999999999</v>
      </c>
      <c r="N90" s="164">
        <v>1293.3119999999999</v>
      </c>
      <c r="O90" s="164">
        <v>492.839</v>
      </c>
      <c r="P90" s="164">
        <v>48.015999999999998</v>
      </c>
      <c r="Q90" s="164">
        <v>237.55500000000001</v>
      </c>
      <c r="R90" s="164">
        <v>78.040000000000006</v>
      </c>
      <c r="S90" s="163">
        <f t="shared" si="8"/>
        <v>39.650999999999996</v>
      </c>
      <c r="T90" s="164">
        <v>190.577</v>
      </c>
      <c r="U90" s="164">
        <v>120.077</v>
      </c>
      <c r="V90" s="172">
        <v>154.53100000000001</v>
      </c>
      <c r="W90" s="172">
        <v>150.92599999999999</v>
      </c>
      <c r="X90" s="168">
        <f t="shared" si="9"/>
        <v>2.3328652503381342E-2</v>
      </c>
      <c r="Y90" s="172">
        <v>140.19300000000001</v>
      </c>
      <c r="Z90" s="164">
        <v>108.55200000000001</v>
      </c>
      <c r="AA90" s="172">
        <v>80.531999999999996</v>
      </c>
      <c r="AB90" s="163">
        <f t="shared" ref="AB90" si="22">(U90+K90)*1.37</f>
        <v>376.76370000000003</v>
      </c>
      <c r="AC90" s="163">
        <f t="shared" si="15"/>
        <v>221.83070000000004</v>
      </c>
      <c r="AE90" s="169">
        <f t="shared" si="10"/>
        <v>-18.051000000000016</v>
      </c>
      <c r="AF90" s="169">
        <f t="shared" si="17"/>
        <v>-1.472999999999999</v>
      </c>
      <c r="AG90" s="169">
        <f t="shared" si="17"/>
        <v>7.2710000000000008</v>
      </c>
      <c r="AI90" s="165">
        <f t="shared" si="14"/>
        <v>0.58614970379491305</v>
      </c>
      <c r="AJ90" s="165">
        <f t="shared" si="16"/>
        <v>0.82674564808577233</v>
      </c>
    </row>
    <row r="91" spans="1:36" s="156" customFormat="1" ht="12">
      <c r="A91" s="160">
        <v>44621</v>
      </c>
      <c r="B91" s="161">
        <f t="shared" si="18"/>
        <v>509.51800000000003</v>
      </c>
      <c r="C91" s="164">
        <v>4.33</v>
      </c>
      <c r="D91" s="164">
        <v>453.274</v>
      </c>
      <c r="E91" s="164">
        <v>419.66699999999997</v>
      </c>
      <c r="F91" s="164">
        <v>33.606999999999999</v>
      </c>
      <c r="G91" s="164">
        <v>8.9459999999999997</v>
      </c>
      <c r="H91" s="164">
        <v>42.968000000000004</v>
      </c>
      <c r="I91" s="175">
        <v>996.96</v>
      </c>
      <c r="J91" s="164">
        <v>103.43899999999999</v>
      </c>
      <c r="K91" s="164">
        <v>174.65700000000001</v>
      </c>
      <c r="L91" s="164">
        <v>372.81299999999999</v>
      </c>
      <c r="M91" s="164">
        <v>1877.338</v>
      </c>
      <c r="N91" s="164">
        <v>1382.79</v>
      </c>
      <c r="O91" s="164">
        <v>562.59900000000005</v>
      </c>
      <c r="P91" s="164">
        <v>61.908999999999999</v>
      </c>
      <c r="Q91" s="164">
        <v>250.25800000000001</v>
      </c>
      <c r="R91" s="164">
        <v>109.13</v>
      </c>
      <c r="S91" s="163">
        <f>((H91+F91)*1.2)/2</f>
        <v>45.945</v>
      </c>
      <c r="T91" s="164">
        <v>226.86</v>
      </c>
      <c r="U91" s="164">
        <v>135.10599999999999</v>
      </c>
      <c r="V91" s="172">
        <v>162.798</v>
      </c>
      <c r="W91" s="172">
        <v>158.63800000000001</v>
      </c>
      <c r="X91" s="168">
        <f t="shared" si="9"/>
        <v>2.5553139473457831E-2</v>
      </c>
      <c r="Y91" s="172">
        <v>144.95400000000001</v>
      </c>
      <c r="Z91" s="164">
        <v>93.826999999999998</v>
      </c>
      <c r="AA91" s="172">
        <v>84.073999999999998</v>
      </c>
      <c r="AB91" s="163">
        <f>(U91+K91)*1.37</f>
        <v>424.37531000000007</v>
      </c>
      <c r="AC91" s="163">
        <f>AB91-K91</f>
        <v>249.71831000000006</v>
      </c>
      <c r="AE91" s="169">
        <f t="shared" si="10"/>
        <v>7.7120000000000175</v>
      </c>
      <c r="AF91" s="169">
        <f t="shared" ref="AF91:AG106" si="23">Z91-Z90</f>
        <v>-14.725000000000009</v>
      </c>
      <c r="AG91" s="169">
        <f t="shared" si="23"/>
        <v>3.5420000000000016</v>
      </c>
      <c r="AI91" s="165">
        <f t="shared" si="14"/>
        <v>0.59503918583067072</v>
      </c>
      <c r="AJ91" s="165">
        <f t="shared" si="16"/>
        <v>0.83289561899677744</v>
      </c>
    </row>
    <row r="92" spans="1:36" s="156" customFormat="1" ht="12">
      <c r="A92" s="160">
        <v>44652</v>
      </c>
      <c r="B92" s="161">
        <f t="shared" si="18"/>
        <v>472.596</v>
      </c>
      <c r="C92" s="164">
        <v>3.9710000000000001</v>
      </c>
      <c r="D92" s="164">
        <v>415.96199999999999</v>
      </c>
      <c r="E92" s="164">
        <v>386.96600000000001</v>
      </c>
      <c r="F92" s="164">
        <v>28.995999999999999</v>
      </c>
      <c r="G92" s="164">
        <v>8.5289999999999999</v>
      </c>
      <c r="H92" s="164">
        <v>44.134</v>
      </c>
      <c r="I92" s="175">
        <v>1636.53</v>
      </c>
      <c r="J92" s="164">
        <v>106.992</v>
      </c>
      <c r="K92" s="164">
        <v>163.024</v>
      </c>
      <c r="L92" s="164">
        <v>328.69099999999997</v>
      </c>
      <c r="M92" s="164">
        <v>1704.6980000000001</v>
      </c>
      <c r="N92" s="164">
        <v>1321.2750000000001</v>
      </c>
      <c r="O92" s="164">
        <v>517.27</v>
      </c>
      <c r="P92" s="164">
        <v>59.350999999999999</v>
      </c>
      <c r="Q92" s="164">
        <v>260.70999999999998</v>
      </c>
      <c r="R92" s="164">
        <v>102.67700000000001</v>
      </c>
      <c r="S92" s="163">
        <f t="shared" si="8"/>
        <v>43.877999999999993</v>
      </c>
      <c r="T92" s="164">
        <v>221.071</v>
      </c>
      <c r="U92" s="164">
        <v>131.78100000000001</v>
      </c>
      <c r="V92" s="172">
        <v>158.98599999999999</v>
      </c>
      <c r="W92" s="172">
        <v>155.39099999999999</v>
      </c>
      <c r="X92" s="168">
        <f t="shared" si="9"/>
        <v>2.2612053891537642E-2</v>
      </c>
      <c r="Y92" s="172">
        <v>140.06299999999999</v>
      </c>
      <c r="Z92" s="164">
        <v>97.003</v>
      </c>
      <c r="AA92" s="172">
        <v>88.2</v>
      </c>
      <c r="AB92" s="163">
        <f t="shared" ref="AB92:AB125" si="24">(U92+K92)*1.37</f>
        <v>403.88285000000002</v>
      </c>
      <c r="AC92" s="163">
        <f t="shared" ref="AC92:AC125" si="25">AB92-K92</f>
        <v>240.85885000000002</v>
      </c>
      <c r="AE92" s="169">
        <f t="shared" si="10"/>
        <v>-3.2470000000000141</v>
      </c>
      <c r="AF92" s="169">
        <f t="shared" si="23"/>
        <v>3.1760000000000019</v>
      </c>
      <c r="AG92" s="169">
        <f t="shared" si="23"/>
        <v>4.1260000000000048</v>
      </c>
      <c r="AI92" s="165">
        <f t="shared" si="14"/>
        <v>0.62242897308807499</v>
      </c>
      <c r="AJ92" s="165">
        <f t="shared" si="16"/>
        <v>0.85460488451023708</v>
      </c>
    </row>
    <row r="93" spans="1:36" s="156" customFormat="1" ht="12">
      <c r="A93" s="160">
        <v>44682</v>
      </c>
      <c r="B93" s="161">
        <f t="shared" si="18"/>
        <v>503.84899999999999</v>
      </c>
      <c r="C93" s="164">
        <v>4.6459999999999999</v>
      </c>
      <c r="D93" s="164">
        <v>446.6</v>
      </c>
      <c r="E93" s="164">
        <v>412.72699999999998</v>
      </c>
      <c r="F93" s="164">
        <v>33.872999999999998</v>
      </c>
      <c r="G93" s="164">
        <v>7.5869999999999997</v>
      </c>
      <c r="H93" s="164">
        <v>45.015999999999998</v>
      </c>
      <c r="I93" s="175">
        <v>2321.59</v>
      </c>
      <c r="J93" s="164">
        <v>105.078</v>
      </c>
      <c r="K93" s="164">
        <v>177.15799999999999</v>
      </c>
      <c r="L93" s="164">
        <v>322.85500000000002</v>
      </c>
      <c r="M93" s="164">
        <v>1896.665</v>
      </c>
      <c r="N93" s="164">
        <v>1328.402</v>
      </c>
      <c r="O93" s="164">
        <v>468.77199999999999</v>
      </c>
      <c r="P93" s="164">
        <v>62.881999999999998</v>
      </c>
      <c r="Q93" s="164">
        <v>294.36700000000002</v>
      </c>
      <c r="R93" s="164">
        <v>112.099</v>
      </c>
      <c r="S93" s="163">
        <f t="shared" si="8"/>
        <v>47.333399999999997</v>
      </c>
      <c r="T93" s="164">
        <v>205.50800000000001</v>
      </c>
      <c r="U93" s="164">
        <v>148.33199999999999</v>
      </c>
      <c r="V93" s="172">
        <v>168.41399999999999</v>
      </c>
      <c r="W93" s="172">
        <v>164.839</v>
      </c>
      <c r="X93" s="168">
        <f t="shared" si="9"/>
        <v>2.1227451399527308E-2</v>
      </c>
      <c r="Y93" s="164">
        <v>141.01400000000001</v>
      </c>
      <c r="Z93" s="164">
        <v>98.328999999999994</v>
      </c>
      <c r="AA93" s="172">
        <v>95.668999999999997</v>
      </c>
      <c r="AB93" s="163">
        <f t="shared" si="24"/>
        <v>445.92130000000003</v>
      </c>
      <c r="AC93" s="163">
        <f t="shared" si="25"/>
        <v>268.76330000000007</v>
      </c>
      <c r="AE93" s="169">
        <f t="shared" si="10"/>
        <v>9.4480000000000075</v>
      </c>
      <c r="AF93" s="169">
        <f t="shared" si="23"/>
        <v>1.3259999999999934</v>
      </c>
      <c r="AG93" s="169">
        <f t="shared" si="23"/>
        <v>7.4689999999999941</v>
      </c>
      <c r="AI93" s="165">
        <f t="shared" si="14"/>
        <v>0.65118904263593147</v>
      </c>
      <c r="AJ93" s="165">
        <f t="shared" si="16"/>
        <v>0.8850296418172906</v>
      </c>
    </row>
    <row r="94" spans="1:36" s="156" customFormat="1" ht="12">
      <c r="A94" s="160">
        <v>44713</v>
      </c>
      <c r="B94" s="161">
        <f t="shared" si="18"/>
        <v>494.57100000000003</v>
      </c>
      <c r="C94" s="164">
        <v>3.6669999999999998</v>
      </c>
      <c r="D94" s="164">
        <v>444.17599999999999</v>
      </c>
      <c r="E94" s="164">
        <v>407.83100000000002</v>
      </c>
      <c r="F94" s="164">
        <v>36.344999999999999</v>
      </c>
      <c r="G94" s="164">
        <v>5.1829999999999998</v>
      </c>
      <c r="H94" s="164">
        <v>41.545000000000002</v>
      </c>
      <c r="I94" s="175">
        <v>4078.26</v>
      </c>
      <c r="J94" s="164">
        <v>109.55500000000001</v>
      </c>
      <c r="K94" s="164">
        <v>184.35</v>
      </c>
      <c r="L94" s="164">
        <v>346.59100000000001</v>
      </c>
      <c r="M94" s="164">
        <v>1918.6110000000001</v>
      </c>
      <c r="N94" s="164">
        <v>1283.3589999999999</v>
      </c>
      <c r="O94" s="164">
        <v>494.79199999999997</v>
      </c>
      <c r="P94" s="164">
        <v>58.667000000000002</v>
      </c>
      <c r="Q94" s="164">
        <v>287.21100000000001</v>
      </c>
      <c r="R94" s="164">
        <v>91.72</v>
      </c>
      <c r="S94" s="163">
        <f t="shared" ref="S94:S121" si="26">((H94+F94)*1.2)/2</f>
        <v>46.734000000000002</v>
      </c>
      <c r="T94" s="164">
        <v>202.95099999999999</v>
      </c>
      <c r="U94" s="164">
        <v>130.55699999999999</v>
      </c>
      <c r="V94" s="172">
        <v>155.053</v>
      </c>
      <c r="W94" s="172">
        <v>152.221</v>
      </c>
      <c r="X94" s="168">
        <f t="shared" ref="X94:X125" si="27">-1*(W94/V94-1)</f>
        <v>1.8264722385248899E-2</v>
      </c>
      <c r="Y94" s="164">
        <v>160.43700000000001</v>
      </c>
      <c r="Z94" s="164">
        <v>93.183999999999997</v>
      </c>
      <c r="AA94" s="172">
        <v>78.953000000000003</v>
      </c>
      <c r="AB94" s="163">
        <f t="shared" si="24"/>
        <v>431.42259000000001</v>
      </c>
      <c r="AC94" s="163">
        <f t="shared" si="25"/>
        <v>247.07259000000002</v>
      </c>
      <c r="AE94" s="169">
        <f t="shared" si="10"/>
        <v>-12.617999999999995</v>
      </c>
      <c r="AF94" s="169">
        <f t="shared" si="23"/>
        <v>-5.144999999999996</v>
      </c>
      <c r="AG94" s="169">
        <f t="shared" si="23"/>
        <v>-16.715999999999994</v>
      </c>
      <c r="AI94" s="165">
        <f t="shared" si="14"/>
        <v>0.60582101409652533</v>
      </c>
      <c r="AJ94" s="165">
        <f t="shared" si="16"/>
        <v>0.87231679576845389</v>
      </c>
    </row>
    <row r="95" spans="1:36" s="156" customFormat="1" ht="12">
      <c r="A95" s="160">
        <v>44743</v>
      </c>
      <c r="B95" s="161">
        <f t="shared" si="18"/>
        <v>499.80900000000003</v>
      </c>
      <c r="C95" s="164">
        <v>3.399</v>
      </c>
      <c r="D95" s="164">
        <v>445.74099999999999</v>
      </c>
      <c r="E95" s="164">
        <v>413.62900000000002</v>
      </c>
      <c r="F95" s="164">
        <v>32.112000000000002</v>
      </c>
      <c r="G95" s="164">
        <v>7.1879999999999997</v>
      </c>
      <c r="H95" s="164">
        <v>43.481000000000002</v>
      </c>
      <c r="I95" s="175">
        <v>4183.8600000000006</v>
      </c>
      <c r="J95" s="164">
        <v>94.83</v>
      </c>
      <c r="K95" s="164">
        <v>187.85300000000001</v>
      </c>
      <c r="L95" s="164">
        <v>334.12200000000001</v>
      </c>
      <c r="M95" s="164">
        <v>1934.355</v>
      </c>
      <c r="N95" s="164">
        <v>1279.21</v>
      </c>
      <c r="O95" s="164">
        <v>495.38600000000002</v>
      </c>
      <c r="P95" s="164">
        <v>57.8</v>
      </c>
      <c r="Q95" s="164">
        <v>271.334</v>
      </c>
      <c r="R95" s="164">
        <v>105.79600000000001</v>
      </c>
      <c r="S95" s="163">
        <f t="shared" si="26"/>
        <v>45.355800000000002</v>
      </c>
      <c r="T95" s="164">
        <v>221.76400000000001</v>
      </c>
      <c r="U95" s="164">
        <v>147.15700000000001</v>
      </c>
      <c r="V95" s="172">
        <v>156.976</v>
      </c>
      <c r="W95" s="172">
        <v>152.59700000000001</v>
      </c>
      <c r="X95" s="168">
        <f t="shared" si="27"/>
        <v>2.7895984099480131E-2</v>
      </c>
      <c r="Y95" s="164">
        <v>129.489</v>
      </c>
      <c r="Z95" s="164">
        <v>109.149</v>
      </c>
      <c r="AA95" s="172">
        <v>88.638000000000005</v>
      </c>
      <c r="AB95" s="163">
        <f t="shared" si="24"/>
        <v>458.96370000000002</v>
      </c>
      <c r="AC95" s="163">
        <f t="shared" si="25"/>
        <v>271.11070000000001</v>
      </c>
      <c r="AE95" s="169">
        <f t="shared" ref="AE95:AE125" si="28">(W95-W94)</f>
        <v>0.37600000000000477</v>
      </c>
      <c r="AF95" s="169">
        <f t="shared" si="23"/>
        <v>15.965000000000003</v>
      </c>
      <c r="AG95" s="169">
        <f t="shared" si="23"/>
        <v>9.6850000000000023</v>
      </c>
      <c r="AI95" s="165">
        <f t="shared" si="14"/>
        <v>0.65544412988451006</v>
      </c>
      <c r="AJ95" s="165">
        <f t="shared" si="16"/>
        <v>0.91827818226562541</v>
      </c>
    </row>
    <row r="96" spans="1:36" s="156" customFormat="1" ht="12">
      <c r="A96" s="160">
        <v>44774</v>
      </c>
      <c r="B96" s="161">
        <f t="shared" si="18"/>
        <v>482.75799999999998</v>
      </c>
      <c r="C96" s="164">
        <v>4.0119999999999996</v>
      </c>
      <c r="D96" s="164">
        <v>430.60199999999998</v>
      </c>
      <c r="E96" s="164">
        <v>402.322</v>
      </c>
      <c r="F96" s="164">
        <v>28.28</v>
      </c>
      <c r="G96" s="164">
        <v>7.1210000000000004</v>
      </c>
      <c r="H96" s="164">
        <v>41.023000000000003</v>
      </c>
      <c r="I96" s="175">
        <v>4415.32</v>
      </c>
      <c r="J96" s="164">
        <v>88.328999999999994</v>
      </c>
      <c r="K96" s="164">
        <v>180.06200000000001</v>
      </c>
      <c r="L96" s="164">
        <v>335.88499999999999</v>
      </c>
      <c r="M96" s="164">
        <v>1867.7349999999999</v>
      </c>
      <c r="N96" s="164">
        <v>1322.7439999999999</v>
      </c>
      <c r="O96" s="164">
        <v>544.16800000000001</v>
      </c>
      <c r="P96" s="164">
        <v>61.012</v>
      </c>
      <c r="Q96" s="164">
        <v>248.85599999999999</v>
      </c>
      <c r="R96" s="164">
        <v>102.538</v>
      </c>
      <c r="S96" s="163">
        <f t="shared" si="26"/>
        <v>41.581799999999994</v>
      </c>
      <c r="T96" s="164">
        <v>189.203</v>
      </c>
      <c r="U96" s="164">
        <v>135.71</v>
      </c>
      <c r="V96" s="164">
        <v>173.58799999999999</v>
      </c>
      <c r="W96" s="164">
        <v>168.29900000000001</v>
      </c>
      <c r="X96" s="168">
        <f t="shared" si="27"/>
        <v>3.0468695992810546E-2</v>
      </c>
      <c r="Y96" s="164">
        <v>176.50399999999999</v>
      </c>
      <c r="Z96" s="164">
        <v>85.405000000000001</v>
      </c>
      <c r="AA96" s="172">
        <v>68.61</v>
      </c>
      <c r="AB96" s="163">
        <f t="shared" si="24"/>
        <v>432.60764000000012</v>
      </c>
      <c r="AC96" s="163">
        <f t="shared" si="25"/>
        <v>252.54564000000011</v>
      </c>
      <c r="AE96" s="169">
        <f t="shared" si="28"/>
        <v>15.701999999999998</v>
      </c>
      <c r="AF96" s="169">
        <f t="shared" si="23"/>
        <v>-23.744</v>
      </c>
      <c r="AG96" s="169">
        <f t="shared" si="23"/>
        <v>-20.028000000000006</v>
      </c>
      <c r="AI96" s="165">
        <f t="shared" si="14"/>
        <v>0.62772018432996479</v>
      </c>
      <c r="AJ96" s="165">
        <f t="shared" si="16"/>
        <v>0.89611697786468614</v>
      </c>
    </row>
    <row r="97" spans="1:36" s="156" customFormat="1" ht="12">
      <c r="A97" s="160">
        <v>44805</v>
      </c>
      <c r="B97" s="161">
        <f t="shared" si="18"/>
        <v>434.87799999999999</v>
      </c>
      <c r="C97" s="164">
        <v>4.4740000000000002</v>
      </c>
      <c r="D97" s="164">
        <v>383.27300000000002</v>
      </c>
      <c r="E97" s="164">
        <v>355.29399999999998</v>
      </c>
      <c r="F97" s="164">
        <v>27.978999999999999</v>
      </c>
      <c r="G97" s="164">
        <v>6.4109999999999996</v>
      </c>
      <c r="H97" s="164">
        <v>40.72</v>
      </c>
      <c r="I97" s="175">
        <v>3409.43</v>
      </c>
      <c r="J97" s="164">
        <v>101.72799999999999</v>
      </c>
      <c r="K97" s="164">
        <v>159.87299999999999</v>
      </c>
      <c r="L97" s="164">
        <v>281.98399999999998</v>
      </c>
      <c r="M97" s="164">
        <v>1613.088</v>
      </c>
      <c r="N97" s="164">
        <v>1249.9960000000001</v>
      </c>
      <c r="O97" s="164">
        <v>498.142</v>
      </c>
      <c r="P97" s="164">
        <v>48.055999999999997</v>
      </c>
      <c r="Q97" s="164">
        <v>238.46799999999999</v>
      </c>
      <c r="R97" s="164">
        <v>101.78700000000001</v>
      </c>
      <c r="S97" s="163">
        <f t="shared" si="26"/>
        <v>41.2194</v>
      </c>
      <c r="T97" s="164">
        <v>192.999</v>
      </c>
      <c r="U97" s="164">
        <v>141.15700000000001</v>
      </c>
      <c r="V97" s="164">
        <v>160.59299999999999</v>
      </c>
      <c r="W97" s="164">
        <v>155.89400000000001</v>
      </c>
      <c r="X97" s="168">
        <f t="shared" si="27"/>
        <v>2.9260303998306147E-2</v>
      </c>
      <c r="Y97" s="164">
        <v>144.86799999999999</v>
      </c>
      <c r="Z97" s="164">
        <v>78.989000000000004</v>
      </c>
      <c r="AA97" s="172">
        <v>69.284000000000006</v>
      </c>
      <c r="AB97" s="163">
        <f t="shared" si="24"/>
        <v>412.41109999999998</v>
      </c>
      <c r="AC97" s="163">
        <f t="shared" si="25"/>
        <v>252.53809999999999</v>
      </c>
      <c r="AE97" s="169">
        <f t="shared" si="28"/>
        <v>-12.405000000000001</v>
      </c>
      <c r="AF97" s="169">
        <f t="shared" si="23"/>
        <v>-6.4159999999999968</v>
      </c>
      <c r="AG97" s="169">
        <f t="shared" si="23"/>
        <v>0.67400000000000659</v>
      </c>
      <c r="AI97" s="165">
        <f>AC97/E97</f>
        <v>0.71078627840605246</v>
      </c>
      <c r="AJ97" s="165">
        <f t="shared" si="16"/>
        <v>0.94833746476023162</v>
      </c>
    </row>
    <row r="98" spans="1:36" s="156" customFormat="1" ht="12">
      <c r="A98" s="160">
        <v>44835</v>
      </c>
      <c r="B98" s="161">
        <f t="shared" si="18"/>
        <v>504.57599999999996</v>
      </c>
      <c r="C98" s="164">
        <v>4.585</v>
      </c>
      <c r="D98" s="164">
        <v>448.61599999999999</v>
      </c>
      <c r="E98" s="164">
        <v>414.44400000000002</v>
      </c>
      <c r="F98" s="164">
        <v>34.171999999999997</v>
      </c>
      <c r="G98" s="164">
        <v>6.8979999999999997</v>
      </c>
      <c r="H98" s="164">
        <v>44.476999999999997</v>
      </c>
      <c r="I98" s="175">
        <v>3253.25</v>
      </c>
      <c r="J98" s="164">
        <v>102.605</v>
      </c>
      <c r="K98" s="164">
        <v>186.77</v>
      </c>
      <c r="L98" s="164">
        <v>388.99299999999999</v>
      </c>
      <c r="M98" s="164">
        <v>1745.4190000000001</v>
      </c>
      <c r="N98" s="164">
        <v>1397.867</v>
      </c>
      <c r="O98" s="164">
        <v>490.06</v>
      </c>
      <c r="P98" s="164">
        <v>56.209000000000003</v>
      </c>
      <c r="Q98" s="164">
        <v>268.67200000000003</v>
      </c>
      <c r="R98" s="164">
        <v>116.27</v>
      </c>
      <c r="S98" s="163">
        <f t="shared" si="26"/>
        <v>47.189399999999999</v>
      </c>
      <c r="T98" s="164">
        <v>208.273</v>
      </c>
      <c r="U98" s="164">
        <v>146.59200000000001</v>
      </c>
      <c r="V98" s="164">
        <v>146.101</v>
      </c>
      <c r="W98" s="164">
        <v>140.97999999999999</v>
      </c>
      <c r="X98" s="168">
        <f t="shared" si="27"/>
        <v>3.5051094790590098E-2</v>
      </c>
      <c r="Y98" s="164">
        <v>118.267</v>
      </c>
      <c r="Z98" s="164">
        <v>90.278999999999996</v>
      </c>
      <c r="AA98" s="172">
        <v>76.965999999999994</v>
      </c>
      <c r="AB98" s="163">
        <f t="shared" si="24"/>
        <v>456.70594000000006</v>
      </c>
      <c r="AC98" s="163">
        <f t="shared" si="25"/>
        <v>269.93594000000007</v>
      </c>
      <c r="AE98" s="169">
        <f t="shared" si="28"/>
        <v>-14.914000000000016</v>
      </c>
      <c r="AF98" s="169">
        <f t="shared" si="23"/>
        <v>11.289999999999992</v>
      </c>
      <c r="AG98" s="169">
        <f t="shared" si="23"/>
        <v>7.6819999999999879</v>
      </c>
      <c r="AI98" s="165">
        <f>AC98/E98</f>
        <v>0.65132066093368479</v>
      </c>
      <c r="AJ98" s="165">
        <f t="shared" si="16"/>
        <v>0.90512814719685453</v>
      </c>
    </row>
    <row r="99" spans="1:36" s="156" customFormat="1" ht="12">
      <c r="A99" s="160">
        <v>44866</v>
      </c>
      <c r="B99" s="161">
        <f t="shared" si="18"/>
        <v>500.74999999999994</v>
      </c>
      <c r="C99" s="164">
        <v>4.4169999999999998</v>
      </c>
      <c r="D99" s="164">
        <v>450.53500000000003</v>
      </c>
      <c r="E99" s="164">
        <v>415.85700000000003</v>
      </c>
      <c r="F99" s="164">
        <v>34.677999999999997</v>
      </c>
      <c r="G99" s="164">
        <v>5.6379999999999999</v>
      </c>
      <c r="H99" s="164">
        <v>40.159999999999997</v>
      </c>
      <c r="I99" s="175">
        <v>2910.39</v>
      </c>
      <c r="J99" s="164">
        <v>98.182000000000002</v>
      </c>
      <c r="K99" s="164">
        <v>186.64400000000001</v>
      </c>
      <c r="L99" s="164">
        <v>381.11399999999998</v>
      </c>
      <c r="M99" s="164">
        <v>1778.479</v>
      </c>
      <c r="N99" s="164">
        <v>1461.021</v>
      </c>
      <c r="O99" s="164">
        <v>558.12800000000004</v>
      </c>
      <c r="P99" s="164">
        <v>53.561</v>
      </c>
      <c r="Q99" s="164">
        <v>277.37900000000002</v>
      </c>
      <c r="R99" s="164">
        <v>112.372</v>
      </c>
      <c r="S99" s="163">
        <f t="shared" si="26"/>
        <v>44.902799999999992</v>
      </c>
      <c r="T99" s="164">
        <v>203.89099999999999</v>
      </c>
      <c r="U99" s="164">
        <v>169.34200000000001</v>
      </c>
      <c r="V99" s="164">
        <v>167.21</v>
      </c>
      <c r="W99" s="164">
        <v>163.315</v>
      </c>
      <c r="X99" s="168">
        <f t="shared" si="27"/>
        <v>2.3294061359966589E-2</v>
      </c>
      <c r="Y99" s="164">
        <v>135.447</v>
      </c>
      <c r="Z99" s="164">
        <v>81.177000000000007</v>
      </c>
      <c r="AA99" s="172">
        <v>95.004999999999995</v>
      </c>
      <c r="AB99" s="163">
        <f t="shared" si="24"/>
        <v>487.70082000000002</v>
      </c>
      <c r="AC99" s="163">
        <f t="shared" si="25"/>
        <v>301.05682000000002</v>
      </c>
      <c r="AE99" s="169">
        <f t="shared" si="28"/>
        <v>22.335000000000008</v>
      </c>
      <c r="AF99" s="169">
        <f t="shared" si="23"/>
        <v>-9.1019999999999897</v>
      </c>
      <c r="AG99" s="169">
        <f t="shared" si="23"/>
        <v>18.039000000000001</v>
      </c>
      <c r="AI99" s="165">
        <f>AC99/E99</f>
        <v>0.72394313429856894</v>
      </c>
      <c r="AJ99" s="165">
        <f t="shared" si="16"/>
        <v>0.97394072890664019</v>
      </c>
    </row>
    <row r="100" spans="1:36" s="156" customFormat="1" ht="12">
      <c r="A100" s="160">
        <v>44896</v>
      </c>
      <c r="B100" s="161">
        <f t="shared" si="18"/>
        <v>474.52299999999997</v>
      </c>
      <c r="C100" s="164">
        <v>4.4480000000000004</v>
      </c>
      <c r="D100" s="164">
        <v>425.78800000000001</v>
      </c>
      <c r="E100" s="164">
        <v>391.81900000000002</v>
      </c>
      <c r="F100" s="164">
        <v>33.969000000000001</v>
      </c>
      <c r="G100" s="164">
        <v>5.9880000000000004</v>
      </c>
      <c r="H100" s="164">
        <v>38.298999999999999</v>
      </c>
      <c r="I100" s="175">
        <v>3082.0600000000004</v>
      </c>
      <c r="J100" s="164">
        <v>96.963999999999999</v>
      </c>
      <c r="K100" s="164">
        <v>174.416</v>
      </c>
      <c r="L100" s="164">
        <v>317.50400000000002</v>
      </c>
      <c r="M100" s="164">
        <v>1679.6</v>
      </c>
      <c r="N100" s="164">
        <v>1363.421</v>
      </c>
      <c r="O100" s="164">
        <v>576.40599999999995</v>
      </c>
      <c r="P100" s="164">
        <v>48.545999999999999</v>
      </c>
      <c r="Q100" s="164">
        <v>252.78800000000001</v>
      </c>
      <c r="R100" s="164">
        <v>99.584999999999994</v>
      </c>
      <c r="S100" s="163">
        <f t="shared" si="26"/>
        <v>43.360799999999998</v>
      </c>
      <c r="T100" s="164">
        <v>188.584</v>
      </c>
      <c r="U100" s="164">
        <v>163.91900000000001</v>
      </c>
      <c r="V100" s="164">
        <v>156.61699999999999</v>
      </c>
      <c r="W100" s="164">
        <v>153.12</v>
      </c>
      <c r="X100" s="168">
        <f t="shared" si="27"/>
        <v>2.2328355159401458E-2</v>
      </c>
      <c r="Y100" s="164">
        <v>154.26499999999999</v>
      </c>
      <c r="Z100" s="164">
        <v>86.61</v>
      </c>
      <c r="AA100" s="172">
        <v>85.652000000000001</v>
      </c>
      <c r="AB100" s="163">
        <f t="shared" si="24"/>
        <v>463.51895000000007</v>
      </c>
      <c r="AC100" s="163">
        <f t="shared" si="25"/>
        <v>289.10295000000008</v>
      </c>
      <c r="AE100" s="169">
        <f t="shared" si="28"/>
        <v>-10.194999999999993</v>
      </c>
      <c r="AF100" s="169">
        <f t="shared" si="23"/>
        <v>5.4329999999999927</v>
      </c>
      <c r="AG100" s="169">
        <f t="shared" si="23"/>
        <v>-9.3529999999999944</v>
      </c>
      <c r="AI100" s="165">
        <f>AC100/E100</f>
        <v>0.73784821563017633</v>
      </c>
      <c r="AJ100" s="165">
        <f t="shared" si="16"/>
        <v>0.9768102915980893</v>
      </c>
    </row>
    <row r="101" spans="1:36" s="156" customFormat="1" ht="12">
      <c r="A101" s="160">
        <v>44927</v>
      </c>
      <c r="B101" s="161">
        <f t="shared" si="18"/>
        <v>491.464</v>
      </c>
      <c r="C101" s="164">
        <v>6.0819999999999999</v>
      </c>
      <c r="D101" s="164">
        <v>440.96100000000001</v>
      </c>
      <c r="E101" s="164">
        <v>403.89100000000002</v>
      </c>
      <c r="F101" s="164">
        <v>37.07</v>
      </c>
      <c r="G101" s="164">
        <v>5.5819999999999999</v>
      </c>
      <c r="H101" s="164">
        <v>38.838999999999999</v>
      </c>
      <c r="I101" s="175">
        <v>2644.13</v>
      </c>
      <c r="J101" s="164">
        <v>100.116</v>
      </c>
      <c r="K101" s="164">
        <v>172.399</v>
      </c>
      <c r="L101" s="164">
        <v>374.75299999999999</v>
      </c>
      <c r="M101" s="164">
        <v>1714.3889999999999</v>
      </c>
      <c r="N101" s="164">
        <v>1262.056</v>
      </c>
      <c r="O101" s="164">
        <v>582.92600000000004</v>
      </c>
      <c r="P101" s="164">
        <v>48.319000000000003</v>
      </c>
      <c r="Q101" s="164">
        <v>268.44600000000003</v>
      </c>
      <c r="R101" s="164">
        <v>117.94499999999999</v>
      </c>
      <c r="S101" s="163">
        <f t="shared" si="26"/>
        <v>45.545399999999994</v>
      </c>
      <c r="T101" s="164">
        <v>208.09</v>
      </c>
      <c r="U101" s="164">
        <v>154.142</v>
      </c>
      <c r="V101" s="164">
        <v>158.642</v>
      </c>
      <c r="W101" s="164">
        <v>154.792</v>
      </c>
      <c r="X101" s="168">
        <f t="shared" si="27"/>
        <v>2.4268478713077246E-2</v>
      </c>
      <c r="Y101" s="164">
        <v>147.84100000000001</v>
      </c>
      <c r="Z101" s="164">
        <v>101.53</v>
      </c>
      <c r="AA101" s="172">
        <v>86.325999999999993</v>
      </c>
      <c r="AB101" s="163">
        <f t="shared" si="24"/>
        <v>447.36117000000002</v>
      </c>
      <c r="AC101" s="163">
        <f t="shared" si="25"/>
        <v>274.96217000000001</v>
      </c>
      <c r="AE101" s="169">
        <f t="shared" si="28"/>
        <v>1.671999999999997</v>
      </c>
      <c r="AF101" s="169">
        <f t="shared" si="23"/>
        <v>14.920000000000002</v>
      </c>
      <c r="AG101" s="169">
        <f t="shared" si="23"/>
        <v>0.67399999999999238</v>
      </c>
      <c r="AI101" s="165">
        <f t="shared" ref="AI101:AI125" si="29">AC101/E101</f>
        <v>0.68078310732351055</v>
      </c>
      <c r="AJ101" s="165">
        <f t="shared" si="16"/>
        <v>0.91026233864535355</v>
      </c>
    </row>
    <row r="102" spans="1:36" s="156" customFormat="1" ht="12">
      <c r="A102" s="160">
        <v>44958</v>
      </c>
      <c r="B102" s="161">
        <f t="shared" si="18"/>
        <v>442.92900000000003</v>
      </c>
      <c r="C102" s="164">
        <v>3.3620000000000001</v>
      </c>
      <c r="D102" s="164">
        <v>398.75299999999999</v>
      </c>
      <c r="E102" s="164">
        <v>364.75200000000001</v>
      </c>
      <c r="F102" s="164">
        <v>34.000999999999998</v>
      </c>
      <c r="G102" s="164">
        <v>4.97</v>
      </c>
      <c r="H102" s="164">
        <v>35.844000000000001</v>
      </c>
      <c r="I102" s="175">
        <v>2078.37</v>
      </c>
      <c r="J102" s="164">
        <v>77.506</v>
      </c>
      <c r="K102" s="164">
        <v>160.215</v>
      </c>
      <c r="L102" s="164">
        <v>338.86900000000003</v>
      </c>
      <c r="M102" s="164">
        <v>1560.7170000000001</v>
      </c>
      <c r="N102" s="164">
        <v>1156.1020000000001</v>
      </c>
      <c r="O102" s="164">
        <v>466.26900000000001</v>
      </c>
      <c r="P102" s="164">
        <v>44.420999999999999</v>
      </c>
      <c r="Q102" s="164">
        <v>247.81700000000001</v>
      </c>
      <c r="R102" s="164">
        <v>108.496</v>
      </c>
      <c r="S102" s="163">
        <f t="shared" si="26"/>
        <v>41.906999999999996</v>
      </c>
      <c r="T102" s="164">
        <v>185.05099999999999</v>
      </c>
      <c r="U102" s="164">
        <v>142.57400000000001</v>
      </c>
      <c r="V102" s="164">
        <v>135.39500000000001</v>
      </c>
      <c r="W102" s="164">
        <v>132.63</v>
      </c>
      <c r="X102" s="168">
        <f t="shared" si="27"/>
        <v>2.0421729015104084E-2</v>
      </c>
      <c r="Y102" s="164">
        <v>111.553</v>
      </c>
      <c r="Z102" s="164">
        <v>107.44799999999999</v>
      </c>
      <c r="AA102" s="172">
        <v>96.37</v>
      </c>
      <c r="AB102" s="163">
        <f t="shared" si="24"/>
        <v>414.82093000000003</v>
      </c>
      <c r="AC102" s="163">
        <f t="shared" si="25"/>
        <v>254.60593000000003</v>
      </c>
      <c r="AE102" s="169">
        <f t="shared" si="28"/>
        <v>-22.162000000000006</v>
      </c>
      <c r="AF102" s="169">
        <f t="shared" si="23"/>
        <v>5.9179999999999922</v>
      </c>
      <c r="AG102" s="169">
        <f t="shared" si="23"/>
        <v>10.044000000000011</v>
      </c>
      <c r="AI102" s="165">
        <f t="shared" si="29"/>
        <v>0.69802476751326936</v>
      </c>
      <c r="AJ102" s="165">
        <f t="shared" si="16"/>
        <v>0.93654046133804747</v>
      </c>
    </row>
    <row r="103" spans="1:36" s="156" customFormat="1" ht="12">
      <c r="A103" s="160">
        <v>44986</v>
      </c>
      <c r="B103" s="161">
        <f t="shared" si="18"/>
        <v>488.36599999999999</v>
      </c>
      <c r="C103" s="164">
        <v>5.7069999999999999</v>
      </c>
      <c r="D103" s="164">
        <v>436.13600000000002</v>
      </c>
      <c r="E103" s="164">
        <v>399.12299999999999</v>
      </c>
      <c r="F103" s="164">
        <v>37.012999999999998</v>
      </c>
      <c r="G103" s="164">
        <v>5.9660000000000002</v>
      </c>
      <c r="H103" s="164">
        <v>40.557000000000002</v>
      </c>
      <c r="I103" s="175">
        <v>2416.88</v>
      </c>
      <c r="J103" s="164">
        <v>81.415000000000006</v>
      </c>
      <c r="K103" s="164">
        <v>177.01900000000001</v>
      </c>
      <c r="L103" s="164">
        <v>387.43799999999999</v>
      </c>
      <c r="M103" s="164">
        <v>1705.3710000000001</v>
      </c>
      <c r="N103" s="164">
        <v>1298.7339999999999</v>
      </c>
      <c r="O103" s="164">
        <v>505.762</v>
      </c>
      <c r="P103" s="164">
        <v>48.872</v>
      </c>
      <c r="Q103" s="164">
        <v>292.483</v>
      </c>
      <c r="R103" s="164">
        <v>117.55</v>
      </c>
      <c r="S103" s="163">
        <f t="shared" si="26"/>
        <v>46.541999999999994</v>
      </c>
      <c r="T103" s="164">
        <v>187.12</v>
      </c>
      <c r="U103" s="164">
        <v>154.47200000000001</v>
      </c>
      <c r="V103" s="164">
        <v>143.02600000000001</v>
      </c>
      <c r="W103" s="164">
        <v>140.06899999999999</v>
      </c>
      <c r="X103" s="168">
        <f t="shared" si="27"/>
        <v>2.0674562666927798E-2</v>
      </c>
      <c r="Y103" s="164">
        <v>131.40899999999999</v>
      </c>
      <c r="Z103" s="164">
        <v>106.982</v>
      </c>
      <c r="AA103" s="172">
        <v>97.215000000000003</v>
      </c>
      <c r="AB103" s="163">
        <f t="shared" si="24"/>
        <v>454.14267000000001</v>
      </c>
      <c r="AC103" s="163">
        <f t="shared" si="25"/>
        <v>277.12367</v>
      </c>
      <c r="AE103" s="169">
        <f t="shared" si="28"/>
        <v>7.438999999999993</v>
      </c>
      <c r="AF103" s="169">
        <f t="shared" si="23"/>
        <v>-0.46599999999999397</v>
      </c>
      <c r="AG103" s="169">
        <f t="shared" si="23"/>
        <v>0.84499999999999886</v>
      </c>
      <c r="AI103" s="165">
        <f t="shared" si="29"/>
        <v>0.69433149680674877</v>
      </c>
      <c r="AJ103" s="165">
        <f t="shared" si="16"/>
        <v>0.92992278332234435</v>
      </c>
    </row>
    <row r="104" spans="1:36" s="156" customFormat="1" ht="12">
      <c r="A104" s="160">
        <v>45017</v>
      </c>
      <c r="B104" s="161">
        <f t="shared" si="18"/>
        <v>465.83600000000001</v>
      </c>
      <c r="C104" s="164">
        <v>6.3550000000000004</v>
      </c>
      <c r="D104" s="164">
        <v>414.05900000000003</v>
      </c>
      <c r="E104" s="164">
        <v>380.822</v>
      </c>
      <c r="F104" s="164">
        <v>33.237000000000002</v>
      </c>
      <c r="G104" s="164">
        <v>5.8920000000000003</v>
      </c>
      <c r="H104" s="164">
        <v>39.53</v>
      </c>
      <c r="I104" s="175">
        <v>2219.02</v>
      </c>
      <c r="J104" s="164">
        <v>88.608999999999995</v>
      </c>
      <c r="K104" s="164">
        <v>167.16200000000001</v>
      </c>
      <c r="L104" s="164">
        <v>364.96699999999998</v>
      </c>
      <c r="M104" s="164">
        <v>1619.6769999999999</v>
      </c>
      <c r="N104" s="164">
        <v>1299.1500000000001</v>
      </c>
      <c r="O104" s="164">
        <v>470.52800000000002</v>
      </c>
      <c r="P104" s="164">
        <v>46.598999999999997</v>
      </c>
      <c r="Q104" s="164">
        <v>269.495</v>
      </c>
      <c r="R104" s="164">
        <v>109.13500000000001</v>
      </c>
      <c r="S104" s="163">
        <f t="shared" si="26"/>
        <v>43.660199999999996</v>
      </c>
      <c r="T104" s="164">
        <v>194.48500000000001</v>
      </c>
      <c r="U104" s="164">
        <v>143.27099999999999</v>
      </c>
      <c r="V104" s="164">
        <v>149.30600000000001</v>
      </c>
      <c r="W104" s="164">
        <v>146.626</v>
      </c>
      <c r="X104" s="168">
        <f t="shared" si="27"/>
        <v>1.7949714010153661E-2</v>
      </c>
      <c r="Y104" s="164">
        <v>169.95099999999999</v>
      </c>
      <c r="Z104" s="164">
        <v>83.12</v>
      </c>
      <c r="AA104" s="172">
        <v>85.903000000000006</v>
      </c>
      <c r="AB104" s="163">
        <f t="shared" si="24"/>
        <v>425.29321000000004</v>
      </c>
      <c r="AC104" s="163">
        <f t="shared" si="25"/>
        <v>258.13121000000001</v>
      </c>
      <c r="AE104" s="169">
        <f t="shared" si="28"/>
        <v>6.5570000000000164</v>
      </c>
      <c r="AF104" s="169">
        <f t="shared" si="23"/>
        <v>-23.861999999999995</v>
      </c>
      <c r="AG104" s="169">
        <f t="shared" si="23"/>
        <v>-11.311999999999998</v>
      </c>
      <c r="AI104" s="165">
        <f t="shared" si="29"/>
        <v>0.67782641233962326</v>
      </c>
      <c r="AJ104" s="165">
        <f t="shared" si="16"/>
        <v>0.91296767531921108</v>
      </c>
    </row>
    <row r="105" spans="1:36" s="156" customFormat="1" ht="12">
      <c r="A105" s="160">
        <v>45047</v>
      </c>
      <c r="B105" s="161">
        <f t="shared" si="18"/>
        <v>493.23</v>
      </c>
      <c r="C105" s="164">
        <v>5.149</v>
      </c>
      <c r="D105" s="164">
        <v>439.01100000000002</v>
      </c>
      <c r="E105" s="164">
        <v>406.45400000000001</v>
      </c>
      <c r="F105" s="164">
        <v>32.557000000000002</v>
      </c>
      <c r="G105" s="164">
        <v>7.52</v>
      </c>
      <c r="H105" s="164">
        <v>41.55</v>
      </c>
      <c r="I105" s="175">
        <v>2576.17</v>
      </c>
      <c r="J105" s="164">
        <v>101.166</v>
      </c>
      <c r="K105" s="164">
        <v>184.99299999999999</v>
      </c>
      <c r="L105" s="164">
        <v>415.66899999999998</v>
      </c>
      <c r="M105" s="164">
        <v>1702.0609999999999</v>
      </c>
      <c r="N105" s="164">
        <v>1316.1030000000001</v>
      </c>
      <c r="O105" s="164">
        <v>455.58100000000002</v>
      </c>
      <c r="P105" s="164">
        <v>50.168999999999997</v>
      </c>
      <c r="Q105" s="164">
        <v>264.60599999999999</v>
      </c>
      <c r="R105" s="164">
        <v>114.453</v>
      </c>
      <c r="S105" s="163">
        <f t="shared" si="26"/>
        <v>44.464199999999998</v>
      </c>
      <c r="T105" s="164">
        <v>193.09200000000001</v>
      </c>
      <c r="U105" s="164">
        <v>159.87299999999999</v>
      </c>
      <c r="V105" s="164">
        <v>137.62299999999999</v>
      </c>
      <c r="W105" s="164">
        <v>135.93899999999999</v>
      </c>
      <c r="X105" s="168">
        <f t="shared" si="27"/>
        <v>1.223632677677422E-2</v>
      </c>
      <c r="Y105" s="164">
        <v>145.655</v>
      </c>
      <c r="Z105" s="164">
        <v>72.203000000000003</v>
      </c>
      <c r="AA105" s="172">
        <v>84.855000000000004</v>
      </c>
      <c r="AB105" s="163">
        <f t="shared" si="24"/>
        <v>472.46642000000003</v>
      </c>
      <c r="AC105" s="163">
        <f t="shared" si="25"/>
        <v>287.47342000000003</v>
      </c>
      <c r="AE105" s="169">
        <f t="shared" si="28"/>
        <v>-10.687000000000012</v>
      </c>
      <c r="AF105" s="169">
        <f t="shared" si="23"/>
        <v>-10.917000000000002</v>
      </c>
      <c r="AG105" s="169">
        <f t="shared" si="23"/>
        <v>-1.0480000000000018</v>
      </c>
      <c r="AI105" s="165">
        <f t="shared" si="29"/>
        <v>0.70727172078513201</v>
      </c>
      <c r="AJ105" s="165">
        <f t="shared" si="16"/>
        <v>0.95790284451472951</v>
      </c>
    </row>
    <row r="106" spans="1:36" s="156" customFormat="1" ht="12">
      <c r="A106" s="160">
        <v>45078</v>
      </c>
      <c r="B106" s="161">
        <f t="shared" si="18"/>
        <v>493.13200000000001</v>
      </c>
      <c r="C106" s="164">
        <v>5.4059999999999997</v>
      </c>
      <c r="D106" s="164">
        <v>442.072</v>
      </c>
      <c r="E106" s="164">
        <v>408.28300000000002</v>
      </c>
      <c r="F106" s="164">
        <v>33.789000000000001</v>
      </c>
      <c r="G106" s="164">
        <v>6.2629999999999999</v>
      </c>
      <c r="H106" s="164">
        <v>39.390999999999998</v>
      </c>
      <c r="I106" s="175">
        <v>2465.9899999999998</v>
      </c>
      <c r="J106" s="164">
        <v>117.041</v>
      </c>
      <c r="K106" s="164">
        <v>184.37</v>
      </c>
      <c r="L106" s="164">
        <v>390.66399999999999</v>
      </c>
      <c r="M106" s="164">
        <v>1787.7349999999999</v>
      </c>
      <c r="N106" s="164">
        <v>1302.2829999999999</v>
      </c>
      <c r="O106" s="164">
        <v>414.95299999999997</v>
      </c>
      <c r="P106" s="164">
        <v>45.709000000000003</v>
      </c>
      <c r="Q106" s="164">
        <v>270.06</v>
      </c>
      <c r="R106" s="164">
        <v>110.43</v>
      </c>
      <c r="S106" s="163">
        <f t="shared" si="26"/>
        <v>43.908000000000001</v>
      </c>
      <c r="T106" s="164">
        <v>179.905</v>
      </c>
      <c r="U106" s="164">
        <v>160.43299999999999</v>
      </c>
      <c r="V106" s="164">
        <v>135.13</v>
      </c>
      <c r="W106" s="164">
        <v>131.61600000000001</v>
      </c>
      <c r="X106" s="168">
        <f t="shared" si="27"/>
        <v>2.6004588174350474E-2</v>
      </c>
      <c r="Y106" s="164">
        <v>147.22</v>
      </c>
      <c r="Z106" s="164">
        <v>79.543000000000006</v>
      </c>
      <c r="AA106" s="172">
        <v>54.807000000000002</v>
      </c>
      <c r="AB106" s="163">
        <f t="shared" si="24"/>
        <v>472.38011000000006</v>
      </c>
      <c r="AC106" s="163">
        <f t="shared" si="25"/>
        <v>288.01011000000005</v>
      </c>
      <c r="AE106" s="169">
        <f t="shared" si="28"/>
        <v>-4.3229999999999791</v>
      </c>
      <c r="AF106" s="169">
        <f t="shared" si="23"/>
        <v>7.3400000000000034</v>
      </c>
      <c r="AG106" s="169">
        <f t="shared" si="23"/>
        <v>-30.048000000000002</v>
      </c>
      <c r="AI106" s="165">
        <f t="shared" si="29"/>
        <v>0.70541783517805068</v>
      </c>
      <c r="AJ106" s="165">
        <f t="shared" si="16"/>
        <v>0.95791818417786734</v>
      </c>
    </row>
    <row r="107" spans="1:36" s="156" customFormat="1" ht="12">
      <c r="A107" s="160">
        <v>45108</v>
      </c>
      <c r="B107" s="161">
        <f t="shared" si="18"/>
        <v>505.07300000000004</v>
      </c>
      <c r="C107" s="164">
        <v>4.8769999999999998</v>
      </c>
      <c r="D107" s="164">
        <v>455.24099999999999</v>
      </c>
      <c r="E107" s="164">
        <v>418.36700000000002</v>
      </c>
      <c r="F107" s="164">
        <v>36.874000000000002</v>
      </c>
      <c r="G107" s="164">
        <v>4.7530000000000001</v>
      </c>
      <c r="H107" s="164">
        <v>40.201999999999998</v>
      </c>
      <c r="I107" s="175">
        <v>2549.9299999999998</v>
      </c>
      <c r="J107" s="164">
        <v>110.547</v>
      </c>
      <c r="K107" s="164">
        <v>187.80799999999999</v>
      </c>
      <c r="L107" s="164">
        <v>410.23099999999999</v>
      </c>
      <c r="M107" s="164">
        <v>1784.2819999999999</v>
      </c>
      <c r="N107" s="164">
        <v>1310.74</v>
      </c>
      <c r="O107" s="164">
        <v>430.16899999999998</v>
      </c>
      <c r="P107" s="164">
        <v>48.268999999999998</v>
      </c>
      <c r="Q107" s="164">
        <v>277.99700000000001</v>
      </c>
      <c r="R107" s="164">
        <v>119.45</v>
      </c>
      <c r="S107" s="163">
        <f t="shared" si="26"/>
        <v>46.245599999999996</v>
      </c>
      <c r="T107" s="164">
        <v>224.48400000000001</v>
      </c>
      <c r="U107" s="164">
        <v>148.60499999999999</v>
      </c>
      <c r="V107" s="164">
        <v>132.53200000000001</v>
      </c>
      <c r="W107" s="164">
        <v>128.61799999999999</v>
      </c>
      <c r="X107" s="168">
        <f t="shared" si="27"/>
        <v>2.9532490266501843E-2</v>
      </c>
      <c r="Y107" s="164">
        <v>103.967</v>
      </c>
      <c r="Z107" s="164">
        <v>80.569999999999993</v>
      </c>
      <c r="AA107" s="172">
        <v>64.591999999999999</v>
      </c>
      <c r="AB107" s="163">
        <f t="shared" si="24"/>
        <v>460.88581000000005</v>
      </c>
      <c r="AC107" s="163">
        <f t="shared" si="25"/>
        <v>273.07781000000006</v>
      </c>
      <c r="AE107" s="169">
        <f t="shared" si="28"/>
        <v>-2.9980000000000189</v>
      </c>
      <c r="AF107" s="169">
        <f t="shared" ref="AF107:AG122" si="30">Z107-Z106</f>
        <v>1.0269999999999868</v>
      </c>
      <c r="AG107" s="169">
        <f t="shared" si="30"/>
        <v>9.7849999999999966</v>
      </c>
      <c r="AI107" s="165">
        <f t="shared" si="29"/>
        <v>0.65272311152648288</v>
      </c>
      <c r="AJ107" s="165">
        <f t="shared" si="16"/>
        <v>0.91251326045937919</v>
      </c>
    </row>
    <row r="108" spans="1:36" s="156" customFormat="1" ht="12">
      <c r="A108" s="160">
        <v>45139</v>
      </c>
      <c r="B108" s="161">
        <f t="shared" si="18"/>
        <v>489.00700000000001</v>
      </c>
      <c r="C108" s="164">
        <v>4.9560000000000004</v>
      </c>
      <c r="D108" s="164">
        <v>441.69600000000003</v>
      </c>
      <c r="E108" s="164">
        <v>405.91</v>
      </c>
      <c r="F108" s="164">
        <v>35.786000000000001</v>
      </c>
      <c r="G108" s="164">
        <v>4.8280000000000003</v>
      </c>
      <c r="H108" s="164">
        <v>37.527000000000001</v>
      </c>
      <c r="I108" s="175">
        <v>2754.91</v>
      </c>
      <c r="J108" s="164">
        <v>118.801</v>
      </c>
      <c r="K108" s="164">
        <v>183.16200000000001</v>
      </c>
      <c r="L108" s="164">
        <v>400.51100000000002</v>
      </c>
      <c r="M108" s="164">
        <v>1808.403</v>
      </c>
      <c r="N108" s="164">
        <v>1298.78</v>
      </c>
      <c r="O108" s="164">
        <v>396.04300000000001</v>
      </c>
      <c r="P108" s="164">
        <v>50.250999999999998</v>
      </c>
      <c r="Q108" s="164">
        <v>257.94799999999998</v>
      </c>
      <c r="R108" s="164">
        <v>127.748</v>
      </c>
      <c r="S108" s="163">
        <f t="shared" si="26"/>
        <v>43.9878</v>
      </c>
      <c r="T108" s="164">
        <v>207.39699999999999</v>
      </c>
      <c r="U108" s="164">
        <v>135.68100000000001</v>
      </c>
      <c r="V108" s="164">
        <v>147.26</v>
      </c>
      <c r="W108" s="164">
        <v>142.09299999999999</v>
      </c>
      <c r="X108" s="168">
        <f t="shared" si="27"/>
        <v>3.5087600162977073E-2</v>
      </c>
      <c r="Y108" s="164">
        <v>145.624</v>
      </c>
      <c r="Z108" s="164">
        <v>76.653999999999996</v>
      </c>
      <c r="AA108" s="172">
        <v>51.350999999999999</v>
      </c>
      <c r="AB108" s="163">
        <f t="shared" si="24"/>
        <v>436.81491000000005</v>
      </c>
      <c r="AC108" s="163">
        <f t="shared" si="25"/>
        <v>253.65291000000005</v>
      </c>
      <c r="AE108" s="169">
        <f t="shared" si="28"/>
        <v>13.474999999999994</v>
      </c>
      <c r="AF108" s="169">
        <f t="shared" si="30"/>
        <v>-3.9159999999999968</v>
      </c>
      <c r="AG108" s="169">
        <f t="shared" si="30"/>
        <v>-13.241</v>
      </c>
      <c r="AI108" s="165">
        <f t="shared" si="29"/>
        <v>0.62489938656352406</v>
      </c>
      <c r="AJ108" s="165">
        <f t="shared" si="16"/>
        <v>0.89326923745467868</v>
      </c>
    </row>
    <row r="109" spans="1:36" s="156" customFormat="1" ht="12">
      <c r="A109" s="160">
        <v>45170</v>
      </c>
      <c r="B109" s="161">
        <f t="shared" si="18"/>
        <v>478.14</v>
      </c>
      <c r="C109" s="164">
        <v>5.3810000000000002</v>
      </c>
      <c r="D109" s="164">
        <v>430.15100000000001</v>
      </c>
      <c r="E109" s="164">
        <v>395.88200000000001</v>
      </c>
      <c r="F109" s="164">
        <v>34.268999999999998</v>
      </c>
      <c r="G109" s="164">
        <v>4.2549999999999999</v>
      </c>
      <c r="H109" s="164">
        <v>38.353000000000002</v>
      </c>
      <c r="I109" s="175">
        <v>1634.6100000000001</v>
      </c>
      <c r="J109" s="164">
        <v>104.197</v>
      </c>
      <c r="K109" s="164">
        <v>174.054</v>
      </c>
      <c r="L109" s="164">
        <v>364.88099999999997</v>
      </c>
      <c r="M109" s="164">
        <v>1700.789</v>
      </c>
      <c r="N109" s="164">
        <v>1311.079</v>
      </c>
      <c r="O109" s="164">
        <v>390.67</v>
      </c>
      <c r="P109" s="164">
        <v>54.432000000000002</v>
      </c>
      <c r="Q109" s="164">
        <v>246.78200000000001</v>
      </c>
      <c r="R109" s="164">
        <v>107.988</v>
      </c>
      <c r="S109" s="163">
        <f t="shared" si="26"/>
        <v>43.5732</v>
      </c>
      <c r="T109" s="164">
        <v>196.26400000000001</v>
      </c>
      <c r="U109" s="164">
        <v>121.86799999999999</v>
      </c>
      <c r="V109" s="164">
        <v>155.87200000000001</v>
      </c>
      <c r="W109" s="164">
        <v>149.66200000000001</v>
      </c>
      <c r="X109" s="168">
        <f t="shared" si="27"/>
        <v>3.9840381851775852E-2</v>
      </c>
      <c r="Y109" s="164">
        <v>124.848</v>
      </c>
      <c r="Z109" s="164">
        <v>71.025999999999996</v>
      </c>
      <c r="AA109" s="172">
        <v>51.575000000000003</v>
      </c>
      <c r="AB109" s="163">
        <f t="shared" si="24"/>
        <v>405.41314000000006</v>
      </c>
      <c r="AC109" s="163">
        <f t="shared" si="25"/>
        <v>231.35914000000005</v>
      </c>
      <c r="AE109" s="169">
        <f t="shared" si="28"/>
        <v>7.5690000000000168</v>
      </c>
      <c r="AF109" s="169">
        <f t="shared" si="30"/>
        <v>-5.6280000000000001</v>
      </c>
      <c r="AG109" s="169">
        <f t="shared" si="30"/>
        <v>0.22400000000000375</v>
      </c>
      <c r="AI109" s="165">
        <f t="shared" si="29"/>
        <v>0.58441439620897151</v>
      </c>
      <c r="AJ109" s="165">
        <f t="shared" si="16"/>
        <v>0.84789630652110271</v>
      </c>
    </row>
    <row r="110" spans="1:36" s="156" customFormat="1" ht="12">
      <c r="A110" s="160">
        <v>45200</v>
      </c>
      <c r="B110" s="161">
        <f t="shared" si="18"/>
        <v>509.53000000000003</v>
      </c>
      <c r="C110" s="164">
        <v>6.4210000000000003</v>
      </c>
      <c r="D110" s="164">
        <v>460.03</v>
      </c>
      <c r="E110" s="164">
        <v>422.99400000000003</v>
      </c>
      <c r="F110" s="164">
        <v>37.036000000000001</v>
      </c>
      <c r="G110" s="164">
        <v>4.75</v>
      </c>
      <c r="H110" s="164">
        <v>38.329000000000001</v>
      </c>
      <c r="I110" s="175">
        <v>1163.54</v>
      </c>
      <c r="J110" s="164">
        <v>114.333</v>
      </c>
      <c r="K110" s="164">
        <v>189.584</v>
      </c>
      <c r="L110" s="164">
        <v>431.149</v>
      </c>
      <c r="M110" s="164">
        <v>1820.2719999999999</v>
      </c>
      <c r="N110" s="164">
        <v>1376.7339999999999</v>
      </c>
      <c r="O110" s="164">
        <v>424.46899999999999</v>
      </c>
      <c r="P110" s="164">
        <v>53.396999999999998</v>
      </c>
      <c r="Q110" s="164">
        <v>265.90800000000002</v>
      </c>
      <c r="R110" s="164">
        <v>116.953</v>
      </c>
      <c r="S110" s="163">
        <f t="shared" si="26"/>
        <v>45.219000000000001</v>
      </c>
      <c r="T110" s="164">
        <v>212.42400000000001</v>
      </c>
      <c r="U110" s="164">
        <v>133.00800000000001</v>
      </c>
      <c r="V110" s="164">
        <v>151.756</v>
      </c>
      <c r="W110" s="164">
        <v>147.61199999999999</v>
      </c>
      <c r="X110" s="168">
        <f t="shared" si="27"/>
        <v>2.7306992804238428E-2</v>
      </c>
      <c r="Y110" s="164">
        <v>120.324</v>
      </c>
      <c r="Z110" s="164">
        <v>80.126000000000005</v>
      </c>
      <c r="AA110" s="172">
        <v>68.501999999999995</v>
      </c>
      <c r="AB110" s="163">
        <f t="shared" si="24"/>
        <v>441.95104000000003</v>
      </c>
      <c r="AC110" s="163">
        <f t="shared" si="25"/>
        <v>252.36704000000003</v>
      </c>
      <c r="AE110" s="169">
        <f t="shared" si="28"/>
        <v>-2.0500000000000114</v>
      </c>
      <c r="AF110" s="169">
        <f t="shared" si="30"/>
        <v>9.1000000000000085</v>
      </c>
      <c r="AG110" s="169">
        <f t="shared" si="30"/>
        <v>16.926999999999992</v>
      </c>
      <c r="AI110" s="165">
        <f t="shared" si="29"/>
        <v>0.59662085041395385</v>
      </c>
      <c r="AJ110" s="165">
        <f t="shared" si="16"/>
        <v>0.86737000765411265</v>
      </c>
    </row>
    <row r="111" spans="1:36" s="156" customFormat="1" ht="12">
      <c r="A111" s="160">
        <v>45231</v>
      </c>
      <c r="B111" s="161">
        <f t="shared" si="18"/>
        <v>507.08300000000003</v>
      </c>
      <c r="C111" s="164">
        <v>5.351</v>
      </c>
      <c r="D111" s="164">
        <v>457.28500000000003</v>
      </c>
      <c r="E111" s="164">
        <v>421.50200000000001</v>
      </c>
      <c r="F111" s="164">
        <v>35.783000000000001</v>
      </c>
      <c r="G111" s="164">
        <v>6.1159999999999997</v>
      </c>
      <c r="H111" s="164">
        <v>38.331000000000003</v>
      </c>
      <c r="I111" s="175">
        <v>783.52</v>
      </c>
      <c r="J111" s="164">
        <v>122.98399999999999</v>
      </c>
      <c r="K111" s="164">
        <v>188.00800000000001</v>
      </c>
      <c r="L111" s="164">
        <v>399.55500000000001</v>
      </c>
      <c r="M111" s="164">
        <v>1796.675</v>
      </c>
      <c r="N111" s="164">
        <v>1367.046</v>
      </c>
      <c r="O111" s="164">
        <v>453.94400000000002</v>
      </c>
      <c r="P111" s="164">
        <v>61.69</v>
      </c>
      <c r="Q111" s="164">
        <v>242.46199999999999</v>
      </c>
      <c r="R111" s="164">
        <v>110.684</v>
      </c>
      <c r="S111" s="163">
        <f t="shared" si="26"/>
        <v>44.468400000000003</v>
      </c>
      <c r="T111" s="164">
        <v>202.53399999999999</v>
      </c>
      <c r="U111" s="164">
        <v>166.58199999999999</v>
      </c>
      <c r="V111" s="164">
        <v>169.648</v>
      </c>
      <c r="W111" s="164">
        <v>165.387</v>
      </c>
      <c r="X111" s="168">
        <f t="shared" si="27"/>
        <v>2.5116712251249673E-2</v>
      </c>
      <c r="Y111" s="164">
        <v>156.06</v>
      </c>
      <c r="Z111" s="164">
        <v>80.126000000000005</v>
      </c>
      <c r="AA111" s="172">
        <v>61.316000000000003</v>
      </c>
      <c r="AB111" s="163">
        <f t="shared" si="24"/>
        <v>485.78830000000011</v>
      </c>
      <c r="AC111" s="163">
        <f t="shared" si="25"/>
        <v>297.78030000000012</v>
      </c>
      <c r="AE111" s="169">
        <f t="shared" si="28"/>
        <v>17.775000000000006</v>
      </c>
      <c r="AF111" s="169">
        <f t="shared" si="30"/>
        <v>0</v>
      </c>
      <c r="AG111" s="169">
        <f t="shared" si="30"/>
        <v>-7.1859999999999928</v>
      </c>
      <c r="AI111" s="165">
        <f t="shared" si="29"/>
        <v>0.70647422788029501</v>
      </c>
      <c r="AJ111" s="165">
        <f t="shared" si="16"/>
        <v>0.95800549416959369</v>
      </c>
    </row>
    <row r="112" spans="1:36" s="156" customFormat="1" ht="12">
      <c r="A112" s="160">
        <v>45261</v>
      </c>
      <c r="B112" s="161">
        <f t="shared" si="18"/>
        <v>531.15699999999993</v>
      </c>
      <c r="C112" s="164">
        <v>3.7949999999999999</v>
      </c>
      <c r="D112" s="164">
        <v>483.99900000000002</v>
      </c>
      <c r="E112" s="164">
        <v>444.899</v>
      </c>
      <c r="F112" s="164">
        <v>39.1</v>
      </c>
      <c r="G112" s="164">
        <v>6.3609999999999998</v>
      </c>
      <c r="H112" s="164">
        <v>37.002000000000002</v>
      </c>
      <c r="I112" s="175">
        <v>479.21999999999997</v>
      </c>
      <c r="J112" s="164">
        <v>95.804000000000002</v>
      </c>
      <c r="K112" s="164">
        <v>184.244</v>
      </c>
      <c r="L112" s="164">
        <v>388.93200000000002</v>
      </c>
      <c r="M112" s="164">
        <v>1949.45</v>
      </c>
      <c r="N112" s="164">
        <v>1398.38</v>
      </c>
      <c r="O112" s="164">
        <v>482.524</v>
      </c>
      <c r="P112" s="164">
        <v>56.348999999999997</v>
      </c>
      <c r="Q112" s="164">
        <v>245.983</v>
      </c>
      <c r="R112" s="164">
        <v>113.012</v>
      </c>
      <c r="S112" s="163">
        <f t="shared" si="26"/>
        <v>45.661200000000001</v>
      </c>
      <c r="T112" s="164">
        <v>209.81800000000001</v>
      </c>
      <c r="U112" s="164">
        <v>149.196</v>
      </c>
      <c r="V112" s="164">
        <v>150.678</v>
      </c>
      <c r="W112" s="164">
        <v>146.59</v>
      </c>
      <c r="X112" s="168">
        <f t="shared" si="27"/>
        <v>2.7130702557772168E-2</v>
      </c>
      <c r="Y112" s="164">
        <v>119.251</v>
      </c>
      <c r="Z112" s="176">
        <f>FORECAST(V112,Z100:Z111,V100:V111)</f>
        <v>85.166451199452155</v>
      </c>
      <c r="AA112" s="172">
        <v>65.563999999999993</v>
      </c>
      <c r="AB112" s="163">
        <f t="shared" si="24"/>
        <v>456.81280000000004</v>
      </c>
      <c r="AC112" s="163">
        <f t="shared" si="25"/>
        <v>272.56880000000001</v>
      </c>
      <c r="AE112" s="169">
        <f t="shared" si="28"/>
        <v>-18.796999999999997</v>
      </c>
      <c r="AF112" s="169">
        <f t="shared" si="30"/>
        <v>5.0404511994521499</v>
      </c>
      <c r="AG112" s="169">
        <f t="shared" si="30"/>
        <v>4.2479999999999905</v>
      </c>
      <c r="AI112" s="165">
        <f t="shared" si="29"/>
        <v>0.6126532089305663</v>
      </c>
      <c r="AJ112" s="165">
        <f t="shared" si="16"/>
        <v>0.86003347409523001</v>
      </c>
    </row>
    <row r="113" spans="1:36" s="156" customFormat="1" ht="12">
      <c r="A113" s="160">
        <v>45292</v>
      </c>
      <c r="B113" s="161">
        <f t="shared" si="18"/>
        <v>484.70700000000005</v>
      </c>
      <c r="C113" s="164">
        <v>3.9990000000000001</v>
      </c>
      <c r="D113" s="164">
        <v>441.07600000000002</v>
      </c>
      <c r="E113" s="164">
        <v>407.964</v>
      </c>
      <c r="F113" s="164">
        <v>33.112000000000002</v>
      </c>
      <c r="G113" s="164">
        <v>5.2279999999999998</v>
      </c>
      <c r="H113" s="164">
        <v>34.404000000000003</v>
      </c>
      <c r="I113" s="166">
        <v>759.06000000000006</v>
      </c>
      <c r="J113" s="164">
        <v>93.349000000000004</v>
      </c>
      <c r="K113" s="164">
        <v>170.54900000000001</v>
      </c>
      <c r="L113" s="164">
        <v>366.738</v>
      </c>
      <c r="M113" s="164">
        <v>1763.3869999999999</v>
      </c>
      <c r="N113" s="164">
        <v>1302.556</v>
      </c>
      <c r="O113" s="164">
        <v>474.49799999999999</v>
      </c>
      <c r="P113" s="164">
        <v>53.813000000000002</v>
      </c>
      <c r="Q113" s="164">
        <v>225.691</v>
      </c>
      <c r="R113" s="164">
        <v>104.117</v>
      </c>
      <c r="S113" s="163">
        <f t="shared" si="26"/>
        <v>40.509599999999999</v>
      </c>
      <c r="T113" s="164">
        <v>200.08600000000001</v>
      </c>
      <c r="U113" s="164">
        <v>130.43199999999999</v>
      </c>
      <c r="V113" s="164">
        <v>138.03299999999999</v>
      </c>
      <c r="W113" s="164">
        <v>134.672</v>
      </c>
      <c r="X113" s="168">
        <f t="shared" si="27"/>
        <v>2.4349249817072649E-2</v>
      </c>
      <c r="Y113" s="164">
        <v>120.459</v>
      </c>
      <c r="Z113" s="176">
        <f>FORECAST(V113,Z89:Z112,V89:V112)</f>
        <v>87.137101408335624</v>
      </c>
      <c r="AA113" s="176">
        <f>FORECAST(W113,AA89:AA112,W89:W112)</f>
        <v>74.672320720171456</v>
      </c>
      <c r="AB113" s="163">
        <f t="shared" si="24"/>
        <v>412.34397000000001</v>
      </c>
      <c r="AC113" s="163">
        <f t="shared" si="25"/>
        <v>241.79497000000001</v>
      </c>
      <c r="AE113" s="169">
        <f t="shared" si="28"/>
        <v>-11.918000000000006</v>
      </c>
      <c r="AF113" s="169">
        <f t="shared" si="30"/>
        <v>1.9706502088834696</v>
      </c>
      <c r="AG113" s="169">
        <f t="shared" si="30"/>
        <v>9.1083207201714629</v>
      </c>
      <c r="AI113" s="165">
        <f t="shared" si="29"/>
        <v>0.5926870263062427</v>
      </c>
      <c r="AJ113" s="165">
        <f t="shared" si="16"/>
        <v>0.85070768526140528</v>
      </c>
    </row>
    <row r="114" spans="1:36" s="156" customFormat="1" ht="12">
      <c r="A114" s="160">
        <v>45323</v>
      </c>
      <c r="B114" s="161">
        <f t="shared" si="18"/>
        <v>496.29700000000008</v>
      </c>
      <c r="C114" s="164">
        <v>4.5350000000000001</v>
      </c>
      <c r="D114" s="164">
        <v>445.48399999999998</v>
      </c>
      <c r="E114" s="164">
        <v>411.87700000000001</v>
      </c>
      <c r="F114" s="164">
        <v>33.606999999999999</v>
      </c>
      <c r="G114" s="164">
        <v>7.4130000000000003</v>
      </c>
      <c r="H114" s="164">
        <v>38.865000000000002</v>
      </c>
      <c r="I114" s="166">
        <v>897.6099999999999</v>
      </c>
      <c r="J114" s="164">
        <v>78.91</v>
      </c>
      <c r="K114" s="164">
        <v>174.864</v>
      </c>
      <c r="L114" s="164">
        <v>371.63900000000001</v>
      </c>
      <c r="M114" s="164">
        <v>1809.1969999999999</v>
      </c>
      <c r="N114" s="164">
        <v>1172.818</v>
      </c>
      <c r="O114" s="164">
        <v>456.73700000000002</v>
      </c>
      <c r="P114" s="164">
        <v>58.545999999999999</v>
      </c>
      <c r="Q114" s="164">
        <v>254.386</v>
      </c>
      <c r="R114" s="164">
        <v>112.56399999999999</v>
      </c>
      <c r="S114" s="163">
        <f t="shared" si="26"/>
        <v>43.483200000000004</v>
      </c>
      <c r="T114" s="164">
        <v>207.42099999999999</v>
      </c>
      <c r="U114" s="164">
        <v>156.92599999999999</v>
      </c>
      <c r="V114" s="164">
        <v>133.15199999999999</v>
      </c>
      <c r="W114" s="164">
        <v>129.77000000000001</v>
      </c>
      <c r="X114" s="168">
        <f t="shared" si="27"/>
        <v>2.5399543378995304E-2</v>
      </c>
      <c r="Y114" s="164">
        <v>128.404</v>
      </c>
      <c r="Z114" s="164">
        <v>93.994</v>
      </c>
      <c r="AA114" s="172">
        <v>53.975999999999999</v>
      </c>
      <c r="AB114" s="163">
        <f t="shared" si="24"/>
        <v>454.5523</v>
      </c>
      <c r="AC114" s="163">
        <f t="shared" si="25"/>
        <v>279.68830000000003</v>
      </c>
      <c r="AE114" s="169">
        <f t="shared" si="28"/>
        <v>-4.9019999999999868</v>
      </c>
      <c r="AF114" s="169">
        <f t="shared" si="30"/>
        <v>6.8568985916643754</v>
      </c>
      <c r="AG114" s="169">
        <f t="shared" si="30"/>
        <v>-20.696320720171457</v>
      </c>
      <c r="AI114" s="165">
        <f t="shared" si="29"/>
        <v>0.67905782551587013</v>
      </c>
      <c r="AJ114" s="165">
        <f t="shared" si="16"/>
        <v>0.9158876640398792</v>
      </c>
    </row>
    <row r="115" spans="1:36" s="156" customFormat="1" ht="12">
      <c r="A115" s="160">
        <v>45352</v>
      </c>
      <c r="B115" s="161">
        <f t="shared" si="18"/>
        <v>524.86899999999991</v>
      </c>
      <c r="C115" s="164">
        <v>4.3</v>
      </c>
      <c r="D115" s="164">
        <v>472.07600000000002</v>
      </c>
      <c r="E115" s="164">
        <v>435.58800000000002</v>
      </c>
      <c r="F115" s="164">
        <v>36.488</v>
      </c>
      <c r="G115" s="164">
        <v>8.4209999999999994</v>
      </c>
      <c r="H115" s="164">
        <v>40.072000000000003</v>
      </c>
      <c r="I115" s="166">
        <v>911.54</v>
      </c>
      <c r="J115" s="164">
        <v>84.811999999999998</v>
      </c>
      <c r="K115" s="164">
        <v>186.501</v>
      </c>
      <c r="L115" s="164">
        <v>394.38799999999998</v>
      </c>
      <c r="M115" s="164">
        <v>1931.9649999999999</v>
      </c>
      <c r="N115" s="164">
        <v>1223.1869999999999</v>
      </c>
      <c r="O115" s="164">
        <v>459.8</v>
      </c>
      <c r="P115" s="164">
        <v>53.606000000000002</v>
      </c>
      <c r="Q115" s="164">
        <v>270.23</v>
      </c>
      <c r="R115" s="164">
        <v>116.91</v>
      </c>
      <c r="S115" s="163">
        <f t="shared" si="26"/>
        <v>45.936</v>
      </c>
      <c r="T115" s="164">
        <v>214.03800000000001</v>
      </c>
      <c r="U115" s="164">
        <v>153.56100000000001</v>
      </c>
      <c r="V115" s="164">
        <v>144.12299999999999</v>
      </c>
      <c r="W115" s="164">
        <v>140.762</v>
      </c>
      <c r="X115" s="168">
        <f t="shared" si="27"/>
        <v>2.3320358305058853E-2</v>
      </c>
      <c r="Y115" s="164">
        <v>106.057</v>
      </c>
      <c r="Z115" s="164">
        <v>101.18600000000001</v>
      </c>
      <c r="AA115" s="172">
        <v>74.073999999999998</v>
      </c>
      <c r="AB115" s="163">
        <f t="shared" si="24"/>
        <v>465.88494000000003</v>
      </c>
      <c r="AC115" s="163">
        <f t="shared" si="25"/>
        <v>279.38394000000005</v>
      </c>
      <c r="AE115" s="169">
        <f t="shared" si="28"/>
        <v>10.99199999999999</v>
      </c>
      <c r="AF115" s="169">
        <f t="shared" si="30"/>
        <v>7.1920000000000073</v>
      </c>
      <c r="AG115" s="169">
        <f t="shared" si="30"/>
        <v>20.097999999999999</v>
      </c>
      <c r="AI115" s="165">
        <f t="shared" si="29"/>
        <v>0.64139494200942182</v>
      </c>
      <c r="AJ115" s="165">
        <f t="shared" si="16"/>
        <v>0.88762136837953876</v>
      </c>
    </row>
    <row r="116" spans="1:36" s="156" customFormat="1" ht="12">
      <c r="A116" s="160">
        <v>45383</v>
      </c>
      <c r="B116" s="161">
        <f t="shared" si="18"/>
        <v>471.68099999999998</v>
      </c>
      <c r="C116" s="164">
        <v>4.157</v>
      </c>
      <c r="D116" s="164">
        <v>422.56700000000001</v>
      </c>
      <c r="E116" s="164">
        <v>389.81700000000001</v>
      </c>
      <c r="F116" s="164">
        <v>32.75</v>
      </c>
      <c r="G116" s="164">
        <v>6.1449999999999996</v>
      </c>
      <c r="H116" s="164">
        <v>38.811999999999998</v>
      </c>
      <c r="I116" s="166">
        <v>1011.88</v>
      </c>
      <c r="J116" s="164">
        <v>88.403000000000006</v>
      </c>
      <c r="K116" s="164">
        <v>178.529</v>
      </c>
      <c r="L116" s="164">
        <v>376.77</v>
      </c>
      <c r="M116" s="164">
        <v>1756.396</v>
      </c>
      <c r="N116" s="164">
        <v>1248.0170000000001</v>
      </c>
      <c r="O116" s="164">
        <v>447.37700000000001</v>
      </c>
      <c r="P116" s="164">
        <v>48.561999999999998</v>
      </c>
      <c r="Q116" s="164">
        <v>238.119</v>
      </c>
      <c r="R116" s="164">
        <v>109.375</v>
      </c>
      <c r="S116" s="163">
        <f t="shared" si="26"/>
        <v>42.937199999999997</v>
      </c>
      <c r="T116" s="164">
        <v>199.18199999999999</v>
      </c>
      <c r="U116" s="164">
        <v>123.709</v>
      </c>
      <c r="V116" s="164">
        <v>153.52099999999999</v>
      </c>
      <c r="W116" s="164">
        <v>149.29400000000001</v>
      </c>
      <c r="X116" s="168">
        <f t="shared" si="27"/>
        <v>2.7533692459011938E-2</v>
      </c>
      <c r="Y116" s="164">
        <v>126.002</v>
      </c>
      <c r="Z116" s="164">
        <v>108.158</v>
      </c>
      <c r="AA116" s="172">
        <v>71.054000000000002</v>
      </c>
      <c r="AB116" s="163">
        <f t="shared" si="24"/>
        <v>414.06606000000005</v>
      </c>
      <c r="AC116" s="163">
        <f t="shared" si="25"/>
        <v>235.53706000000005</v>
      </c>
      <c r="AE116" s="169">
        <f t="shared" si="28"/>
        <v>8.5320000000000107</v>
      </c>
      <c r="AF116" s="169">
        <f t="shared" si="30"/>
        <v>6.9719999999999942</v>
      </c>
      <c r="AG116" s="169">
        <f t="shared" si="30"/>
        <v>-3.019999999999996</v>
      </c>
      <c r="AI116" s="165">
        <f t="shared" si="29"/>
        <v>0.60422470030809339</v>
      </c>
      <c r="AJ116" s="165">
        <f t="shared" si="16"/>
        <v>0.87785189566677491</v>
      </c>
    </row>
    <row r="117" spans="1:36" s="156" customFormat="1" ht="12">
      <c r="A117" s="160">
        <v>45413</v>
      </c>
      <c r="B117" s="161">
        <f t="shared" si="18"/>
        <v>509.68</v>
      </c>
      <c r="C117" s="164">
        <v>3.7469999999999999</v>
      </c>
      <c r="D117" s="164">
        <v>455.399</v>
      </c>
      <c r="E117" s="164">
        <v>420.10300000000001</v>
      </c>
      <c r="F117" s="164">
        <v>35.295999999999999</v>
      </c>
      <c r="G117" s="164">
        <v>6.7089999999999996</v>
      </c>
      <c r="H117" s="164">
        <v>43.825000000000003</v>
      </c>
      <c r="I117" s="166">
        <v>910.67</v>
      </c>
      <c r="J117" s="164">
        <v>95.712000000000003</v>
      </c>
      <c r="K117" s="164">
        <v>192.24</v>
      </c>
      <c r="L117" s="164">
        <v>379.57</v>
      </c>
      <c r="M117" s="164">
        <v>2002.9839999999999</v>
      </c>
      <c r="N117" s="164">
        <v>1213.1420000000001</v>
      </c>
      <c r="O117" s="164">
        <v>419.45</v>
      </c>
      <c r="P117" s="164">
        <v>57.308</v>
      </c>
      <c r="Q117" s="164">
        <v>270.29199999999997</v>
      </c>
      <c r="R117" s="164">
        <v>119.711</v>
      </c>
      <c r="S117" s="163">
        <f t="shared" si="26"/>
        <v>47.472600000000007</v>
      </c>
      <c r="T117" s="164">
        <v>209.01599999999999</v>
      </c>
      <c r="U117" s="164">
        <v>155.30099999999999</v>
      </c>
      <c r="V117" s="164">
        <v>175.786</v>
      </c>
      <c r="W117" s="164">
        <v>171.02799999999999</v>
      </c>
      <c r="X117" s="168">
        <f t="shared" si="27"/>
        <v>2.7067001922792544E-2</v>
      </c>
      <c r="Y117" s="164">
        <v>143.48599999999999</v>
      </c>
      <c r="Z117" s="164">
        <v>92.21</v>
      </c>
      <c r="AA117" s="176">
        <f>FORECAST(W117,AA93:AA116,W93:W116)</f>
        <v>81.501790957666344</v>
      </c>
      <c r="AB117" s="163">
        <f t="shared" si="24"/>
        <v>476.13117000000005</v>
      </c>
      <c r="AC117" s="163">
        <f t="shared" si="25"/>
        <v>283.89117000000005</v>
      </c>
      <c r="AE117" s="169">
        <f t="shared" si="28"/>
        <v>21.73399999999998</v>
      </c>
      <c r="AF117" s="169">
        <f t="shared" si="30"/>
        <v>-15.948000000000008</v>
      </c>
      <c r="AG117" s="169">
        <f t="shared" si="30"/>
        <v>10.447790957666342</v>
      </c>
      <c r="AI117" s="165">
        <f t="shared" si="29"/>
        <v>0.6757656336660296</v>
      </c>
      <c r="AJ117" s="165">
        <f t="shared" si="16"/>
        <v>0.93417667948516725</v>
      </c>
    </row>
    <row r="118" spans="1:36" s="156" customFormat="1" ht="12">
      <c r="A118" s="160">
        <v>45444</v>
      </c>
      <c r="B118" s="161">
        <f t="shared" si="18"/>
        <v>498.51000000000005</v>
      </c>
      <c r="C118" s="164">
        <v>4.032</v>
      </c>
      <c r="D118" s="164">
        <v>446.13600000000002</v>
      </c>
      <c r="E118" s="164">
        <v>409.86</v>
      </c>
      <c r="F118" s="164">
        <v>36.276000000000003</v>
      </c>
      <c r="G118" s="164">
        <v>6.8620000000000001</v>
      </c>
      <c r="H118" s="164">
        <v>41.48</v>
      </c>
      <c r="I118" s="166">
        <v>1293.3899999999999</v>
      </c>
      <c r="J118" s="164">
        <v>106.473</v>
      </c>
      <c r="K118" s="164">
        <v>186.82</v>
      </c>
      <c r="L118" s="164">
        <v>353.83699999999999</v>
      </c>
      <c r="M118" s="164">
        <v>1801.769</v>
      </c>
      <c r="N118" s="164">
        <v>1115.7470000000001</v>
      </c>
      <c r="O118" s="164">
        <v>379.42599999999999</v>
      </c>
      <c r="P118" s="164">
        <v>60.015000000000001</v>
      </c>
      <c r="Q118" s="164">
        <v>272.101</v>
      </c>
      <c r="R118" s="164">
        <v>113.544</v>
      </c>
      <c r="S118" s="163">
        <f t="shared" si="26"/>
        <v>46.653599999999997</v>
      </c>
      <c r="T118" s="164">
        <v>197.84700000000001</v>
      </c>
      <c r="U118" s="164">
        <v>163.81800000000001</v>
      </c>
      <c r="V118" s="164">
        <v>138.88200000000001</v>
      </c>
      <c r="W118" s="164">
        <v>134.74100000000001</v>
      </c>
      <c r="X118" s="168">
        <f t="shared" si="27"/>
        <v>2.9816678907273686E-2</v>
      </c>
      <c r="Y118" s="164">
        <v>102.849</v>
      </c>
      <c r="Z118" s="164">
        <v>75.558999999999997</v>
      </c>
      <c r="AA118" s="176">
        <f>FORECAST(W118,AA94:AA117,W94:W117)</f>
        <v>72.121221287287113</v>
      </c>
      <c r="AB118" s="163">
        <f t="shared" si="24"/>
        <v>480.3740600000001</v>
      </c>
      <c r="AC118" s="163">
        <f t="shared" si="25"/>
        <v>293.55406000000011</v>
      </c>
      <c r="AE118" s="169">
        <f t="shared" si="28"/>
        <v>-36.286999999999978</v>
      </c>
      <c r="AF118" s="169">
        <f t="shared" si="30"/>
        <v>-16.650999999999996</v>
      </c>
      <c r="AG118" s="169">
        <f t="shared" si="30"/>
        <v>-9.3805696703792307</v>
      </c>
      <c r="AI118" s="165">
        <f t="shared" si="29"/>
        <v>0.71623007856341214</v>
      </c>
      <c r="AJ118" s="165">
        <f t="shared" si="16"/>
        <v>0.96361970672604369</v>
      </c>
    </row>
    <row r="119" spans="1:36" s="156" customFormat="1" ht="12">
      <c r="A119" s="160">
        <v>45474</v>
      </c>
      <c r="B119" s="161">
        <f t="shared" si="18"/>
        <v>537.82899999999995</v>
      </c>
      <c r="C119" s="164">
        <v>4.6360000000000001</v>
      </c>
      <c r="D119" s="164">
        <v>483.87</v>
      </c>
      <c r="E119" s="164">
        <v>446.78800000000001</v>
      </c>
      <c r="F119" s="164">
        <v>37.082000000000001</v>
      </c>
      <c r="G119" s="164">
        <v>6.4260000000000002</v>
      </c>
      <c r="H119" s="164">
        <v>42.896999999999998</v>
      </c>
      <c r="I119" s="166">
        <v>1366.6499999999999</v>
      </c>
      <c r="J119" s="164">
        <v>90.834999999999994</v>
      </c>
      <c r="K119" s="164">
        <v>204.81800000000001</v>
      </c>
      <c r="L119" s="164">
        <v>392.863</v>
      </c>
      <c r="M119" s="164">
        <v>1999.5360000000001</v>
      </c>
      <c r="N119" s="164">
        <v>1222.5429999999999</v>
      </c>
      <c r="O119" s="164">
        <v>396.35399999999998</v>
      </c>
      <c r="P119" s="164">
        <v>64.600999999999999</v>
      </c>
      <c r="Q119" s="164">
        <v>293.887</v>
      </c>
      <c r="R119" s="164">
        <v>118.626</v>
      </c>
      <c r="S119" s="163">
        <f t="shared" si="26"/>
        <v>47.987400000000001</v>
      </c>
      <c r="T119" s="164">
        <v>210.01300000000001</v>
      </c>
      <c r="U119" s="164">
        <v>165.10599999999999</v>
      </c>
      <c r="V119" s="164">
        <v>159.44200000000001</v>
      </c>
      <c r="W119" s="164">
        <v>154.411</v>
      </c>
      <c r="X119" s="168">
        <f t="shared" si="27"/>
        <v>3.1553793856073042E-2</v>
      </c>
      <c r="Y119" s="164">
        <v>147.423</v>
      </c>
      <c r="Z119" s="164">
        <v>84.468000000000004</v>
      </c>
      <c r="AA119" s="176">
        <f>FORECAST(W119,AA95:AA118,W95:W118)</f>
        <v>75.590592009744796</v>
      </c>
      <c r="AB119" s="163">
        <f t="shared" si="24"/>
        <v>506.79588000000001</v>
      </c>
      <c r="AC119" s="163">
        <f t="shared" si="25"/>
        <v>301.97788000000003</v>
      </c>
      <c r="AE119" s="169">
        <f t="shared" si="28"/>
        <v>19.669999999999987</v>
      </c>
      <c r="AF119" s="169">
        <f t="shared" si="30"/>
        <v>8.909000000000006</v>
      </c>
      <c r="AG119" s="169">
        <f t="shared" si="30"/>
        <v>3.4693707224576826</v>
      </c>
      <c r="AI119" s="165">
        <f t="shared" si="29"/>
        <v>0.67588628163692854</v>
      </c>
      <c r="AJ119" s="165">
        <f t="shared" si="16"/>
        <v>0.94229928099823557</v>
      </c>
    </row>
    <row r="120" spans="1:36" s="156" customFormat="1" ht="12">
      <c r="A120" s="160">
        <v>45505</v>
      </c>
      <c r="B120" s="161">
        <f t="shared" si="18"/>
        <v>525.303</v>
      </c>
      <c r="C120" s="164">
        <v>3.9129999999999998</v>
      </c>
      <c r="D120" s="164">
        <v>472.697</v>
      </c>
      <c r="E120" s="164">
        <v>434.02699999999999</v>
      </c>
      <c r="F120" s="164">
        <v>38.67</v>
      </c>
      <c r="G120" s="164">
        <v>6.3470000000000004</v>
      </c>
      <c r="H120" s="164">
        <v>42.345999999999997</v>
      </c>
      <c r="I120" s="166">
        <v>1520.47</v>
      </c>
      <c r="J120" s="164">
        <v>97.561000000000007</v>
      </c>
      <c r="K120" s="164">
        <v>196.55600000000001</v>
      </c>
      <c r="L120" s="164">
        <v>390.79399999999998</v>
      </c>
      <c r="M120" s="164">
        <v>1997.75</v>
      </c>
      <c r="N120" s="164">
        <v>1227.027</v>
      </c>
      <c r="O120" s="164">
        <v>377.20699999999999</v>
      </c>
      <c r="P120" s="164">
        <v>61.667999999999999</v>
      </c>
      <c r="Q120" s="164">
        <v>291.428</v>
      </c>
      <c r="R120" s="164">
        <v>116.255</v>
      </c>
      <c r="S120" s="163">
        <f t="shared" si="26"/>
        <v>48.609599999999993</v>
      </c>
      <c r="T120" s="164">
        <v>191.30500000000001</v>
      </c>
      <c r="U120" s="164">
        <v>164.51</v>
      </c>
      <c r="V120" s="164">
        <v>166.59</v>
      </c>
      <c r="W120" s="164">
        <v>161.85300000000001</v>
      </c>
      <c r="X120" s="168">
        <f t="shared" si="27"/>
        <v>2.8435080136862911E-2</v>
      </c>
      <c r="Y120" s="164">
        <v>145.13800000000001</v>
      </c>
      <c r="Z120" s="164">
        <v>93.305000000000007</v>
      </c>
      <c r="AA120" s="176">
        <f>FORECAST(W120,AA96:AA119,W96:W119)</f>
        <v>76.027720660733792</v>
      </c>
      <c r="AB120" s="163">
        <f t="shared" si="24"/>
        <v>494.6604200000001</v>
      </c>
      <c r="AC120" s="163">
        <f t="shared" si="25"/>
        <v>298.10442000000012</v>
      </c>
      <c r="AE120" s="169">
        <f t="shared" si="28"/>
        <v>7.4420000000000073</v>
      </c>
      <c r="AF120" s="169">
        <f t="shared" si="30"/>
        <v>8.8370000000000033</v>
      </c>
      <c r="AG120" s="169">
        <f t="shared" si="30"/>
        <v>0.43712865098899556</v>
      </c>
      <c r="AI120" s="165">
        <f t="shared" si="29"/>
        <v>0.68683381448619585</v>
      </c>
      <c r="AJ120" s="165">
        <f t="shared" si="16"/>
        <v>0.94166684751467267</v>
      </c>
    </row>
    <row r="121" spans="1:36" s="156" customFormat="1" ht="12">
      <c r="A121" s="160">
        <v>45536</v>
      </c>
      <c r="B121" s="161">
        <f t="shared" si="18"/>
        <v>495.77600000000001</v>
      </c>
      <c r="C121" s="164">
        <v>3.5129999999999999</v>
      </c>
      <c r="D121" s="164">
        <v>447.25900000000001</v>
      </c>
      <c r="E121" s="164">
        <v>408.19900000000001</v>
      </c>
      <c r="F121" s="164">
        <v>37.331000000000003</v>
      </c>
      <c r="G121" s="164">
        <v>7.1210000000000004</v>
      </c>
      <c r="H121" s="164">
        <v>39.612000000000002</v>
      </c>
      <c r="I121" s="166">
        <v>1096.9199999999998</v>
      </c>
      <c r="J121" s="164">
        <v>95.090999999999994</v>
      </c>
      <c r="K121" s="164">
        <v>184.44200000000001</v>
      </c>
      <c r="L121" s="164">
        <v>365.238</v>
      </c>
      <c r="M121" s="164">
        <v>1795.3030000000001</v>
      </c>
      <c r="N121" s="164">
        <v>1153.116</v>
      </c>
      <c r="O121" s="164">
        <v>372.63200000000001</v>
      </c>
      <c r="P121" s="164">
        <v>63.789000000000001</v>
      </c>
      <c r="Q121" s="164">
        <v>273.303</v>
      </c>
      <c r="R121" s="164">
        <v>111.744</v>
      </c>
      <c r="S121" s="163">
        <f t="shared" si="26"/>
        <v>46.165800000000004</v>
      </c>
      <c r="T121" s="164">
        <v>174.07</v>
      </c>
      <c r="U121" s="164">
        <v>147.762</v>
      </c>
      <c r="V121" s="164">
        <v>146.148</v>
      </c>
      <c r="W121" s="164">
        <v>141.136</v>
      </c>
      <c r="X121" s="168">
        <f>-1*(W121/V121-1)</f>
        <v>3.4294003339080947E-2</v>
      </c>
      <c r="Y121" s="164">
        <v>136.89599999999999</v>
      </c>
      <c r="Z121" s="164">
        <v>81.203999999999994</v>
      </c>
      <c r="AA121" s="172">
        <v>67.135000000000005</v>
      </c>
      <c r="AB121" s="163">
        <f t="shared" si="24"/>
        <v>455.11948000000007</v>
      </c>
      <c r="AC121" s="163">
        <f t="shared" si="25"/>
        <v>270.67748000000006</v>
      </c>
      <c r="AE121" s="169">
        <f t="shared" si="28"/>
        <v>-20.717000000000013</v>
      </c>
      <c r="AF121" s="169">
        <f t="shared" si="30"/>
        <v>-12.101000000000013</v>
      </c>
      <c r="AG121" s="169">
        <f t="shared" si="30"/>
        <v>-8.8927206607337865</v>
      </c>
      <c r="AI121" s="165">
        <f t="shared" si="29"/>
        <v>0.66310177143991056</v>
      </c>
      <c r="AJ121" s="165">
        <f t="shared" si="16"/>
        <v>0.91799417478861434</v>
      </c>
    </row>
    <row r="122" spans="1:36" s="156" customFormat="1" ht="12">
      <c r="A122" s="160">
        <v>45566</v>
      </c>
      <c r="B122" s="161">
        <f t="shared" si="18"/>
        <v>516.21300000000008</v>
      </c>
      <c r="C122" s="164">
        <v>3.4940000000000002</v>
      </c>
      <c r="D122" s="164">
        <v>466.66300000000001</v>
      </c>
      <c r="E122" s="164">
        <v>431.589</v>
      </c>
      <c r="F122" s="164">
        <v>35.073999999999998</v>
      </c>
      <c r="G122" s="164">
        <v>6.7649999999999997</v>
      </c>
      <c r="H122" s="164">
        <v>39.290999999999997</v>
      </c>
      <c r="I122" s="166">
        <v>1951.6013559999999</v>
      </c>
      <c r="J122" s="164">
        <v>112.01300000000001</v>
      </c>
      <c r="K122" s="164">
        <v>198.16499999999999</v>
      </c>
      <c r="L122" s="164">
        <v>390.721</v>
      </c>
      <c r="M122" s="164">
        <v>1869.6189999999999</v>
      </c>
      <c r="N122" s="164">
        <v>1312.9749999999999</v>
      </c>
      <c r="O122" s="164">
        <v>429.10300000000001</v>
      </c>
      <c r="P122" s="164">
        <v>65.84</v>
      </c>
      <c r="Q122" s="164">
        <v>251.577</v>
      </c>
      <c r="R122" s="164">
        <v>104.52</v>
      </c>
      <c r="S122" s="163">
        <f>((H122+F122)*1.2)/2</f>
        <v>44.618999999999993</v>
      </c>
      <c r="T122" s="164">
        <v>205.988</v>
      </c>
      <c r="U122" s="164">
        <v>133.78</v>
      </c>
      <c r="V122" s="164">
        <v>133.14599999999999</v>
      </c>
      <c r="W122" s="164">
        <v>129.61600000000001</v>
      </c>
      <c r="X122" s="168">
        <f t="shared" si="27"/>
        <v>2.6512249710843538E-2</v>
      </c>
      <c r="Y122" s="164">
        <v>125.7</v>
      </c>
      <c r="Z122" s="164">
        <v>78.673000000000002</v>
      </c>
      <c r="AA122" s="172">
        <v>50.957999999999998</v>
      </c>
      <c r="AB122" s="163">
        <f t="shared" si="24"/>
        <v>454.76465000000002</v>
      </c>
      <c r="AC122" s="163">
        <f t="shared" si="25"/>
        <v>256.59965</v>
      </c>
      <c r="AE122" s="169">
        <f t="shared" si="28"/>
        <v>-11.519999999999982</v>
      </c>
      <c r="AF122" s="169">
        <f t="shared" si="30"/>
        <v>-2.5309999999999917</v>
      </c>
      <c r="AG122" s="169">
        <f t="shared" si="30"/>
        <v>-16.177000000000007</v>
      </c>
      <c r="AI122" s="165">
        <f t="shared" si="29"/>
        <v>0.59454631605532116</v>
      </c>
      <c r="AJ122" s="165">
        <f t="shared" si="16"/>
        <v>0.8809631876764048</v>
      </c>
    </row>
    <row r="123" spans="1:36" s="156" customFormat="1" ht="12" customHeight="1">
      <c r="A123" s="160">
        <v>45597</v>
      </c>
      <c r="B123" s="161">
        <f t="shared" si="18"/>
        <v>520.45799999999997</v>
      </c>
      <c r="C123" s="164">
        <v>3.8759999999999999</v>
      </c>
      <c r="D123" s="164">
        <v>471.56299999999999</v>
      </c>
      <c r="E123" s="164">
        <v>432.45299999999997</v>
      </c>
      <c r="F123" s="164">
        <v>39.11</v>
      </c>
      <c r="G123" s="164">
        <v>6.7759999999999998</v>
      </c>
      <c r="H123" s="164">
        <v>38.243000000000002</v>
      </c>
      <c r="I123" s="166">
        <v>2734.8599999999997</v>
      </c>
      <c r="J123" s="164">
        <v>116.33499999999999</v>
      </c>
      <c r="K123" s="164">
        <v>201.88200000000001</v>
      </c>
      <c r="L123" s="164">
        <v>381.78500000000003</v>
      </c>
      <c r="M123" s="164">
        <v>1836.2439999999999</v>
      </c>
      <c r="N123" s="164">
        <v>1251.252</v>
      </c>
      <c r="O123" s="164">
        <v>432.98</v>
      </c>
      <c r="P123" s="164">
        <v>58.716999999999999</v>
      </c>
      <c r="Q123" s="164">
        <v>258.38799999999998</v>
      </c>
      <c r="R123" s="164">
        <v>104.997</v>
      </c>
      <c r="S123" s="163">
        <f>((H123+F123)*1.2)/2</f>
        <v>46.411800000000007</v>
      </c>
      <c r="T123" s="164">
        <v>219.85300000000001</v>
      </c>
      <c r="U123" s="164">
        <v>130.87799999999999</v>
      </c>
      <c r="V123" s="164">
        <v>153.39500000000001</v>
      </c>
      <c r="W123" s="164">
        <v>149.017</v>
      </c>
      <c r="X123" s="168">
        <f t="shared" si="27"/>
        <v>2.85406955898172E-2</v>
      </c>
      <c r="Y123" s="164">
        <v>119.71899999999999</v>
      </c>
      <c r="Z123" s="164">
        <v>78.284999999999997</v>
      </c>
      <c r="AA123" s="172">
        <v>58.027999999999999</v>
      </c>
      <c r="AB123" s="163">
        <f t="shared" si="24"/>
        <v>455.88120000000004</v>
      </c>
      <c r="AC123" s="163">
        <f t="shared" si="25"/>
        <v>253.99920000000003</v>
      </c>
      <c r="AE123" s="169">
        <f t="shared" si="28"/>
        <v>19.400999999999982</v>
      </c>
      <c r="AF123" s="169">
        <f t="shared" ref="AF123:AG125" si="31">Z123-Z122</f>
        <v>-0.38800000000000523</v>
      </c>
      <c r="AG123" s="169">
        <f t="shared" si="31"/>
        <v>7.07</v>
      </c>
      <c r="AI123" s="165">
        <f t="shared" si="29"/>
        <v>0.5873452143932405</v>
      </c>
      <c r="AJ123" s="165">
        <f t="shared" si="16"/>
        <v>0.8759231292438584</v>
      </c>
    </row>
    <row r="124" spans="1:36" ht="12" customHeight="1">
      <c r="A124" s="160">
        <v>45627</v>
      </c>
      <c r="B124" s="161">
        <f t="shared" si="18"/>
        <v>527.33000000000004</v>
      </c>
      <c r="C124" s="164">
        <v>3.1840000000000002</v>
      </c>
      <c r="D124" s="164">
        <v>479.66300000000001</v>
      </c>
      <c r="E124" s="164">
        <v>441.62700000000001</v>
      </c>
      <c r="F124" s="164">
        <v>38.036000000000001</v>
      </c>
      <c r="G124" s="164">
        <v>7.0259999999999998</v>
      </c>
      <c r="H124" s="164">
        <v>37.457000000000001</v>
      </c>
      <c r="I124" s="166">
        <v>3721.13</v>
      </c>
      <c r="J124" s="164">
        <v>119.96299999999999</v>
      </c>
      <c r="K124" s="164">
        <v>203.63</v>
      </c>
      <c r="L124" s="164">
        <v>376.226</v>
      </c>
      <c r="M124" s="164">
        <v>1876.2860000000001</v>
      </c>
      <c r="N124" s="164">
        <v>1291.01</v>
      </c>
      <c r="O124" s="164">
        <v>481.524</v>
      </c>
      <c r="P124" s="164">
        <v>62.069000000000003</v>
      </c>
      <c r="Q124" s="164">
        <v>256.98</v>
      </c>
      <c r="R124" s="164">
        <v>103.485</v>
      </c>
      <c r="S124" s="163">
        <f>((H124+F124)*1.2)/2</f>
        <v>45.295799999999993</v>
      </c>
      <c r="T124" s="164">
        <v>201.31100000000001</v>
      </c>
      <c r="U124" s="164">
        <v>159.083</v>
      </c>
      <c r="V124" s="164">
        <v>150.66999999999999</v>
      </c>
      <c r="W124" s="164">
        <v>147.274</v>
      </c>
      <c r="X124" s="168">
        <f t="shared" si="27"/>
        <v>2.2539324351231071E-2</v>
      </c>
      <c r="Y124" s="164">
        <v>125.586</v>
      </c>
      <c r="Z124" s="164">
        <v>73.512</v>
      </c>
      <c r="AA124" s="172">
        <v>71.789000000000001</v>
      </c>
      <c r="AB124" s="163">
        <f t="shared" si="24"/>
        <v>496.91681</v>
      </c>
      <c r="AC124" s="163">
        <f t="shared" si="25"/>
        <v>293.28681</v>
      </c>
      <c r="AE124" s="169">
        <f t="shared" si="28"/>
        <v>-1.742999999999995</v>
      </c>
      <c r="AF124" s="169">
        <f t="shared" si="31"/>
        <v>-4.7729999999999961</v>
      </c>
      <c r="AG124" s="169">
        <f t="shared" si="31"/>
        <v>13.761000000000003</v>
      </c>
      <c r="AI124" s="165">
        <f t="shared" si="29"/>
        <v>0.66410525171694668</v>
      </c>
      <c r="AJ124" s="165">
        <f t="shared" si="16"/>
        <v>0.94232607665029477</v>
      </c>
    </row>
    <row r="125" spans="1:36" ht="12" customHeight="1">
      <c r="A125" s="160">
        <v>45658</v>
      </c>
      <c r="B125" s="161">
        <f t="shared" si="18"/>
        <v>513.97500000000002</v>
      </c>
      <c r="C125" s="164">
        <v>2.847</v>
      </c>
      <c r="D125" s="164">
        <v>467.92700000000002</v>
      </c>
      <c r="E125" s="164">
        <v>428.99299999999999</v>
      </c>
      <c r="F125" s="164">
        <v>38.933999999999997</v>
      </c>
      <c r="G125" s="164">
        <v>6.4560000000000004</v>
      </c>
      <c r="H125" s="164">
        <v>36.744999999999997</v>
      </c>
      <c r="I125" s="174">
        <f>MROUND(FORECAST(B125,I43:I124,B43:B124),25)+1200</f>
        <v>3800</v>
      </c>
      <c r="J125" s="164">
        <v>123.827</v>
      </c>
      <c r="K125" s="164">
        <v>191.89599999999999</v>
      </c>
      <c r="L125" s="164">
        <v>359.29899999999998</v>
      </c>
      <c r="M125" s="164">
        <v>1853.5889999999999</v>
      </c>
      <c r="N125" s="164">
        <v>1264.3430000000001</v>
      </c>
      <c r="O125" s="164">
        <v>483.32299999999998</v>
      </c>
      <c r="P125" s="164">
        <v>60.25</v>
      </c>
      <c r="Q125" s="164">
        <v>253.83799999999999</v>
      </c>
      <c r="R125" s="164">
        <v>104.688</v>
      </c>
      <c r="S125" s="163">
        <f>((H125+F125)*1.2)/2</f>
        <v>45.407400000000003</v>
      </c>
      <c r="T125" s="164">
        <v>204.25</v>
      </c>
      <c r="U125" s="164">
        <v>152.31700000000001</v>
      </c>
      <c r="V125" s="164">
        <v>145.80199999999999</v>
      </c>
      <c r="W125" s="164">
        <v>142.25899999999999</v>
      </c>
      <c r="X125" s="168">
        <f t="shared" si="27"/>
        <v>2.430007818822788E-2</v>
      </c>
      <c r="Y125" s="164">
        <v>140.178</v>
      </c>
      <c r="Z125" s="164">
        <v>63.067</v>
      </c>
      <c r="AA125" s="176">
        <f>FORECAST(W125,AA101:AA124,W101:W124)</f>
        <v>70.257021651381336</v>
      </c>
      <c r="AB125" s="163">
        <f t="shared" si="24"/>
        <v>471.57180999999997</v>
      </c>
      <c r="AC125" s="163">
        <f t="shared" si="25"/>
        <v>279.67580999999996</v>
      </c>
      <c r="AE125" s="169">
        <f t="shared" si="28"/>
        <v>-5.0150000000000148</v>
      </c>
      <c r="AF125" s="169">
        <f t="shared" si="31"/>
        <v>-10.445</v>
      </c>
      <c r="AG125" s="177">
        <f>FORECAST(AF125,AG100:AG124,AF100:AF124)</f>
        <v>-2.8277998224081218</v>
      </c>
      <c r="AI125" s="165">
        <f t="shared" si="29"/>
        <v>0.65193560267883155</v>
      </c>
      <c r="AJ125" s="165">
        <f t="shared" si="16"/>
        <v>0.9174995087309693</v>
      </c>
    </row>
    <row r="126" spans="1:36" ht="12" customHeight="1">
      <c r="A126" s="160">
        <v>45689</v>
      </c>
      <c r="B126" s="161">
        <f t="shared" si="18"/>
        <v>430.42099999999999</v>
      </c>
      <c r="C126" s="164">
        <v>3.036</v>
      </c>
      <c r="D126" s="164">
        <v>421.23399999999998</v>
      </c>
      <c r="E126" s="164">
        <v>387.036</v>
      </c>
      <c r="F126" s="164">
        <v>34.198</v>
      </c>
      <c r="G126" s="164">
        <v>6.1509999999999998</v>
      </c>
      <c r="H126" s="164"/>
      <c r="I126" s="174">
        <f t="shared" ref="I126:I127" si="32">MROUND(FORECAST(B126,I44:I125,B44:B125),25)+1200</f>
        <v>3450</v>
      </c>
      <c r="J126" s="164"/>
      <c r="K126" s="164"/>
      <c r="L126" s="164"/>
      <c r="M126" s="164"/>
      <c r="N126" s="164"/>
      <c r="O126" s="164"/>
      <c r="P126" s="164"/>
      <c r="Q126" s="164"/>
      <c r="R126" s="164"/>
      <c r="S126" s="163"/>
      <c r="T126" s="164"/>
      <c r="U126" s="164"/>
      <c r="V126" s="164"/>
      <c r="W126" s="164"/>
      <c r="X126" s="168"/>
      <c r="Y126" s="164"/>
      <c r="Z126" s="164"/>
      <c r="AA126" s="176"/>
      <c r="AB126" s="163"/>
      <c r="AC126" s="163"/>
      <c r="AE126" s="169"/>
      <c r="AF126" s="169"/>
      <c r="AG126" s="177"/>
      <c r="AI126" s="165"/>
      <c r="AJ126" s="165"/>
    </row>
    <row r="127" spans="1:36" ht="12" customHeight="1">
      <c r="A127" s="160">
        <v>45717</v>
      </c>
      <c r="B127" s="161"/>
      <c r="C127" s="164"/>
      <c r="D127" s="164"/>
      <c r="E127" s="164"/>
      <c r="F127" s="164"/>
      <c r="G127" s="164"/>
      <c r="H127" s="164"/>
      <c r="I127" s="174">
        <f t="shared" si="32"/>
        <v>1825</v>
      </c>
      <c r="J127" s="164"/>
      <c r="K127" s="164"/>
      <c r="L127" s="164"/>
      <c r="M127" s="164"/>
      <c r="N127" s="164"/>
      <c r="O127" s="164"/>
      <c r="P127" s="164"/>
      <c r="Q127" s="164"/>
      <c r="R127" s="164"/>
      <c r="S127" s="163"/>
      <c r="T127" s="164"/>
      <c r="U127" s="164"/>
      <c r="V127" s="164"/>
      <c r="W127" s="164"/>
      <c r="X127" s="168"/>
      <c r="Y127" s="164"/>
      <c r="Z127" s="164"/>
      <c r="AA127" s="176"/>
      <c r="AB127" s="163"/>
      <c r="AC127" s="163"/>
      <c r="AE127" s="169"/>
      <c r="AF127" s="169"/>
      <c r="AG127" s="177"/>
      <c r="AI127" s="165"/>
      <c r="AJ127" s="165"/>
    </row>
    <row r="128" spans="1:36">
      <c r="A128" s="42"/>
    </row>
    <row r="129" spans="1:36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80"/>
      <c r="AC129" s="179"/>
      <c r="AD129" s="179"/>
      <c r="AE129" s="179"/>
      <c r="AF129" s="179"/>
      <c r="AG129" s="179"/>
      <c r="AH129" s="179"/>
      <c r="AI129" s="179"/>
      <c r="AJ129" s="179"/>
    </row>
    <row r="130" spans="1:36" s="156" customFormat="1" ht="12" hidden="1">
      <c r="A130" s="160">
        <f t="shared" ref="A130:A168" si="33">A86</f>
        <v>44470</v>
      </c>
      <c r="B130" s="161" t="e">
        <f>B86-#REF!</f>
        <v>#REF!</v>
      </c>
      <c r="C130" s="161" t="e">
        <f>C86-#REF!</f>
        <v>#REF!</v>
      </c>
      <c r="D130" s="161" t="e">
        <f>D86-#REF!</f>
        <v>#REF!</v>
      </c>
      <c r="E130" s="161" t="e">
        <f>E86-#REF!</f>
        <v>#REF!</v>
      </c>
      <c r="F130" s="161" t="e">
        <f>F86-#REF!</f>
        <v>#REF!</v>
      </c>
      <c r="G130" s="161" t="e">
        <f>G86-#REF!</f>
        <v>#REF!</v>
      </c>
      <c r="H130" s="161" t="e">
        <f>H86-#REF!</f>
        <v>#REF!</v>
      </c>
      <c r="I130" s="161" t="e">
        <f>I86-#REF!</f>
        <v>#REF!</v>
      </c>
      <c r="J130" s="161" t="e">
        <f>J86-#REF!</f>
        <v>#REF!</v>
      </c>
      <c r="K130" s="161" t="e">
        <f>K86-#REF!</f>
        <v>#REF!</v>
      </c>
      <c r="L130" s="161" t="e">
        <f>L86-#REF!</f>
        <v>#REF!</v>
      </c>
      <c r="M130" s="161" t="e">
        <f>M86-#REF!</f>
        <v>#REF!</v>
      </c>
      <c r="N130" s="161" t="e">
        <f>N86-#REF!</f>
        <v>#REF!</v>
      </c>
      <c r="O130" s="161" t="e">
        <f>O86-#REF!</f>
        <v>#REF!</v>
      </c>
      <c r="P130" s="161" t="e">
        <f>P86-#REF!</f>
        <v>#REF!</v>
      </c>
      <c r="Q130" s="161" t="e">
        <f>Q86-#REF!</f>
        <v>#REF!</v>
      </c>
      <c r="R130" s="161" t="e">
        <f>R86-#REF!</f>
        <v>#REF!</v>
      </c>
      <c r="S130" s="161" t="e">
        <f>S86-#REF!</f>
        <v>#REF!</v>
      </c>
      <c r="T130" s="161" t="e">
        <f>T86-#REF!</f>
        <v>#REF!</v>
      </c>
      <c r="U130" s="161" t="e">
        <f>U86-#REF!</f>
        <v>#REF!</v>
      </c>
      <c r="V130" s="161" t="e">
        <f>V86-#REF!</f>
        <v>#REF!</v>
      </c>
      <c r="W130" s="161" t="e">
        <f>W86-#REF!</f>
        <v>#REF!</v>
      </c>
      <c r="X130" s="161" t="e">
        <f>X86-#REF!</f>
        <v>#REF!</v>
      </c>
      <c r="Y130" s="161" t="e">
        <f>Y86-#REF!</f>
        <v>#REF!</v>
      </c>
      <c r="Z130" s="161" t="e">
        <f>Z86-#REF!</f>
        <v>#REF!</v>
      </c>
      <c r="AA130" s="161" t="e">
        <f>AA86-#REF!</f>
        <v>#REF!</v>
      </c>
      <c r="AB130" s="161" t="e">
        <f>AB86-#REF!</f>
        <v>#REF!</v>
      </c>
      <c r="AC130" s="161" t="e">
        <f>AC86-#REF!</f>
        <v>#REF!</v>
      </c>
      <c r="AD130" s="169"/>
      <c r="AE130" s="161" t="e">
        <f>AE86-#REF!</f>
        <v>#REF!</v>
      </c>
      <c r="AF130" s="161" t="e">
        <f>AF86-#REF!</f>
        <v>#REF!</v>
      </c>
      <c r="AG130" s="161" t="e">
        <f>AG86-#REF!</f>
        <v>#REF!</v>
      </c>
    </row>
    <row r="131" spans="1:36" s="156" customFormat="1" ht="12" hidden="1">
      <c r="A131" s="160">
        <f t="shared" si="33"/>
        <v>44501</v>
      </c>
      <c r="B131" s="161" t="e">
        <f>B87-#REF!</f>
        <v>#REF!</v>
      </c>
      <c r="C131" s="161" t="e">
        <f>C87-#REF!</f>
        <v>#REF!</v>
      </c>
      <c r="D131" s="161" t="e">
        <f>D87-#REF!</f>
        <v>#REF!</v>
      </c>
      <c r="E131" s="161" t="e">
        <f>E87-#REF!</f>
        <v>#REF!</v>
      </c>
      <c r="F131" s="161" t="e">
        <f>F87-#REF!</f>
        <v>#REF!</v>
      </c>
      <c r="G131" s="161" t="e">
        <f>G87-#REF!</f>
        <v>#REF!</v>
      </c>
      <c r="H131" s="161" t="e">
        <f>H87-#REF!</f>
        <v>#REF!</v>
      </c>
      <c r="I131" s="161" t="e">
        <f>I87-#REF!</f>
        <v>#REF!</v>
      </c>
      <c r="J131" s="161" t="e">
        <f>J87-#REF!</f>
        <v>#REF!</v>
      </c>
      <c r="K131" s="161" t="e">
        <f>K87-#REF!</f>
        <v>#REF!</v>
      </c>
      <c r="L131" s="161" t="e">
        <f>L87-#REF!</f>
        <v>#REF!</v>
      </c>
      <c r="M131" s="161" t="e">
        <f>M87-#REF!</f>
        <v>#REF!</v>
      </c>
      <c r="N131" s="161" t="e">
        <f>N87-#REF!</f>
        <v>#REF!</v>
      </c>
      <c r="O131" s="161" t="e">
        <f>O87-#REF!</f>
        <v>#REF!</v>
      </c>
      <c r="P131" s="161" t="e">
        <f>P87-#REF!</f>
        <v>#REF!</v>
      </c>
      <c r="Q131" s="161" t="e">
        <f>Q87-#REF!</f>
        <v>#REF!</v>
      </c>
      <c r="R131" s="161" t="e">
        <f>R87-#REF!</f>
        <v>#REF!</v>
      </c>
      <c r="S131" s="161" t="e">
        <f>S87-#REF!</f>
        <v>#REF!</v>
      </c>
      <c r="T131" s="161" t="e">
        <f>T87-#REF!</f>
        <v>#REF!</v>
      </c>
      <c r="U131" s="161" t="e">
        <f>U87-#REF!</f>
        <v>#REF!</v>
      </c>
      <c r="V131" s="161" t="e">
        <f>V87-#REF!</f>
        <v>#REF!</v>
      </c>
      <c r="W131" s="161" t="e">
        <f>W87-#REF!</f>
        <v>#REF!</v>
      </c>
      <c r="X131" s="161" t="e">
        <f>X87-#REF!</f>
        <v>#REF!</v>
      </c>
      <c r="Y131" s="161" t="e">
        <f>Y87-#REF!</f>
        <v>#REF!</v>
      </c>
      <c r="Z131" s="161" t="e">
        <f>Z87-#REF!</f>
        <v>#REF!</v>
      </c>
      <c r="AA131" s="161" t="e">
        <f>AA87-#REF!</f>
        <v>#REF!</v>
      </c>
      <c r="AB131" s="161" t="e">
        <f>AB87-#REF!</f>
        <v>#REF!</v>
      </c>
      <c r="AC131" s="161" t="e">
        <f>AC87-#REF!</f>
        <v>#REF!</v>
      </c>
      <c r="AD131" s="169"/>
      <c r="AE131" s="161" t="e">
        <f>AE87-#REF!</f>
        <v>#REF!</v>
      </c>
      <c r="AF131" s="161" t="e">
        <f>AF87-#REF!</f>
        <v>#REF!</v>
      </c>
      <c r="AG131" s="161" t="e">
        <f>AG87-#REF!</f>
        <v>#REF!</v>
      </c>
    </row>
    <row r="132" spans="1:36" s="156" customFormat="1" ht="12" hidden="1">
      <c r="A132" s="160">
        <f t="shared" si="33"/>
        <v>44531</v>
      </c>
      <c r="B132" s="161" t="e">
        <f>B88-#REF!</f>
        <v>#REF!</v>
      </c>
      <c r="C132" s="161" t="e">
        <f>C88-#REF!</f>
        <v>#REF!</v>
      </c>
      <c r="D132" s="161" t="e">
        <f>D88-#REF!</f>
        <v>#REF!</v>
      </c>
      <c r="E132" s="161" t="e">
        <f>E88-#REF!</f>
        <v>#REF!</v>
      </c>
      <c r="F132" s="161" t="e">
        <f>F88-#REF!</f>
        <v>#REF!</v>
      </c>
      <c r="G132" s="161" t="e">
        <f>G88-#REF!</f>
        <v>#REF!</v>
      </c>
      <c r="H132" s="161" t="e">
        <f>H88-#REF!</f>
        <v>#REF!</v>
      </c>
      <c r="I132" s="161" t="e">
        <f>I88-#REF!</f>
        <v>#REF!</v>
      </c>
      <c r="J132" s="161" t="e">
        <f>J88-#REF!</f>
        <v>#REF!</v>
      </c>
      <c r="K132" s="161" t="e">
        <f>K88-#REF!</f>
        <v>#REF!</v>
      </c>
      <c r="L132" s="161" t="e">
        <f>L88-#REF!</f>
        <v>#REF!</v>
      </c>
      <c r="M132" s="161" t="e">
        <f>M88-#REF!</f>
        <v>#REF!</v>
      </c>
      <c r="N132" s="161" t="e">
        <f>N88-#REF!</f>
        <v>#REF!</v>
      </c>
      <c r="O132" s="161" t="e">
        <f>O88-#REF!</f>
        <v>#REF!</v>
      </c>
      <c r="P132" s="161" t="e">
        <f>P88-#REF!</f>
        <v>#REF!</v>
      </c>
      <c r="Q132" s="161" t="e">
        <f>Q88-#REF!</f>
        <v>#REF!</v>
      </c>
      <c r="R132" s="161" t="e">
        <f>R88-#REF!</f>
        <v>#REF!</v>
      </c>
      <c r="S132" s="161" t="e">
        <f>S88-#REF!</f>
        <v>#REF!</v>
      </c>
      <c r="T132" s="161" t="e">
        <f>T88-#REF!</f>
        <v>#REF!</v>
      </c>
      <c r="U132" s="161" t="e">
        <f>U88-#REF!</f>
        <v>#REF!</v>
      </c>
      <c r="V132" s="161" t="e">
        <f>V88-#REF!</f>
        <v>#REF!</v>
      </c>
      <c r="W132" s="161" t="e">
        <f>W88-#REF!</f>
        <v>#REF!</v>
      </c>
      <c r="X132" s="161" t="e">
        <f>X88-#REF!</f>
        <v>#REF!</v>
      </c>
      <c r="Y132" s="161" t="e">
        <f>Y88-#REF!</f>
        <v>#REF!</v>
      </c>
      <c r="Z132" s="161" t="e">
        <f>Z88-#REF!</f>
        <v>#REF!</v>
      </c>
      <c r="AA132" s="161" t="e">
        <f>AA88-#REF!</f>
        <v>#REF!</v>
      </c>
      <c r="AB132" s="161" t="e">
        <f>AB88-#REF!</f>
        <v>#REF!</v>
      </c>
      <c r="AC132" s="161" t="e">
        <f>AC88-#REF!</f>
        <v>#REF!</v>
      </c>
      <c r="AD132" s="169"/>
      <c r="AE132" s="161" t="e">
        <f>AE88-#REF!</f>
        <v>#REF!</v>
      </c>
      <c r="AF132" s="161" t="e">
        <f>AF88-#REF!</f>
        <v>#REF!</v>
      </c>
      <c r="AG132" s="161" t="e">
        <f>AG88-#REF!</f>
        <v>#REF!</v>
      </c>
    </row>
    <row r="133" spans="1:36" s="156" customFormat="1" ht="12" hidden="1">
      <c r="A133" s="160">
        <f t="shared" si="33"/>
        <v>44562</v>
      </c>
      <c r="B133" s="161" t="e">
        <f>B89-#REF!</f>
        <v>#REF!</v>
      </c>
      <c r="C133" s="161" t="e">
        <f>C89-#REF!</f>
        <v>#REF!</v>
      </c>
      <c r="D133" s="161" t="e">
        <f>D89-#REF!</f>
        <v>#REF!</v>
      </c>
      <c r="E133" s="161" t="e">
        <f>E89-#REF!</f>
        <v>#REF!</v>
      </c>
      <c r="F133" s="161" t="e">
        <f>F89-#REF!</f>
        <v>#REF!</v>
      </c>
      <c r="G133" s="161" t="e">
        <f>G89-#REF!</f>
        <v>#REF!</v>
      </c>
      <c r="H133" s="161" t="e">
        <f>H89-#REF!</f>
        <v>#REF!</v>
      </c>
      <c r="I133" s="161" t="e">
        <f>I89-#REF!</f>
        <v>#REF!</v>
      </c>
      <c r="J133" s="161" t="e">
        <f>J89-#REF!</f>
        <v>#REF!</v>
      </c>
      <c r="K133" s="161" t="e">
        <f>K89-#REF!</f>
        <v>#REF!</v>
      </c>
      <c r="L133" s="161" t="e">
        <f>L89-#REF!</f>
        <v>#REF!</v>
      </c>
      <c r="M133" s="161" t="e">
        <f>M89-#REF!</f>
        <v>#REF!</v>
      </c>
      <c r="N133" s="161" t="e">
        <f>N89-#REF!</f>
        <v>#REF!</v>
      </c>
      <c r="O133" s="161" t="e">
        <f>O89-#REF!</f>
        <v>#REF!</v>
      </c>
      <c r="P133" s="161" t="e">
        <f>P89-#REF!</f>
        <v>#REF!</v>
      </c>
      <c r="Q133" s="161" t="e">
        <f>Q89-#REF!</f>
        <v>#REF!</v>
      </c>
      <c r="R133" s="161" t="e">
        <f>R89-#REF!</f>
        <v>#REF!</v>
      </c>
      <c r="S133" s="161" t="e">
        <f>S89-#REF!</f>
        <v>#REF!</v>
      </c>
      <c r="T133" s="161" t="e">
        <f>T89-#REF!</f>
        <v>#REF!</v>
      </c>
      <c r="U133" s="161" t="e">
        <f>U89-#REF!</f>
        <v>#REF!</v>
      </c>
      <c r="V133" s="161" t="e">
        <f>V89-#REF!</f>
        <v>#REF!</v>
      </c>
      <c r="W133" s="161" t="e">
        <f>W89-#REF!</f>
        <v>#REF!</v>
      </c>
      <c r="X133" s="161" t="e">
        <f>X89-#REF!</f>
        <v>#REF!</v>
      </c>
      <c r="Y133" s="161" t="e">
        <f>Y89-#REF!</f>
        <v>#REF!</v>
      </c>
      <c r="Z133" s="161" t="e">
        <f>Z89-#REF!</f>
        <v>#REF!</v>
      </c>
      <c r="AA133" s="161" t="e">
        <f>AA89-#REF!</f>
        <v>#REF!</v>
      </c>
      <c r="AB133" s="161" t="e">
        <f>AB89-#REF!</f>
        <v>#REF!</v>
      </c>
      <c r="AC133" s="161" t="e">
        <f>AC89-#REF!</f>
        <v>#REF!</v>
      </c>
      <c r="AD133" s="169"/>
      <c r="AE133" s="161" t="e">
        <f>AE89-#REF!</f>
        <v>#REF!</v>
      </c>
      <c r="AF133" s="161" t="e">
        <f>AF89-#REF!</f>
        <v>#REF!</v>
      </c>
      <c r="AG133" s="161" t="e">
        <f>AG89-#REF!</f>
        <v>#REF!</v>
      </c>
    </row>
    <row r="134" spans="1:36" s="156" customFormat="1" ht="12" hidden="1">
      <c r="A134" s="160">
        <f t="shared" si="33"/>
        <v>44593</v>
      </c>
      <c r="B134" s="161" t="e">
        <f>B90-#REF!</f>
        <v>#REF!</v>
      </c>
      <c r="C134" s="161" t="e">
        <f>C90-#REF!</f>
        <v>#REF!</v>
      </c>
      <c r="D134" s="161" t="e">
        <f>D90-#REF!</f>
        <v>#REF!</v>
      </c>
      <c r="E134" s="161" t="e">
        <f>E90-#REF!</f>
        <v>#REF!</v>
      </c>
      <c r="F134" s="161" t="e">
        <f>F90-#REF!</f>
        <v>#REF!</v>
      </c>
      <c r="G134" s="161" t="e">
        <f>G90-#REF!</f>
        <v>#REF!</v>
      </c>
      <c r="H134" s="161" t="e">
        <f>H90-#REF!</f>
        <v>#REF!</v>
      </c>
      <c r="I134" s="161" t="e">
        <f>I90-#REF!</f>
        <v>#REF!</v>
      </c>
      <c r="J134" s="161" t="e">
        <f>J90-#REF!</f>
        <v>#REF!</v>
      </c>
      <c r="K134" s="161" t="e">
        <f>K90-#REF!</f>
        <v>#REF!</v>
      </c>
      <c r="L134" s="161" t="e">
        <f>L90-#REF!</f>
        <v>#REF!</v>
      </c>
      <c r="M134" s="161" t="e">
        <f>M90-#REF!</f>
        <v>#REF!</v>
      </c>
      <c r="N134" s="161" t="e">
        <f>N90-#REF!</f>
        <v>#REF!</v>
      </c>
      <c r="O134" s="161" t="e">
        <f>O90-#REF!</f>
        <v>#REF!</v>
      </c>
      <c r="P134" s="161" t="e">
        <f>P90-#REF!</f>
        <v>#REF!</v>
      </c>
      <c r="Q134" s="161" t="e">
        <f>Q90-#REF!</f>
        <v>#REF!</v>
      </c>
      <c r="R134" s="161" t="e">
        <f>R90-#REF!</f>
        <v>#REF!</v>
      </c>
      <c r="S134" s="161" t="e">
        <f>S90-#REF!</f>
        <v>#REF!</v>
      </c>
      <c r="T134" s="161" t="e">
        <f>T90-#REF!</f>
        <v>#REF!</v>
      </c>
      <c r="U134" s="161" t="e">
        <f>U90-#REF!</f>
        <v>#REF!</v>
      </c>
      <c r="V134" s="161" t="e">
        <f>V90-#REF!</f>
        <v>#REF!</v>
      </c>
      <c r="W134" s="161" t="e">
        <f>W90-#REF!</f>
        <v>#REF!</v>
      </c>
      <c r="X134" s="161" t="e">
        <f>X90-#REF!</f>
        <v>#REF!</v>
      </c>
      <c r="Y134" s="161" t="e">
        <f>Y90-#REF!</f>
        <v>#REF!</v>
      </c>
      <c r="Z134" s="161" t="e">
        <f>Z90-#REF!</f>
        <v>#REF!</v>
      </c>
      <c r="AA134" s="161" t="e">
        <f>AA90-#REF!</f>
        <v>#REF!</v>
      </c>
      <c r="AB134" s="161" t="e">
        <f>AB90-#REF!</f>
        <v>#REF!</v>
      </c>
      <c r="AC134" s="161" t="e">
        <f>AC90-#REF!</f>
        <v>#REF!</v>
      </c>
      <c r="AD134" s="169"/>
      <c r="AE134" s="161" t="e">
        <f>AE90-#REF!</f>
        <v>#REF!</v>
      </c>
      <c r="AF134" s="161" t="e">
        <f>AF90-#REF!</f>
        <v>#REF!</v>
      </c>
      <c r="AG134" s="161" t="e">
        <f>AG90-#REF!</f>
        <v>#REF!</v>
      </c>
    </row>
    <row r="135" spans="1:36" s="156" customFormat="1" ht="12" hidden="1">
      <c r="A135" s="160">
        <f t="shared" si="33"/>
        <v>44621</v>
      </c>
      <c r="B135" s="161" t="e">
        <f>B91-#REF!</f>
        <v>#REF!</v>
      </c>
      <c r="C135" s="161" t="e">
        <f>C91-#REF!</f>
        <v>#REF!</v>
      </c>
      <c r="D135" s="161" t="e">
        <f>D91-#REF!</f>
        <v>#REF!</v>
      </c>
      <c r="E135" s="161" t="e">
        <f>E91-#REF!</f>
        <v>#REF!</v>
      </c>
      <c r="F135" s="161" t="e">
        <f>F91-#REF!</f>
        <v>#REF!</v>
      </c>
      <c r="G135" s="161" t="e">
        <f>G91-#REF!</f>
        <v>#REF!</v>
      </c>
      <c r="H135" s="161" t="e">
        <f>H91-#REF!</f>
        <v>#REF!</v>
      </c>
      <c r="I135" s="161" t="e">
        <f>I91-#REF!</f>
        <v>#REF!</v>
      </c>
      <c r="J135" s="161" t="e">
        <f>J91-#REF!</f>
        <v>#REF!</v>
      </c>
      <c r="K135" s="161" t="e">
        <f>K91-#REF!</f>
        <v>#REF!</v>
      </c>
      <c r="L135" s="161" t="e">
        <f>L91-#REF!</f>
        <v>#REF!</v>
      </c>
      <c r="M135" s="161" t="e">
        <f>M91-#REF!</f>
        <v>#REF!</v>
      </c>
      <c r="N135" s="161" t="e">
        <f>N91-#REF!</f>
        <v>#REF!</v>
      </c>
      <c r="O135" s="161" t="e">
        <f>O91-#REF!</f>
        <v>#REF!</v>
      </c>
      <c r="P135" s="161" t="e">
        <f>P91-#REF!</f>
        <v>#REF!</v>
      </c>
      <c r="Q135" s="161" t="e">
        <f>Q91-#REF!</f>
        <v>#REF!</v>
      </c>
      <c r="R135" s="161" t="e">
        <f>R91-#REF!</f>
        <v>#REF!</v>
      </c>
      <c r="S135" s="161" t="e">
        <f>S91-#REF!</f>
        <v>#REF!</v>
      </c>
      <c r="T135" s="161" t="e">
        <f>T91-#REF!</f>
        <v>#REF!</v>
      </c>
      <c r="U135" s="161" t="e">
        <f>U91-#REF!</f>
        <v>#REF!</v>
      </c>
      <c r="V135" s="161" t="e">
        <f>V91-#REF!</f>
        <v>#REF!</v>
      </c>
      <c r="W135" s="161" t="e">
        <f>W91-#REF!</f>
        <v>#REF!</v>
      </c>
      <c r="X135" s="161" t="e">
        <f>X91-#REF!</f>
        <v>#REF!</v>
      </c>
      <c r="Y135" s="161" t="e">
        <f>Y91-#REF!</f>
        <v>#REF!</v>
      </c>
      <c r="Z135" s="161" t="e">
        <f>Z91-#REF!</f>
        <v>#REF!</v>
      </c>
      <c r="AA135" s="161" t="e">
        <f>AA91-#REF!</f>
        <v>#REF!</v>
      </c>
      <c r="AB135" s="161" t="e">
        <f>AB91-#REF!</f>
        <v>#REF!</v>
      </c>
      <c r="AC135" s="161" t="e">
        <f>AC91-#REF!</f>
        <v>#REF!</v>
      </c>
      <c r="AD135" s="169"/>
      <c r="AE135" s="161" t="e">
        <f>AE91-#REF!</f>
        <v>#REF!</v>
      </c>
      <c r="AF135" s="161" t="e">
        <f>AF91-#REF!</f>
        <v>#REF!</v>
      </c>
      <c r="AG135" s="161" t="e">
        <f>AG91-#REF!</f>
        <v>#REF!</v>
      </c>
    </row>
    <row r="136" spans="1:36" s="156" customFormat="1" ht="12" hidden="1">
      <c r="A136" s="160">
        <f t="shared" si="33"/>
        <v>44652</v>
      </c>
      <c r="B136" s="161" t="e">
        <f>B92-#REF!</f>
        <v>#REF!</v>
      </c>
      <c r="C136" s="161" t="e">
        <f>C92-#REF!</f>
        <v>#REF!</v>
      </c>
      <c r="D136" s="161" t="e">
        <f>D92-#REF!</f>
        <v>#REF!</v>
      </c>
      <c r="E136" s="161" t="e">
        <f>E92-#REF!</f>
        <v>#REF!</v>
      </c>
      <c r="F136" s="161" t="e">
        <f>F92-#REF!</f>
        <v>#REF!</v>
      </c>
      <c r="G136" s="161" t="e">
        <f>G92-#REF!</f>
        <v>#REF!</v>
      </c>
      <c r="H136" s="161" t="e">
        <f>H92-#REF!</f>
        <v>#REF!</v>
      </c>
      <c r="I136" s="161" t="e">
        <f>I92-#REF!</f>
        <v>#REF!</v>
      </c>
      <c r="J136" s="161" t="e">
        <f>J92-#REF!</f>
        <v>#REF!</v>
      </c>
      <c r="K136" s="161" t="e">
        <f>K92-#REF!</f>
        <v>#REF!</v>
      </c>
      <c r="L136" s="161" t="e">
        <f>L92-#REF!</f>
        <v>#REF!</v>
      </c>
      <c r="M136" s="161" t="e">
        <f>M92-#REF!</f>
        <v>#REF!</v>
      </c>
      <c r="N136" s="161" t="e">
        <f>N92-#REF!</f>
        <v>#REF!</v>
      </c>
      <c r="O136" s="161" t="e">
        <f>O92-#REF!</f>
        <v>#REF!</v>
      </c>
      <c r="P136" s="161" t="e">
        <f>P92-#REF!</f>
        <v>#REF!</v>
      </c>
      <c r="Q136" s="161" t="e">
        <f>Q92-#REF!</f>
        <v>#REF!</v>
      </c>
      <c r="R136" s="161" t="e">
        <f>R92-#REF!</f>
        <v>#REF!</v>
      </c>
      <c r="S136" s="161" t="e">
        <f>S92-#REF!</f>
        <v>#REF!</v>
      </c>
      <c r="T136" s="161" t="e">
        <f>T92-#REF!</f>
        <v>#REF!</v>
      </c>
      <c r="U136" s="161" t="e">
        <f>U92-#REF!</f>
        <v>#REF!</v>
      </c>
      <c r="V136" s="161" t="e">
        <f>V92-#REF!</f>
        <v>#REF!</v>
      </c>
      <c r="W136" s="161" t="e">
        <f>W92-#REF!</f>
        <v>#REF!</v>
      </c>
      <c r="X136" s="161" t="e">
        <f>X92-#REF!</f>
        <v>#REF!</v>
      </c>
      <c r="Y136" s="161" t="e">
        <f>Y92-#REF!</f>
        <v>#REF!</v>
      </c>
      <c r="Z136" s="161" t="e">
        <f>Z92-#REF!</f>
        <v>#REF!</v>
      </c>
      <c r="AA136" s="161" t="e">
        <f>AA92-#REF!</f>
        <v>#REF!</v>
      </c>
      <c r="AB136" s="161" t="e">
        <f>AB92-#REF!</f>
        <v>#REF!</v>
      </c>
      <c r="AC136" s="161" t="e">
        <f>AC92-#REF!</f>
        <v>#REF!</v>
      </c>
      <c r="AD136" s="169"/>
      <c r="AE136" s="161" t="e">
        <f>AE92-#REF!</f>
        <v>#REF!</v>
      </c>
      <c r="AF136" s="161" t="e">
        <f>AF92-#REF!</f>
        <v>#REF!</v>
      </c>
      <c r="AG136" s="161" t="e">
        <f>AG92-#REF!</f>
        <v>#REF!</v>
      </c>
    </row>
    <row r="137" spans="1:36" s="156" customFormat="1" ht="12" hidden="1">
      <c r="A137" s="160">
        <f t="shared" si="33"/>
        <v>44682</v>
      </c>
      <c r="B137" s="161" t="e">
        <f>B93-#REF!</f>
        <v>#REF!</v>
      </c>
      <c r="C137" s="161" t="e">
        <f>C93-#REF!</f>
        <v>#REF!</v>
      </c>
      <c r="D137" s="161" t="e">
        <f>D93-#REF!</f>
        <v>#REF!</v>
      </c>
      <c r="E137" s="161" t="e">
        <f>E93-#REF!</f>
        <v>#REF!</v>
      </c>
      <c r="F137" s="161" t="e">
        <f>F93-#REF!</f>
        <v>#REF!</v>
      </c>
      <c r="G137" s="161" t="e">
        <f>G93-#REF!</f>
        <v>#REF!</v>
      </c>
      <c r="H137" s="161" t="e">
        <f>H93-#REF!</f>
        <v>#REF!</v>
      </c>
      <c r="I137" s="161" t="e">
        <f>I93-#REF!</f>
        <v>#REF!</v>
      </c>
      <c r="J137" s="161" t="e">
        <f>J93-#REF!</f>
        <v>#REF!</v>
      </c>
      <c r="K137" s="161" t="e">
        <f>K93-#REF!</f>
        <v>#REF!</v>
      </c>
      <c r="L137" s="161" t="e">
        <f>L93-#REF!</f>
        <v>#REF!</v>
      </c>
      <c r="M137" s="161" t="e">
        <f>M93-#REF!</f>
        <v>#REF!</v>
      </c>
      <c r="N137" s="161" t="e">
        <f>N93-#REF!</f>
        <v>#REF!</v>
      </c>
      <c r="O137" s="161" t="e">
        <f>O93-#REF!</f>
        <v>#REF!</v>
      </c>
      <c r="P137" s="161" t="e">
        <f>P93-#REF!</f>
        <v>#REF!</v>
      </c>
      <c r="Q137" s="161" t="e">
        <f>Q93-#REF!</f>
        <v>#REF!</v>
      </c>
      <c r="R137" s="161" t="e">
        <f>R93-#REF!</f>
        <v>#REF!</v>
      </c>
      <c r="S137" s="161" t="e">
        <f>S93-#REF!</f>
        <v>#REF!</v>
      </c>
      <c r="T137" s="161" t="e">
        <f>T93-#REF!</f>
        <v>#REF!</v>
      </c>
      <c r="U137" s="161" t="e">
        <f>U93-#REF!</f>
        <v>#REF!</v>
      </c>
      <c r="V137" s="161" t="e">
        <f>V93-#REF!</f>
        <v>#REF!</v>
      </c>
      <c r="W137" s="161" t="e">
        <f>W93-#REF!</f>
        <v>#REF!</v>
      </c>
      <c r="X137" s="161" t="e">
        <f>X93-#REF!</f>
        <v>#REF!</v>
      </c>
      <c r="Y137" s="161" t="e">
        <f>Y93-#REF!</f>
        <v>#REF!</v>
      </c>
      <c r="Z137" s="161" t="e">
        <f>Z93-#REF!</f>
        <v>#REF!</v>
      </c>
      <c r="AA137" s="161" t="e">
        <f>AA93-#REF!</f>
        <v>#REF!</v>
      </c>
      <c r="AB137" s="161" t="e">
        <f>AB93-#REF!</f>
        <v>#REF!</v>
      </c>
      <c r="AC137" s="161" t="e">
        <f>AC93-#REF!</f>
        <v>#REF!</v>
      </c>
      <c r="AD137" s="169"/>
      <c r="AE137" s="161" t="e">
        <f>AE93-#REF!</f>
        <v>#REF!</v>
      </c>
      <c r="AF137" s="161" t="e">
        <f>AF93-#REF!</f>
        <v>#REF!</v>
      </c>
      <c r="AG137" s="161" t="e">
        <f>AG93-#REF!</f>
        <v>#REF!</v>
      </c>
    </row>
    <row r="138" spans="1:36" s="156" customFormat="1" ht="12" hidden="1">
      <c r="A138" s="160">
        <f t="shared" si="33"/>
        <v>44713</v>
      </c>
      <c r="B138" s="161" t="e">
        <f>B94-#REF!</f>
        <v>#REF!</v>
      </c>
      <c r="C138" s="161" t="e">
        <f>C94-#REF!</f>
        <v>#REF!</v>
      </c>
      <c r="D138" s="161" t="e">
        <f>D94-#REF!</f>
        <v>#REF!</v>
      </c>
      <c r="E138" s="161" t="e">
        <f>E94-#REF!</f>
        <v>#REF!</v>
      </c>
      <c r="F138" s="161" t="e">
        <f>F94-#REF!</f>
        <v>#REF!</v>
      </c>
      <c r="G138" s="161" t="e">
        <f>G94-#REF!</f>
        <v>#REF!</v>
      </c>
      <c r="H138" s="161" t="e">
        <f>H94-#REF!</f>
        <v>#REF!</v>
      </c>
      <c r="I138" s="161" t="e">
        <f>I94-#REF!</f>
        <v>#REF!</v>
      </c>
      <c r="J138" s="161" t="e">
        <f>J94-#REF!</f>
        <v>#REF!</v>
      </c>
      <c r="K138" s="161" t="e">
        <f>K94-#REF!</f>
        <v>#REF!</v>
      </c>
      <c r="L138" s="161" t="e">
        <f>L94-#REF!</f>
        <v>#REF!</v>
      </c>
      <c r="M138" s="161" t="e">
        <f>M94-#REF!</f>
        <v>#REF!</v>
      </c>
      <c r="N138" s="161" t="e">
        <f>N94-#REF!</f>
        <v>#REF!</v>
      </c>
      <c r="O138" s="161" t="e">
        <f>O94-#REF!</f>
        <v>#REF!</v>
      </c>
      <c r="P138" s="161" t="e">
        <f>P94-#REF!</f>
        <v>#REF!</v>
      </c>
      <c r="Q138" s="161" t="e">
        <f>Q94-#REF!</f>
        <v>#REF!</v>
      </c>
      <c r="R138" s="161" t="e">
        <f>R94-#REF!</f>
        <v>#REF!</v>
      </c>
      <c r="S138" s="161" t="e">
        <f>S94-#REF!</f>
        <v>#REF!</v>
      </c>
      <c r="T138" s="161" t="e">
        <f>T94-#REF!</f>
        <v>#REF!</v>
      </c>
      <c r="U138" s="161" t="e">
        <f>U94-#REF!</f>
        <v>#REF!</v>
      </c>
      <c r="V138" s="161" t="e">
        <f>V94-#REF!</f>
        <v>#REF!</v>
      </c>
      <c r="W138" s="161" t="e">
        <f>W94-#REF!</f>
        <v>#REF!</v>
      </c>
      <c r="X138" s="161" t="e">
        <f>X94-#REF!</f>
        <v>#REF!</v>
      </c>
      <c r="Y138" s="161" t="e">
        <f>Y94-#REF!</f>
        <v>#REF!</v>
      </c>
      <c r="Z138" s="161" t="e">
        <f>Z94-#REF!</f>
        <v>#REF!</v>
      </c>
      <c r="AA138" s="161" t="e">
        <f>AA94-#REF!</f>
        <v>#REF!</v>
      </c>
      <c r="AB138" s="161" t="e">
        <f>AB94-#REF!</f>
        <v>#REF!</v>
      </c>
      <c r="AC138" s="161" t="e">
        <f>AC94-#REF!</f>
        <v>#REF!</v>
      </c>
      <c r="AD138" s="169"/>
      <c r="AE138" s="161" t="e">
        <f>AE94-#REF!</f>
        <v>#REF!</v>
      </c>
      <c r="AF138" s="161" t="e">
        <f>AF94-#REF!</f>
        <v>#REF!</v>
      </c>
      <c r="AG138" s="161" t="e">
        <f>AG94-#REF!</f>
        <v>#REF!</v>
      </c>
    </row>
    <row r="139" spans="1:36" s="156" customFormat="1" ht="12" hidden="1">
      <c r="A139" s="160">
        <f t="shared" si="33"/>
        <v>44743</v>
      </c>
      <c r="B139" s="161" t="e">
        <f>B95-#REF!</f>
        <v>#REF!</v>
      </c>
      <c r="C139" s="161" t="e">
        <f>C95-#REF!</f>
        <v>#REF!</v>
      </c>
      <c r="D139" s="161" t="e">
        <f>D95-#REF!</f>
        <v>#REF!</v>
      </c>
      <c r="E139" s="161" t="e">
        <f>E95-#REF!</f>
        <v>#REF!</v>
      </c>
      <c r="F139" s="161" t="e">
        <f>F95-#REF!</f>
        <v>#REF!</v>
      </c>
      <c r="G139" s="161" t="e">
        <f>G95-#REF!</f>
        <v>#REF!</v>
      </c>
      <c r="H139" s="161" t="e">
        <f>H95-#REF!</f>
        <v>#REF!</v>
      </c>
      <c r="I139" s="161" t="e">
        <f>I95-#REF!</f>
        <v>#REF!</v>
      </c>
      <c r="J139" s="161" t="e">
        <f>J95-#REF!</f>
        <v>#REF!</v>
      </c>
      <c r="K139" s="161" t="e">
        <f>K95-#REF!</f>
        <v>#REF!</v>
      </c>
      <c r="L139" s="161" t="e">
        <f>L95-#REF!</f>
        <v>#REF!</v>
      </c>
      <c r="M139" s="161" t="e">
        <f>M95-#REF!</f>
        <v>#REF!</v>
      </c>
      <c r="N139" s="161" t="e">
        <f>N95-#REF!</f>
        <v>#REF!</v>
      </c>
      <c r="O139" s="161" t="e">
        <f>O95-#REF!</f>
        <v>#REF!</v>
      </c>
      <c r="P139" s="161" t="e">
        <f>P95-#REF!</f>
        <v>#REF!</v>
      </c>
      <c r="Q139" s="161" t="e">
        <f>Q95-#REF!</f>
        <v>#REF!</v>
      </c>
      <c r="R139" s="161" t="e">
        <f>R95-#REF!</f>
        <v>#REF!</v>
      </c>
      <c r="S139" s="161" t="e">
        <f>S95-#REF!</f>
        <v>#REF!</v>
      </c>
      <c r="T139" s="161" t="e">
        <f>T95-#REF!</f>
        <v>#REF!</v>
      </c>
      <c r="U139" s="161" t="e">
        <f>U95-#REF!</f>
        <v>#REF!</v>
      </c>
      <c r="V139" s="161" t="e">
        <f>V95-#REF!</f>
        <v>#REF!</v>
      </c>
      <c r="W139" s="161" t="e">
        <f>W95-#REF!</f>
        <v>#REF!</v>
      </c>
      <c r="X139" s="161" t="e">
        <f>X95-#REF!</f>
        <v>#REF!</v>
      </c>
      <c r="Y139" s="161" t="e">
        <f>Y95-#REF!</f>
        <v>#REF!</v>
      </c>
      <c r="Z139" s="161" t="e">
        <f>Z95-#REF!</f>
        <v>#REF!</v>
      </c>
      <c r="AA139" s="161" t="e">
        <f>AA95-#REF!</f>
        <v>#REF!</v>
      </c>
      <c r="AB139" s="161" t="e">
        <f>AB95-#REF!</f>
        <v>#REF!</v>
      </c>
      <c r="AC139" s="161" t="e">
        <f>AC95-#REF!</f>
        <v>#REF!</v>
      </c>
      <c r="AD139" s="169"/>
      <c r="AE139" s="161" t="e">
        <f>AE95-#REF!</f>
        <v>#REF!</v>
      </c>
      <c r="AF139" s="161" t="e">
        <f>AF95-#REF!</f>
        <v>#REF!</v>
      </c>
      <c r="AG139" s="161" t="e">
        <f>AG95-#REF!</f>
        <v>#REF!</v>
      </c>
    </row>
    <row r="140" spans="1:36" s="156" customFormat="1" ht="12" hidden="1">
      <c r="A140" s="160">
        <f t="shared" si="33"/>
        <v>44774</v>
      </c>
      <c r="B140" s="161" t="e">
        <f>B96-#REF!</f>
        <v>#REF!</v>
      </c>
      <c r="C140" s="161" t="e">
        <f>C96-#REF!</f>
        <v>#REF!</v>
      </c>
      <c r="D140" s="161" t="e">
        <f>D96-#REF!</f>
        <v>#REF!</v>
      </c>
      <c r="E140" s="161" t="e">
        <f>E96-#REF!</f>
        <v>#REF!</v>
      </c>
      <c r="F140" s="161" t="e">
        <f>F96-#REF!</f>
        <v>#REF!</v>
      </c>
      <c r="G140" s="161" t="e">
        <f>G96-#REF!</f>
        <v>#REF!</v>
      </c>
      <c r="H140" s="161" t="e">
        <f>H96-#REF!</f>
        <v>#REF!</v>
      </c>
      <c r="I140" s="161" t="e">
        <f>I96-#REF!</f>
        <v>#REF!</v>
      </c>
      <c r="J140" s="161" t="e">
        <f>J96-#REF!</f>
        <v>#REF!</v>
      </c>
      <c r="K140" s="161" t="e">
        <f>K96-#REF!</f>
        <v>#REF!</v>
      </c>
      <c r="L140" s="161" t="e">
        <f>L96-#REF!</f>
        <v>#REF!</v>
      </c>
      <c r="M140" s="161" t="e">
        <f>M96-#REF!</f>
        <v>#REF!</v>
      </c>
      <c r="N140" s="161" t="e">
        <f>N96-#REF!</f>
        <v>#REF!</v>
      </c>
      <c r="O140" s="161" t="e">
        <f>O96-#REF!</f>
        <v>#REF!</v>
      </c>
      <c r="P140" s="161" t="e">
        <f>P96-#REF!</f>
        <v>#REF!</v>
      </c>
      <c r="Q140" s="161" t="e">
        <f>Q96-#REF!</f>
        <v>#REF!</v>
      </c>
      <c r="R140" s="161" t="e">
        <f>R96-#REF!</f>
        <v>#REF!</v>
      </c>
      <c r="S140" s="161" t="e">
        <f>S96-#REF!</f>
        <v>#REF!</v>
      </c>
      <c r="T140" s="161" t="e">
        <f>T96-#REF!</f>
        <v>#REF!</v>
      </c>
      <c r="U140" s="161" t="e">
        <f>U96-#REF!</f>
        <v>#REF!</v>
      </c>
      <c r="V140" s="161" t="e">
        <f>V96-#REF!</f>
        <v>#REF!</v>
      </c>
      <c r="W140" s="161" t="e">
        <f>W96-#REF!</f>
        <v>#REF!</v>
      </c>
      <c r="X140" s="161" t="e">
        <f>X96-#REF!</f>
        <v>#REF!</v>
      </c>
      <c r="Y140" s="161" t="e">
        <f>Y96-#REF!</f>
        <v>#REF!</v>
      </c>
      <c r="Z140" s="161" t="e">
        <f>Z96-#REF!</f>
        <v>#REF!</v>
      </c>
      <c r="AA140" s="161" t="e">
        <f>AA96-#REF!</f>
        <v>#REF!</v>
      </c>
      <c r="AB140" s="161" t="e">
        <f>AB96-#REF!</f>
        <v>#REF!</v>
      </c>
      <c r="AC140" s="161" t="e">
        <f>AC96-#REF!</f>
        <v>#REF!</v>
      </c>
      <c r="AD140" s="169"/>
      <c r="AE140" s="161" t="e">
        <f>AE96-#REF!</f>
        <v>#REF!</v>
      </c>
      <c r="AF140" s="161" t="e">
        <f>AF96-#REF!</f>
        <v>#REF!</v>
      </c>
      <c r="AG140" s="161" t="e">
        <f>AG96-#REF!</f>
        <v>#REF!</v>
      </c>
    </row>
    <row r="141" spans="1:36" s="156" customFormat="1" ht="12" hidden="1">
      <c r="A141" s="160">
        <f t="shared" si="33"/>
        <v>44805</v>
      </c>
      <c r="B141" s="161" t="e">
        <f>B97-#REF!</f>
        <v>#REF!</v>
      </c>
      <c r="C141" s="161" t="e">
        <f>C97-#REF!</f>
        <v>#REF!</v>
      </c>
      <c r="D141" s="161" t="e">
        <f>D97-#REF!</f>
        <v>#REF!</v>
      </c>
      <c r="E141" s="161" t="e">
        <f>E97-#REF!</f>
        <v>#REF!</v>
      </c>
      <c r="F141" s="161" t="e">
        <f>F97-#REF!</f>
        <v>#REF!</v>
      </c>
      <c r="G141" s="161" t="e">
        <f>G97-#REF!</f>
        <v>#REF!</v>
      </c>
      <c r="H141" s="161" t="e">
        <f>H97-#REF!</f>
        <v>#REF!</v>
      </c>
      <c r="I141" s="161" t="e">
        <f>I97-#REF!</f>
        <v>#REF!</v>
      </c>
      <c r="J141" s="161" t="e">
        <f>J97-#REF!</f>
        <v>#REF!</v>
      </c>
      <c r="K141" s="161" t="e">
        <f>K97-#REF!</f>
        <v>#REF!</v>
      </c>
      <c r="L141" s="161" t="e">
        <f>L97-#REF!</f>
        <v>#REF!</v>
      </c>
      <c r="M141" s="161" t="e">
        <f>M97-#REF!</f>
        <v>#REF!</v>
      </c>
      <c r="N141" s="161" t="e">
        <f>N97-#REF!</f>
        <v>#REF!</v>
      </c>
      <c r="O141" s="161" t="e">
        <f>O97-#REF!</f>
        <v>#REF!</v>
      </c>
      <c r="P141" s="161" t="e">
        <f>P97-#REF!</f>
        <v>#REF!</v>
      </c>
      <c r="Q141" s="161" t="e">
        <f>Q97-#REF!</f>
        <v>#REF!</v>
      </c>
      <c r="R141" s="161" t="e">
        <f>R97-#REF!</f>
        <v>#REF!</v>
      </c>
      <c r="S141" s="161" t="e">
        <f>S97-#REF!</f>
        <v>#REF!</v>
      </c>
      <c r="T141" s="161" t="e">
        <f>T97-#REF!</f>
        <v>#REF!</v>
      </c>
      <c r="U141" s="161" t="e">
        <f>U97-#REF!</f>
        <v>#REF!</v>
      </c>
      <c r="V141" s="161" t="e">
        <f>V97-#REF!</f>
        <v>#REF!</v>
      </c>
      <c r="W141" s="161" t="e">
        <f>W97-#REF!</f>
        <v>#REF!</v>
      </c>
      <c r="X141" s="161" t="e">
        <f>X97-#REF!</f>
        <v>#REF!</v>
      </c>
      <c r="Y141" s="161" t="e">
        <f>Y97-#REF!</f>
        <v>#REF!</v>
      </c>
      <c r="Z141" s="161" t="e">
        <f>Z97-#REF!</f>
        <v>#REF!</v>
      </c>
      <c r="AA141" s="161" t="e">
        <f>AA97-#REF!</f>
        <v>#REF!</v>
      </c>
      <c r="AB141" s="161" t="e">
        <f>AB97-#REF!</f>
        <v>#REF!</v>
      </c>
      <c r="AC141" s="161" t="e">
        <f>AC97-#REF!</f>
        <v>#REF!</v>
      </c>
      <c r="AD141" s="169"/>
      <c r="AE141" s="161" t="e">
        <f>AE97-#REF!</f>
        <v>#REF!</v>
      </c>
      <c r="AF141" s="161" t="e">
        <f>AF97-#REF!</f>
        <v>#REF!</v>
      </c>
      <c r="AG141" s="161" t="e">
        <f>AG97-#REF!</f>
        <v>#REF!</v>
      </c>
      <c r="AI141" s="181" t="e">
        <f>AI97-#REF!</f>
        <v>#REF!</v>
      </c>
      <c r="AJ141" s="181" t="e">
        <f>AJ97-#REF!</f>
        <v>#REF!</v>
      </c>
    </row>
    <row r="142" spans="1:36" s="156" customFormat="1" ht="12">
      <c r="A142" s="160">
        <f t="shared" si="33"/>
        <v>44835</v>
      </c>
      <c r="B142" s="161">
        <f t="shared" ref="B142:AC151" si="34">B98-B173</f>
        <v>-0.27899999999999636</v>
      </c>
      <c r="C142" s="161">
        <f t="shared" si="34"/>
        <v>0</v>
      </c>
      <c r="D142" s="161">
        <f t="shared" si="34"/>
        <v>-0.27899999999999636</v>
      </c>
      <c r="E142" s="161">
        <f t="shared" si="34"/>
        <v>-0.27899999999999636</v>
      </c>
      <c r="F142" s="161">
        <f t="shared" si="34"/>
        <v>0</v>
      </c>
      <c r="G142" s="161">
        <f t="shared" si="34"/>
        <v>0</v>
      </c>
      <c r="H142" s="161">
        <f t="shared" si="34"/>
        <v>0</v>
      </c>
      <c r="I142" s="161">
        <f t="shared" si="34"/>
        <v>-371.75</v>
      </c>
      <c r="J142" s="161">
        <f t="shared" si="34"/>
        <v>0</v>
      </c>
      <c r="K142" s="161">
        <f t="shared" si="34"/>
        <v>0</v>
      </c>
      <c r="L142" s="161">
        <f t="shared" si="34"/>
        <v>0</v>
      </c>
      <c r="M142" s="161">
        <f t="shared" si="34"/>
        <v>0</v>
      </c>
      <c r="N142" s="161">
        <f t="shared" si="34"/>
        <v>0</v>
      </c>
      <c r="O142" s="161">
        <f t="shared" si="34"/>
        <v>0</v>
      </c>
      <c r="P142" s="161">
        <f t="shared" si="34"/>
        <v>0</v>
      </c>
      <c r="Q142" s="161">
        <f t="shared" si="34"/>
        <v>0</v>
      </c>
      <c r="R142" s="161">
        <f t="shared" si="34"/>
        <v>0</v>
      </c>
      <c r="S142" s="161">
        <f t="shared" si="34"/>
        <v>0</v>
      </c>
      <c r="T142" s="161">
        <f t="shared" si="34"/>
        <v>0</v>
      </c>
      <c r="U142" s="161">
        <f t="shared" si="34"/>
        <v>0</v>
      </c>
      <c r="V142" s="161">
        <f t="shared" si="34"/>
        <v>0</v>
      </c>
      <c r="W142" s="161">
        <f t="shared" si="34"/>
        <v>0</v>
      </c>
      <c r="X142" s="161">
        <f t="shared" si="34"/>
        <v>0</v>
      </c>
      <c r="Y142" s="161">
        <f t="shared" si="34"/>
        <v>0</v>
      </c>
      <c r="Z142" s="161">
        <f t="shared" si="34"/>
        <v>0</v>
      </c>
      <c r="AA142" s="161">
        <f t="shared" si="34"/>
        <v>0</v>
      </c>
      <c r="AB142" s="161">
        <f t="shared" si="34"/>
        <v>0</v>
      </c>
      <c r="AC142" s="161">
        <f t="shared" si="34"/>
        <v>0</v>
      </c>
      <c r="AD142" s="169"/>
      <c r="AE142" s="161">
        <f t="shared" ref="AE142:AG157" si="35">AE98-AE173</f>
        <v>0</v>
      </c>
      <c r="AF142" s="161">
        <f t="shared" si="35"/>
        <v>0</v>
      </c>
      <c r="AG142" s="161">
        <f t="shared" si="35"/>
        <v>10.28595373407974</v>
      </c>
      <c r="AI142" s="181">
        <f t="shared" ref="AI142:AJ157" si="36">AI98-AI173</f>
        <v>4.3816828196285851E-4</v>
      </c>
      <c r="AJ142" s="181">
        <f t="shared" si="36"/>
        <v>5.0020452024424067E-4</v>
      </c>
    </row>
    <row r="143" spans="1:36" s="156" customFormat="1" ht="12">
      <c r="A143" s="160">
        <f t="shared" si="33"/>
        <v>44866</v>
      </c>
      <c r="B143" s="161">
        <f t="shared" si="34"/>
        <v>3.1380000000000337</v>
      </c>
      <c r="C143" s="161">
        <f t="shared" si="34"/>
        <v>0</v>
      </c>
      <c r="D143" s="161">
        <f t="shared" si="34"/>
        <v>3.1380000000000337</v>
      </c>
      <c r="E143" s="161">
        <f t="shared" si="34"/>
        <v>3.1380000000000337</v>
      </c>
      <c r="F143" s="161">
        <f t="shared" si="34"/>
        <v>0</v>
      </c>
      <c r="G143" s="161">
        <f t="shared" si="34"/>
        <v>0</v>
      </c>
      <c r="H143" s="161">
        <f t="shared" si="34"/>
        <v>0</v>
      </c>
      <c r="I143" s="161">
        <f t="shared" si="34"/>
        <v>-589.61000000000013</v>
      </c>
      <c r="J143" s="161">
        <f t="shared" si="34"/>
        <v>4.0000000000006253E-2</v>
      </c>
      <c r="K143" s="161">
        <f t="shared" si="34"/>
        <v>7.0999999999997954E-2</v>
      </c>
      <c r="L143" s="161">
        <f t="shared" si="34"/>
        <v>0</v>
      </c>
      <c r="M143" s="161">
        <f t="shared" si="34"/>
        <v>0</v>
      </c>
      <c r="N143" s="161">
        <f t="shared" si="34"/>
        <v>0</v>
      </c>
      <c r="O143" s="161">
        <f t="shared" si="34"/>
        <v>-13.791999999999916</v>
      </c>
      <c r="P143" s="161">
        <f t="shared" si="34"/>
        <v>0</v>
      </c>
      <c r="Q143" s="161">
        <f t="shared" si="34"/>
        <v>0</v>
      </c>
      <c r="R143" s="161">
        <f t="shared" si="34"/>
        <v>0</v>
      </c>
      <c r="S143" s="161">
        <f t="shared" si="34"/>
        <v>0</v>
      </c>
      <c r="T143" s="161">
        <f t="shared" si="34"/>
        <v>0</v>
      </c>
      <c r="U143" s="161">
        <f t="shared" si="34"/>
        <v>0</v>
      </c>
      <c r="V143" s="161">
        <f t="shared" si="34"/>
        <v>0</v>
      </c>
      <c r="W143" s="161">
        <f t="shared" si="34"/>
        <v>0</v>
      </c>
      <c r="X143" s="161">
        <f t="shared" si="34"/>
        <v>0</v>
      </c>
      <c r="Y143" s="161">
        <f t="shared" si="34"/>
        <v>0</v>
      </c>
      <c r="Z143" s="161">
        <f t="shared" si="34"/>
        <v>0</v>
      </c>
      <c r="AA143" s="161">
        <f t="shared" si="34"/>
        <v>0</v>
      </c>
      <c r="AB143" s="161">
        <f t="shared" si="34"/>
        <v>9.7269999999980428E-2</v>
      </c>
      <c r="AC143" s="161">
        <f t="shared" si="34"/>
        <v>2.6269999999954052E-2</v>
      </c>
      <c r="AD143" s="169"/>
      <c r="AE143" s="161">
        <f t="shared" si="35"/>
        <v>0</v>
      </c>
      <c r="AF143" s="161">
        <f t="shared" si="35"/>
        <v>0</v>
      </c>
      <c r="AG143" s="161">
        <f t="shared" si="35"/>
        <v>17.849327596590076</v>
      </c>
      <c r="AI143" s="181">
        <f t="shared" si="36"/>
        <v>-5.4406595175627848E-3</v>
      </c>
      <c r="AJ143" s="181">
        <f t="shared" si="36"/>
        <v>-5.9463115988140913E-3</v>
      </c>
    </row>
    <row r="144" spans="1:36" s="156" customFormat="1" ht="12">
      <c r="A144" s="160">
        <f t="shared" si="33"/>
        <v>44896</v>
      </c>
      <c r="B144" s="161">
        <f t="shared" si="34"/>
        <v>0.50499999999999545</v>
      </c>
      <c r="C144" s="161">
        <f t="shared" si="34"/>
        <v>0</v>
      </c>
      <c r="D144" s="161">
        <f t="shared" si="34"/>
        <v>0.50499999999999545</v>
      </c>
      <c r="E144" s="161">
        <f t="shared" si="34"/>
        <v>0.50499999999999545</v>
      </c>
      <c r="F144" s="161">
        <f t="shared" si="34"/>
        <v>0</v>
      </c>
      <c r="G144" s="161">
        <f t="shared" si="34"/>
        <v>0</v>
      </c>
      <c r="H144" s="161">
        <f t="shared" si="34"/>
        <v>0</v>
      </c>
      <c r="I144" s="161">
        <f t="shared" si="34"/>
        <v>357.0600000000004</v>
      </c>
      <c r="J144" s="161">
        <f t="shared" si="34"/>
        <v>0</v>
      </c>
      <c r="K144" s="161">
        <f t="shared" si="34"/>
        <v>0</v>
      </c>
      <c r="L144" s="161">
        <f t="shared" si="34"/>
        <v>0</v>
      </c>
      <c r="M144" s="161">
        <f t="shared" si="34"/>
        <v>0</v>
      </c>
      <c r="N144" s="161">
        <f t="shared" si="34"/>
        <v>0</v>
      </c>
      <c r="O144" s="161">
        <f t="shared" si="34"/>
        <v>0</v>
      </c>
      <c r="P144" s="161">
        <f t="shared" si="34"/>
        <v>0</v>
      </c>
      <c r="Q144" s="161">
        <f t="shared" si="34"/>
        <v>0</v>
      </c>
      <c r="R144" s="161">
        <f t="shared" si="34"/>
        <v>0</v>
      </c>
      <c r="S144" s="161">
        <f t="shared" si="34"/>
        <v>0</v>
      </c>
      <c r="T144" s="161">
        <f t="shared" si="34"/>
        <v>0</v>
      </c>
      <c r="U144" s="161">
        <f t="shared" si="34"/>
        <v>0</v>
      </c>
      <c r="V144" s="161">
        <f t="shared" si="34"/>
        <v>0</v>
      </c>
      <c r="W144" s="161">
        <f t="shared" si="34"/>
        <v>0</v>
      </c>
      <c r="X144" s="161">
        <f t="shared" si="34"/>
        <v>0</v>
      </c>
      <c r="Y144" s="161">
        <f t="shared" si="34"/>
        <v>0</v>
      </c>
      <c r="Z144" s="161">
        <f t="shared" si="34"/>
        <v>0</v>
      </c>
      <c r="AA144" s="161">
        <f t="shared" si="34"/>
        <v>0</v>
      </c>
      <c r="AB144" s="161">
        <f t="shared" si="34"/>
        <v>0</v>
      </c>
      <c r="AC144" s="161">
        <f t="shared" si="34"/>
        <v>0</v>
      </c>
      <c r="AD144" s="169"/>
      <c r="AE144" s="161">
        <f t="shared" si="35"/>
        <v>0</v>
      </c>
      <c r="AF144" s="161">
        <f t="shared" si="35"/>
        <v>0</v>
      </c>
      <c r="AG144" s="161">
        <f t="shared" si="35"/>
        <v>-7.5391340326948457</v>
      </c>
      <c r="AI144" s="181">
        <f t="shared" si="36"/>
        <v>-9.5221062597616868E-4</v>
      </c>
      <c r="AJ144" s="181">
        <f t="shared" si="36"/>
        <v>-1.0406549904370399E-3</v>
      </c>
    </row>
    <row r="145" spans="1:36" s="156" customFormat="1" ht="12">
      <c r="A145" s="160">
        <f t="shared" si="33"/>
        <v>44927</v>
      </c>
      <c r="B145" s="161">
        <f t="shared" si="34"/>
        <v>-2.589999999999975</v>
      </c>
      <c r="C145" s="161">
        <f t="shared" si="34"/>
        <v>0</v>
      </c>
      <c r="D145" s="161">
        <f t="shared" si="34"/>
        <v>-2.589999999999975</v>
      </c>
      <c r="E145" s="161">
        <f t="shared" si="34"/>
        <v>-2.589999999999975</v>
      </c>
      <c r="F145" s="161">
        <f t="shared" si="34"/>
        <v>0</v>
      </c>
      <c r="G145" s="161">
        <f t="shared" si="34"/>
        <v>0</v>
      </c>
      <c r="H145" s="161">
        <f t="shared" si="34"/>
        <v>0</v>
      </c>
      <c r="I145" s="161">
        <f t="shared" si="34"/>
        <v>-180.86999999999989</v>
      </c>
      <c r="J145" s="161">
        <f t="shared" si="34"/>
        <v>0</v>
      </c>
      <c r="K145" s="161">
        <f t="shared" si="34"/>
        <v>0</v>
      </c>
      <c r="L145" s="161">
        <f t="shared" si="34"/>
        <v>0</v>
      </c>
      <c r="M145" s="161">
        <f t="shared" si="34"/>
        <v>0</v>
      </c>
      <c r="N145" s="161">
        <f t="shared" si="34"/>
        <v>0</v>
      </c>
      <c r="O145" s="161">
        <f t="shared" si="34"/>
        <v>0</v>
      </c>
      <c r="P145" s="161">
        <f t="shared" si="34"/>
        <v>0</v>
      </c>
      <c r="Q145" s="161">
        <f t="shared" si="34"/>
        <v>0</v>
      </c>
      <c r="R145" s="161">
        <f t="shared" si="34"/>
        <v>0</v>
      </c>
      <c r="S145" s="161">
        <f t="shared" si="34"/>
        <v>0</v>
      </c>
      <c r="T145" s="161">
        <f t="shared" si="34"/>
        <v>0</v>
      </c>
      <c r="U145" s="161">
        <f t="shared" si="34"/>
        <v>0</v>
      </c>
      <c r="V145" s="161">
        <f t="shared" si="34"/>
        <v>0</v>
      </c>
      <c r="W145" s="161">
        <f t="shared" si="34"/>
        <v>0</v>
      </c>
      <c r="X145" s="161">
        <f t="shared" si="34"/>
        <v>0</v>
      </c>
      <c r="Y145" s="161">
        <f t="shared" si="34"/>
        <v>0</v>
      </c>
      <c r="Z145" s="161">
        <f t="shared" si="34"/>
        <v>0</v>
      </c>
      <c r="AA145" s="161">
        <f t="shared" si="34"/>
        <v>0</v>
      </c>
      <c r="AB145" s="161">
        <f t="shared" si="34"/>
        <v>0</v>
      </c>
      <c r="AC145" s="161">
        <f t="shared" si="34"/>
        <v>0</v>
      </c>
      <c r="AD145" s="169"/>
      <c r="AE145" s="161">
        <f t="shared" si="35"/>
        <v>1.671999999999997</v>
      </c>
      <c r="AF145" s="161">
        <f t="shared" si="35"/>
        <v>14.920000000000002</v>
      </c>
      <c r="AG145" s="161">
        <f t="shared" si="35"/>
        <v>0.67399999999999238</v>
      </c>
      <c r="AI145" s="181">
        <f t="shared" si="36"/>
        <v>0.68078310732351055</v>
      </c>
      <c r="AJ145" s="181">
        <f t="shared" si="36"/>
        <v>0.91026233864535355</v>
      </c>
    </row>
    <row r="146" spans="1:36" s="156" customFormat="1" ht="12">
      <c r="A146" s="160">
        <f t="shared" si="33"/>
        <v>44958</v>
      </c>
      <c r="B146" s="161">
        <f t="shared" si="34"/>
        <v>-1.0910000000000082</v>
      </c>
      <c r="C146" s="161">
        <f t="shared" si="34"/>
        <v>0</v>
      </c>
      <c r="D146" s="161">
        <f t="shared" si="34"/>
        <v>-1.0910000000000082</v>
      </c>
      <c r="E146" s="161">
        <f t="shared" si="34"/>
        <v>-1.0910000000000082</v>
      </c>
      <c r="F146" s="161">
        <f t="shared" si="34"/>
        <v>0</v>
      </c>
      <c r="G146" s="161">
        <f t="shared" si="34"/>
        <v>0</v>
      </c>
      <c r="H146" s="161">
        <f t="shared" si="34"/>
        <v>0</v>
      </c>
      <c r="I146" s="161">
        <f t="shared" si="34"/>
        <v>-196.63000000000011</v>
      </c>
      <c r="J146" s="161">
        <f t="shared" si="34"/>
        <v>0</v>
      </c>
      <c r="K146" s="161">
        <f t="shared" si="34"/>
        <v>0</v>
      </c>
      <c r="L146" s="161">
        <f t="shared" si="34"/>
        <v>0</v>
      </c>
      <c r="M146" s="161">
        <f t="shared" si="34"/>
        <v>0</v>
      </c>
      <c r="N146" s="161">
        <f t="shared" si="34"/>
        <v>0</v>
      </c>
      <c r="O146" s="161">
        <f t="shared" si="34"/>
        <v>0</v>
      </c>
      <c r="P146" s="161">
        <f t="shared" si="34"/>
        <v>3.8019999999999996</v>
      </c>
      <c r="Q146" s="161">
        <f t="shared" si="34"/>
        <v>0</v>
      </c>
      <c r="R146" s="161">
        <f t="shared" si="34"/>
        <v>0</v>
      </c>
      <c r="S146" s="161">
        <f t="shared" si="34"/>
        <v>0</v>
      </c>
      <c r="T146" s="161">
        <f t="shared" si="34"/>
        <v>0</v>
      </c>
      <c r="U146" s="161">
        <f t="shared" si="34"/>
        <v>0</v>
      </c>
      <c r="V146" s="161">
        <f t="shared" si="34"/>
        <v>0</v>
      </c>
      <c r="W146" s="161">
        <f t="shared" si="34"/>
        <v>0</v>
      </c>
      <c r="X146" s="161">
        <f t="shared" si="34"/>
        <v>0</v>
      </c>
      <c r="Y146" s="161">
        <f t="shared" si="34"/>
        <v>0</v>
      </c>
      <c r="Z146" s="161">
        <f t="shared" si="34"/>
        <v>0</v>
      </c>
      <c r="AA146" s="161">
        <f t="shared" si="34"/>
        <v>0</v>
      </c>
      <c r="AB146" s="161">
        <f t="shared" si="34"/>
        <v>0</v>
      </c>
      <c r="AC146" s="161">
        <f t="shared" si="34"/>
        <v>0</v>
      </c>
      <c r="AD146" s="169"/>
      <c r="AE146" s="161">
        <f t="shared" si="35"/>
        <v>0</v>
      </c>
      <c r="AF146" s="161">
        <f t="shared" si="35"/>
        <v>0</v>
      </c>
      <c r="AG146" s="161">
        <f t="shared" si="35"/>
        <v>11.920722071804715</v>
      </c>
      <c r="AI146" s="181">
        <f t="shared" si="36"/>
        <v>2.0816170361520614E-3</v>
      </c>
      <c r="AJ146" s="181">
        <f t="shared" si="36"/>
        <v>2.3011703151205598E-3</v>
      </c>
    </row>
    <row r="147" spans="1:36" s="156" customFormat="1" ht="12">
      <c r="A147" s="160">
        <f t="shared" si="33"/>
        <v>44986</v>
      </c>
      <c r="B147" s="161">
        <f t="shared" si="34"/>
        <v>-1.8110000000000355</v>
      </c>
      <c r="C147" s="161">
        <f t="shared" si="34"/>
        <v>0</v>
      </c>
      <c r="D147" s="161">
        <f t="shared" si="34"/>
        <v>-1.8309999999999604</v>
      </c>
      <c r="E147" s="161">
        <f t="shared" si="34"/>
        <v>-1.8310000000000173</v>
      </c>
      <c r="F147" s="161">
        <f t="shared" si="34"/>
        <v>0</v>
      </c>
      <c r="G147" s="161">
        <f t="shared" si="34"/>
        <v>2.0000000000000462E-2</v>
      </c>
      <c r="H147" s="161">
        <f t="shared" si="34"/>
        <v>0</v>
      </c>
      <c r="I147" s="161">
        <f t="shared" si="34"/>
        <v>-83.119999999999891</v>
      </c>
      <c r="J147" s="161">
        <f t="shared" si="34"/>
        <v>0</v>
      </c>
      <c r="K147" s="161">
        <f t="shared" si="34"/>
        <v>-6.1999999999983402E-2</v>
      </c>
      <c r="L147" s="161">
        <f t="shared" si="34"/>
        <v>0</v>
      </c>
      <c r="M147" s="161">
        <f t="shared" si="34"/>
        <v>1.9010000000000673</v>
      </c>
      <c r="N147" s="161">
        <f t="shared" si="34"/>
        <v>-1.0920000000000982</v>
      </c>
      <c r="O147" s="161">
        <f t="shared" si="34"/>
        <v>-4.9999999999954525E-3</v>
      </c>
      <c r="P147" s="161">
        <f t="shared" si="34"/>
        <v>0</v>
      </c>
      <c r="Q147" s="161">
        <f t="shared" si="34"/>
        <v>0</v>
      </c>
      <c r="R147" s="161">
        <f t="shared" si="34"/>
        <v>0</v>
      </c>
      <c r="S147" s="161">
        <f t="shared" si="34"/>
        <v>0</v>
      </c>
      <c r="T147" s="161">
        <f t="shared" si="34"/>
        <v>0</v>
      </c>
      <c r="U147" s="161">
        <f t="shared" si="34"/>
        <v>0</v>
      </c>
      <c r="V147" s="161">
        <f t="shared" si="34"/>
        <v>-3.5249999999999773</v>
      </c>
      <c r="W147" s="161">
        <f t="shared" si="34"/>
        <v>-3.7390000000000043</v>
      </c>
      <c r="X147" s="161">
        <f t="shared" si="34"/>
        <v>1.9575290062908701E-3</v>
      </c>
      <c r="Y147" s="161">
        <f t="shared" si="34"/>
        <v>17.897999999999996</v>
      </c>
      <c r="Z147" s="161">
        <f t="shared" si="34"/>
        <v>-7.1359999999999957</v>
      </c>
      <c r="AA147" s="161">
        <f t="shared" si="34"/>
        <v>-9.5600000000000023</v>
      </c>
      <c r="AB147" s="161">
        <f t="shared" si="34"/>
        <v>-8.4940000000017335E-2</v>
      </c>
      <c r="AC147" s="161">
        <f t="shared" si="34"/>
        <v>-2.2940000000005512E-2</v>
      </c>
      <c r="AD147" s="169"/>
      <c r="AE147" s="161">
        <f t="shared" si="35"/>
        <v>-3.7390000000000043</v>
      </c>
      <c r="AF147" s="161">
        <f t="shared" si="35"/>
        <v>-7.1359999999999957</v>
      </c>
      <c r="AG147" s="161">
        <f t="shared" si="35"/>
        <v>2.8359105088810033</v>
      </c>
      <c r="AI147" s="181">
        <f t="shared" si="36"/>
        <v>3.1135266655355487E-3</v>
      </c>
      <c r="AJ147" s="181">
        <f t="shared" si="36"/>
        <v>3.2623932999646943E-3</v>
      </c>
    </row>
    <row r="148" spans="1:36" s="156" customFormat="1" ht="12">
      <c r="A148" s="160">
        <f t="shared" si="33"/>
        <v>45017</v>
      </c>
      <c r="B148" s="161">
        <f t="shared" si="34"/>
        <v>-1.6789999999999736</v>
      </c>
      <c r="C148" s="161">
        <f t="shared" si="34"/>
        <v>0</v>
      </c>
      <c r="D148" s="161">
        <f t="shared" si="34"/>
        <v>-1.6789999999999736</v>
      </c>
      <c r="E148" s="161">
        <f t="shared" si="34"/>
        <v>-1.6789999999999736</v>
      </c>
      <c r="F148" s="161">
        <f t="shared" si="34"/>
        <v>0</v>
      </c>
      <c r="G148" s="161">
        <f t="shared" si="34"/>
        <v>0</v>
      </c>
      <c r="H148" s="161">
        <f t="shared" si="34"/>
        <v>0</v>
      </c>
      <c r="I148" s="161">
        <f t="shared" si="34"/>
        <v>-5.9800000000000182</v>
      </c>
      <c r="J148" s="161">
        <f t="shared" si="34"/>
        <v>0</v>
      </c>
      <c r="K148" s="161">
        <f t="shared" si="34"/>
        <v>0</v>
      </c>
      <c r="L148" s="161">
        <f t="shared" si="34"/>
        <v>0</v>
      </c>
      <c r="M148" s="161">
        <f t="shared" si="34"/>
        <v>0</v>
      </c>
      <c r="N148" s="161">
        <f t="shared" si="34"/>
        <v>0</v>
      </c>
      <c r="O148" s="161">
        <f t="shared" si="34"/>
        <v>0</v>
      </c>
      <c r="P148" s="161">
        <f t="shared" si="34"/>
        <v>0</v>
      </c>
      <c r="Q148" s="161">
        <f t="shared" si="34"/>
        <v>0</v>
      </c>
      <c r="R148" s="161">
        <f t="shared" si="34"/>
        <v>0</v>
      </c>
      <c r="S148" s="161">
        <f t="shared" si="34"/>
        <v>0</v>
      </c>
      <c r="T148" s="161">
        <f t="shared" si="34"/>
        <v>0</v>
      </c>
      <c r="U148" s="161">
        <f t="shared" si="34"/>
        <v>0</v>
      </c>
      <c r="V148" s="161">
        <f t="shared" si="34"/>
        <v>0</v>
      </c>
      <c r="W148" s="161">
        <f t="shared" si="34"/>
        <v>0</v>
      </c>
      <c r="X148" s="161">
        <f t="shared" si="34"/>
        <v>0</v>
      </c>
      <c r="Y148" s="161">
        <f t="shared" si="34"/>
        <v>0</v>
      </c>
      <c r="Z148" s="161">
        <f t="shared" si="34"/>
        <v>0</v>
      </c>
      <c r="AA148" s="161">
        <f t="shared" si="34"/>
        <v>0</v>
      </c>
      <c r="AB148" s="161">
        <f t="shared" si="34"/>
        <v>0</v>
      </c>
      <c r="AC148" s="161">
        <f t="shared" si="34"/>
        <v>0</v>
      </c>
      <c r="AD148" s="169"/>
      <c r="AE148" s="161">
        <f t="shared" si="35"/>
        <v>0</v>
      </c>
      <c r="AF148" s="161">
        <f t="shared" si="35"/>
        <v>0</v>
      </c>
      <c r="AG148" s="161">
        <f t="shared" si="35"/>
        <v>-13.447228180317154</v>
      </c>
      <c r="AI148" s="181">
        <f t="shared" si="36"/>
        <v>2.9753400548448994E-3</v>
      </c>
      <c r="AJ148" s="181">
        <f t="shared" si="36"/>
        <v>3.2787669419396259E-3</v>
      </c>
    </row>
    <row r="149" spans="1:36" s="156" customFormat="1" ht="12">
      <c r="A149" s="160">
        <f t="shared" si="33"/>
        <v>45047</v>
      </c>
      <c r="B149" s="161">
        <f t="shared" si="34"/>
        <v>1.4700000000000273</v>
      </c>
      <c r="C149" s="161">
        <f t="shared" si="34"/>
        <v>0</v>
      </c>
      <c r="D149" s="161">
        <f t="shared" si="34"/>
        <v>1.4700000000000273</v>
      </c>
      <c r="E149" s="161">
        <f t="shared" si="34"/>
        <v>1.4700000000000273</v>
      </c>
      <c r="F149" s="161">
        <f t="shared" si="34"/>
        <v>0</v>
      </c>
      <c r="G149" s="161">
        <f t="shared" si="34"/>
        <v>0</v>
      </c>
      <c r="H149" s="161">
        <f t="shared" si="34"/>
        <v>0</v>
      </c>
      <c r="I149" s="161">
        <f t="shared" si="34"/>
        <v>126.17000000000007</v>
      </c>
      <c r="J149" s="161">
        <f t="shared" si="34"/>
        <v>0</v>
      </c>
      <c r="K149" s="161">
        <f t="shared" si="34"/>
        <v>0</v>
      </c>
      <c r="L149" s="161">
        <f t="shared" si="34"/>
        <v>0</v>
      </c>
      <c r="M149" s="161">
        <f t="shared" si="34"/>
        <v>0</v>
      </c>
      <c r="N149" s="161">
        <f t="shared" si="34"/>
        <v>0</v>
      </c>
      <c r="O149" s="161">
        <f t="shared" si="34"/>
        <v>0</v>
      </c>
      <c r="P149" s="161">
        <f t="shared" si="34"/>
        <v>0</v>
      </c>
      <c r="Q149" s="161">
        <f t="shared" si="34"/>
        <v>0</v>
      </c>
      <c r="R149" s="161">
        <f t="shared" si="34"/>
        <v>0</v>
      </c>
      <c r="S149" s="161">
        <f t="shared" si="34"/>
        <v>0</v>
      </c>
      <c r="T149" s="161">
        <f t="shared" si="34"/>
        <v>0</v>
      </c>
      <c r="U149" s="161">
        <f t="shared" si="34"/>
        <v>0</v>
      </c>
      <c r="V149" s="161">
        <f t="shared" si="34"/>
        <v>0</v>
      </c>
      <c r="W149" s="161">
        <f t="shared" si="34"/>
        <v>0</v>
      </c>
      <c r="X149" s="161">
        <f t="shared" si="34"/>
        <v>0</v>
      </c>
      <c r="Y149" s="161">
        <f t="shared" si="34"/>
        <v>0</v>
      </c>
      <c r="Z149" s="161">
        <f t="shared" si="34"/>
        <v>0</v>
      </c>
      <c r="AA149" s="161">
        <f t="shared" si="34"/>
        <v>0</v>
      </c>
      <c r="AB149" s="161">
        <f t="shared" si="34"/>
        <v>0</v>
      </c>
      <c r="AC149" s="161">
        <f t="shared" si="34"/>
        <v>0</v>
      </c>
      <c r="AD149" s="169"/>
      <c r="AE149" s="161">
        <f t="shared" si="35"/>
        <v>0</v>
      </c>
      <c r="AF149" s="161">
        <f t="shared" si="35"/>
        <v>0</v>
      </c>
      <c r="AG149" s="161">
        <f t="shared" si="35"/>
        <v>-1.4618586075725928</v>
      </c>
      <c r="AI149" s="181">
        <f t="shared" si="36"/>
        <v>-2.5672358156226815E-3</v>
      </c>
      <c r="AJ149" s="181">
        <f t="shared" si="36"/>
        <v>-2.8634235835298671E-3</v>
      </c>
    </row>
    <row r="150" spans="1:36" s="156" customFormat="1" ht="12">
      <c r="A150" s="160">
        <f t="shared" si="33"/>
        <v>45078</v>
      </c>
      <c r="B150" s="161">
        <f t="shared" si="34"/>
        <v>0.59300000000001774</v>
      </c>
      <c r="C150" s="161">
        <f t="shared" si="34"/>
        <v>0</v>
      </c>
      <c r="D150" s="161">
        <f t="shared" si="34"/>
        <v>0.59300000000001774</v>
      </c>
      <c r="E150" s="161">
        <f t="shared" si="34"/>
        <v>0.59300000000001774</v>
      </c>
      <c r="F150" s="161">
        <f t="shared" si="34"/>
        <v>0</v>
      </c>
      <c r="G150" s="161">
        <f t="shared" si="34"/>
        <v>0</v>
      </c>
      <c r="H150" s="161">
        <f t="shared" si="34"/>
        <v>0</v>
      </c>
      <c r="I150" s="161">
        <f t="shared" si="34"/>
        <v>15.989999999999782</v>
      </c>
      <c r="J150" s="161">
        <f t="shared" si="34"/>
        <v>0</v>
      </c>
      <c r="K150" s="161">
        <f t="shared" si="34"/>
        <v>0</v>
      </c>
      <c r="L150" s="161">
        <f t="shared" si="34"/>
        <v>0</v>
      </c>
      <c r="M150" s="161">
        <f t="shared" si="34"/>
        <v>0</v>
      </c>
      <c r="N150" s="161">
        <f t="shared" si="34"/>
        <v>0</v>
      </c>
      <c r="O150" s="161">
        <f t="shared" si="34"/>
        <v>0</v>
      </c>
      <c r="P150" s="161">
        <f t="shared" si="34"/>
        <v>0</v>
      </c>
      <c r="Q150" s="161">
        <f t="shared" si="34"/>
        <v>0</v>
      </c>
      <c r="R150" s="161">
        <f t="shared" si="34"/>
        <v>0</v>
      </c>
      <c r="S150" s="161">
        <f t="shared" si="34"/>
        <v>0</v>
      </c>
      <c r="T150" s="161">
        <f t="shared" si="34"/>
        <v>0</v>
      </c>
      <c r="U150" s="161">
        <f t="shared" si="34"/>
        <v>0</v>
      </c>
      <c r="V150" s="161">
        <f t="shared" si="34"/>
        <v>0</v>
      </c>
      <c r="W150" s="161">
        <f t="shared" si="34"/>
        <v>0</v>
      </c>
      <c r="X150" s="161">
        <f t="shared" si="34"/>
        <v>0</v>
      </c>
      <c r="Y150" s="161">
        <f t="shared" si="34"/>
        <v>0</v>
      </c>
      <c r="Z150" s="161">
        <f t="shared" si="34"/>
        <v>0</v>
      </c>
      <c r="AA150" s="161">
        <f t="shared" si="34"/>
        <v>0</v>
      </c>
      <c r="AB150" s="161">
        <f t="shared" si="34"/>
        <v>0</v>
      </c>
      <c r="AC150" s="161">
        <f t="shared" si="34"/>
        <v>0</v>
      </c>
      <c r="AD150" s="169"/>
      <c r="AE150" s="161">
        <f t="shared" si="35"/>
        <v>0</v>
      </c>
      <c r="AF150" s="161">
        <f t="shared" si="35"/>
        <v>0</v>
      </c>
      <c r="AG150" s="161">
        <f t="shared" si="35"/>
        <v>-28.022310105838372</v>
      </c>
      <c r="AI150" s="181">
        <f t="shared" si="36"/>
        <v>-1.0260560137863584E-3</v>
      </c>
      <c r="AJ150" s="181">
        <f t="shared" si="36"/>
        <v>-1.153300516745781E-3</v>
      </c>
    </row>
    <row r="151" spans="1:36" s="156" customFormat="1" ht="12">
      <c r="A151" s="160">
        <f t="shared" si="33"/>
        <v>45108</v>
      </c>
      <c r="B151" s="161">
        <f t="shared" si="34"/>
        <v>1.2019999999999982</v>
      </c>
      <c r="C151" s="161">
        <f t="shared" si="34"/>
        <v>0</v>
      </c>
      <c r="D151" s="161">
        <f t="shared" si="34"/>
        <v>1.2019999999999982</v>
      </c>
      <c r="E151" s="161">
        <f t="shared" ref="E151:AC151" si="37">E107-E182</f>
        <v>1.2019999999999982</v>
      </c>
      <c r="F151" s="161">
        <f t="shared" si="37"/>
        <v>0</v>
      </c>
      <c r="G151" s="161">
        <f t="shared" si="37"/>
        <v>0</v>
      </c>
      <c r="H151" s="161">
        <f t="shared" si="37"/>
        <v>0</v>
      </c>
      <c r="I151" s="161">
        <f t="shared" si="37"/>
        <v>-7.0000000000163709E-2</v>
      </c>
      <c r="J151" s="161">
        <f t="shared" si="37"/>
        <v>0</v>
      </c>
      <c r="K151" s="161">
        <f t="shared" si="37"/>
        <v>0</v>
      </c>
      <c r="L151" s="161">
        <f t="shared" si="37"/>
        <v>6.1220000000000141</v>
      </c>
      <c r="M151" s="161">
        <f t="shared" si="37"/>
        <v>0</v>
      </c>
      <c r="N151" s="161">
        <f t="shared" si="37"/>
        <v>-2.2770000000000437</v>
      </c>
      <c r="O151" s="161">
        <f t="shared" si="37"/>
        <v>0</v>
      </c>
      <c r="P151" s="161">
        <f t="shared" si="37"/>
        <v>0</v>
      </c>
      <c r="Q151" s="161">
        <f t="shared" si="37"/>
        <v>0</v>
      </c>
      <c r="R151" s="161">
        <f t="shared" si="37"/>
        <v>0</v>
      </c>
      <c r="S151" s="161">
        <f t="shared" si="37"/>
        <v>0</v>
      </c>
      <c r="T151" s="161">
        <f t="shared" si="37"/>
        <v>0</v>
      </c>
      <c r="U151" s="161">
        <f t="shared" si="37"/>
        <v>0</v>
      </c>
      <c r="V151" s="161">
        <f t="shared" si="37"/>
        <v>0</v>
      </c>
      <c r="W151" s="161">
        <f t="shared" si="37"/>
        <v>0</v>
      </c>
      <c r="X151" s="161">
        <f t="shared" si="37"/>
        <v>0</v>
      </c>
      <c r="Y151" s="161">
        <f t="shared" si="37"/>
        <v>0</v>
      </c>
      <c r="Z151" s="161">
        <f t="shared" si="37"/>
        <v>0</v>
      </c>
      <c r="AA151" s="161">
        <f t="shared" si="37"/>
        <v>0</v>
      </c>
      <c r="AB151" s="161">
        <f t="shared" si="37"/>
        <v>0</v>
      </c>
      <c r="AC151" s="161">
        <f t="shared" si="37"/>
        <v>0</v>
      </c>
      <c r="AD151" s="169"/>
      <c r="AE151" s="161">
        <f t="shared" si="35"/>
        <v>0</v>
      </c>
      <c r="AF151" s="161">
        <f t="shared" si="35"/>
        <v>0</v>
      </c>
      <c r="AG151" s="161">
        <f t="shared" si="35"/>
        <v>10.93835636981623</v>
      </c>
      <c r="AI151" s="181">
        <f t="shared" si="36"/>
        <v>-1.8807262834964478E-3</v>
      </c>
      <c r="AJ151" s="181">
        <f t="shared" si="36"/>
        <v>-2.1768288690402482E-3</v>
      </c>
    </row>
    <row r="152" spans="1:36" s="156" customFormat="1" ht="12">
      <c r="A152" s="160">
        <f t="shared" si="33"/>
        <v>45139</v>
      </c>
      <c r="B152" s="161">
        <f t="shared" ref="B152:AC161" si="38">B108-B183</f>
        <v>-0.91199999999997772</v>
      </c>
      <c r="C152" s="161">
        <f t="shared" si="38"/>
        <v>0</v>
      </c>
      <c r="D152" s="161">
        <f t="shared" si="38"/>
        <v>-0.91199999999997772</v>
      </c>
      <c r="E152" s="161">
        <f t="shared" si="38"/>
        <v>-0.91199999999997772</v>
      </c>
      <c r="F152" s="161">
        <f t="shared" si="38"/>
        <v>0</v>
      </c>
      <c r="G152" s="161">
        <f t="shared" si="38"/>
        <v>0</v>
      </c>
      <c r="H152" s="161">
        <f t="shared" si="38"/>
        <v>0</v>
      </c>
      <c r="I152" s="161">
        <f t="shared" si="38"/>
        <v>379.90999999999985</v>
      </c>
      <c r="J152" s="161">
        <f t="shared" si="38"/>
        <v>0</v>
      </c>
      <c r="K152" s="161">
        <f t="shared" si="38"/>
        <v>0</v>
      </c>
      <c r="L152" s="161">
        <f t="shared" si="38"/>
        <v>5.6230000000000473</v>
      </c>
      <c r="M152" s="161">
        <f t="shared" si="38"/>
        <v>24.998000000000047</v>
      </c>
      <c r="N152" s="161">
        <f t="shared" si="38"/>
        <v>-2.2560000000000855</v>
      </c>
      <c r="O152" s="161">
        <f t="shared" si="38"/>
        <v>0</v>
      </c>
      <c r="P152" s="161">
        <f t="shared" si="38"/>
        <v>0</v>
      </c>
      <c r="Q152" s="161">
        <f t="shared" si="38"/>
        <v>0</v>
      </c>
      <c r="R152" s="161">
        <f t="shared" si="38"/>
        <v>0</v>
      </c>
      <c r="S152" s="161">
        <f t="shared" si="38"/>
        <v>0</v>
      </c>
      <c r="T152" s="161">
        <f t="shared" si="38"/>
        <v>0</v>
      </c>
      <c r="U152" s="161">
        <f t="shared" si="38"/>
        <v>0</v>
      </c>
      <c r="V152" s="161">
        <f t="shared" si="38"/>
        <v>0</v>
      </c>
      <c r="W152" s="161">
        <f t="shared" si="38"/>
        <v>0</v>
      </c>
      <c r="X152" s="161">
        <f t="shared" si="38"/>
        <v>0</v>
      </c>
      <c r="Y152" s="161">
        <f t="shared" si="38"/>
        <v>0</v>
      </c>
      <c r="Z152" s="161">
        <f t="shared" si="38"/>
        <v>0</v>
      </c>
      <c r="AA152" s="161">
        <f t="shared" si="38"/>
        <v>0</v>
      </c>
      <c r="AB152" s="161">
        <f t="shared" si="38"/>
        <v>0</v>
      </c>
      <c r="AC152" s="161">
        <f t="shared" si="38"/>
        <v>0</v>
      </c>
      <c r="AD152" s="169"/>
      <c r="AE152" s="161">
        <f t="shared" si="35"/>
        <v>0</v>
      </c>
      <c r="AF152" s="161">
        <f t="shared" si="35"/>
        <v>0</v>
      </c>
      <c r="AG152" s="161">
        <f t="shared" si="35"/>
        <v>-12.772891906539677</v>
      </c>
      <c r="AI152" s="181">
        <f t="shared" si="36"/>
        <v>1.4008786165594644E-3</v>
      </c>
      <c r="AJ152" s="181">
        <f t="shared" si="36"/>
        <v>1.6628494599283394E-3</v>
      </c>
    </row>
    <row r="153" spans="1:36" s="156" customFormat="1" ht="12">
      <c r="A153" s="160">
        <f t="shared" si="33"/>
        <v>45170</v>
      </c>
      <c r="B153" s="161">
        <f t="shared" si="38"/>
        <v>1.6999999999939064E-2</v>
      </c>
      <c r="C153" s="161">
        <f t="shared" si="38"/>
        <v>0</v>
      </c>
      <c r="D153" s="161">
        <f t="shared" si="38"/>
        <v>1.6999999999995907E-2</v>
      </c>
      <c r="E153" s="161">
        <f t="shared" si="38"/>
        <v>1.6999999999995907E-2</v>
      </c>
      <c r="F153" s="161">
        <f t="shared" si="38"/>
        <v>0</v>
      </c>
      <c r="G153" s="161">
        <f t="shared" si="38"/>
        <v>0</v>
      </c>
      <c r="H153" s="161">
        <f t="shared" si="38"/>
        <v>0</v>
      </c>
      <c r="I153" s="161">
        <f t="shared" si="38"/>
        <v>-1290.3899999999999</v>
      </c>
      <c r="J153" s="161">
        <f t="shared" si="38"/>
        <v>0</v>
      </c>
      <c r="K153" s="161">
        <f t="shared" si="38"/>
        <v>6.4999999999997726E-2</v>
      </c>
      <c r="L153" s="161">
        <f t="shared" si="38"/>
        <v>0</v>
      </c>
      <c r="M153" s="161">
        <f t="shared" si="38"/>
        <v>0.63499999999999091</v>
      </c>
      <c r="N153" s="161">
        <f t="shared" si="38"/>
        <v>1.5769999999999982</v>
      </c>
      <c r="O153" s="161">
        <f t="shared" si="38"/>
        <v>-0.81700000000000728</v>
      </c>
      <c r="P153" s="161">
        <f t="shared" si="38"/>
        <v>0</v>
      </c>
      <c r="Q153" s="161">
        <f t="shared" si="38"/>
        <v>0</v>
      </c>
      <c r="R153" s="161">
        <f t="shared" si="38"/>
        <v>0</v>
      </c>
      <c r="S153" s="161">
        <f t="shared" si="38"/>
        <v>0</v>
      </c>
      <c r="T153" s="161">
        <f t="shared" si="38"/>
        <v>0</v>
      </c>
      <c r="U153" s="161">
        <f t="shared" si="38"/>
        <v>0</v>
      </c>
      <c r="V153" s="161">
        <f t="shared" si="38"/>
        <v>0</v>
      </c>
      <c r="W153" s="161">
        <f t="shared" si="38"/>
        <v>0</v>
      </c>
      <c r="X153" s="161">
        <f t="shared" si="38"/>
        <v>0</v>
      </c>
      <c r="Y153" s="161">
        <f t="shared" si="38"/>
        <v>3.2390000000000043</v>
      </c>
      <c r="Z153" s="161">
        <f t="shared" si="38"/>
        <v>0</v>
      </c>
      <c r="AA153" s="161">
        <f t="shared" si="38"/>
        <v>0</v>
      </c>
      <c r="AB153" s="161">
        <f t="shared" si="38"/>
        <v>8.9050000000042928E-2</v>
      </c>
      <c r="AC153" s="161">
        <f t="shared" si="38"/>
        <v>2.4050000000045202E-2</v>
      </c>
      <c r="AD153" s="169"/>
      <c r="AE153" s="161">
        <f t="shared" si="35"/>
        <v>0</v>
      </c>
      <c r="AF153" s="161">
        <f t="shared" si="35"/>
        <v>0</v>
      </c>
      <c r="AG153" s="161">
        <f t="shared" si="35"/>
        <v>0.46141602852788077</v>
      </c>
      <c r="AI153" s="181">
        <f t="shared" si="36"/>
        <v>3.5655981873827791E-5</v>
      </c>
      <c r="AJ153" s="181" t="e">
        <f t="shared" si="36"/>
        <v>#DIV/0!</v>
      </c>
    </row>
    <row r="154" spans="1:36" s="156" customFormat="1" ht="12">
      <c r="A154" s="160">
        <f t="shared" si="33"/>
        <v>45200</v>
      </c>
      <c r="B154" s="161">
        <f t="shared" si="38"/>
        <v>-1.4489999999999554</v>
      </c>
      <c r="C154" s="161">
        <f t="shared" si="38"/>
        <v>0</v>
      </c>
      <c r="D154" s="161">
        <f t="shared" si="38"/>
        <v>-1.4490000000000123</v>
      </c>
      <c r="E154" s="161">
        <f t="shared" si="38"/>
        <v>-1.4489999999999554</v>
      </c>
      <c r="F154" s="161">
        <f t="shared" si="38"/>
        <v>0</v>
      </c>
      <c r="G154" s="161">
        <f t="shared" si="38"/>
        <v>0</v>
      </c>
      <c r="H154" s="161">
        <f t="shared" si="38"/>
        <v>0</v>
      </c>
      <c r="I154" s="161">
        <f t="shared" si="38"/>
        <v>-1311.46</v>
      </c>
      <c r="J154" s="161">
        <f t="shared" si="38"/>
        <v>0</v>
      </c>
      <c r="K154" s="161">
        <f t="shared" si="38"/>
        <v>0</v>
      </c>
      <c r="L154" s="161">
        <f t="shared" si="38"/>
        <v>2.3079999999999927</v>
      </c>
      <c r="M154" s="161">
        <f t="shared" si="38"/>
        <v>24</v>
      </c>
      <c r="N154" s="161">
        <f t="shared" si="38"/>
        <v>-2.3910000000000764</v>
      </c>
      <c r="O154" s="161">
        <f t="shared" si="38"/>
        <v>0</v>
      </c>
      <c r="P154" s="161">
        <f t="shared" si="38"/>
        <v>0</v>
      </c>
      <c r="Q154" s="161">
        <f t="shared" si="38"/>
        <v>0</v>
      </c>
      <c r="R154" s="161">
        <f t="shared" si="38"/>
        <v>0</v>
      </c>
      <c r="S154" s="161">
        <f t="shared" si="38"/>
        <v>0</v>
      </c>
      <c r="T154" s="161">
        <f t="shared" si="38"/>
        <v>0</v>
      </c>
      <c r="U154" s="161">
        <f t="shared" si="38"/>
        <v>0</v>
      </c>
      <c r="V154" s="161">
        <f t="shared" si="38"/>
        <v>0</v>
      </c>
      <c r="W154" s="161">
        <f t="shared" si="38"/>
        <v>0</v>
      </c>
      <c r="X154" s="161">
        <f t="shared" si="38"/>
        <v>0</v>
      </c>
      <c r="Y154" s="161">
        <f t="shared" si="38"/>
        <v>0</v>
      </c>
      <c r="Z154" s="161">
        <f t="shared" si="38"/>
        <v>0</v>
      </c>
      <c r="AA154" s="161">
        <f t="shared" si="38"/>
        <v>0</v>
      </c>
      <c r="AB154" s="161">
        <f t="shared" si="38"/>
        <v>0</v>
      </c>
      <c r="AC154" s="161">
        <f t="shared" si="38"/>
        <v>0</v>
      </c>
      <c r="AD154" s="169"/>
      <c r="AE154" s="161">
        <f t="shared" si="35"/>
        <v>0</v>
      </c>
      <c r="AF154" s="161">
        <f t="shared" si="35"/>
        <v>0</v>
      </c>
      <c r="AG154" s="161">
        <f t="shared" si="35"/>
        <v>19.106478748872263</v>
      </c>
      <c r="AI154" s="181">
        <f t="shared" si="36"/>
        <v>2.036795546751291E-3</v>
      </c>
      <c r="AJ154" s="181">
        <f t="shared" si="36"/>
        <v>2.4596297325150118E-3</v>
      </c>
    </row>
    <row r="155" spans="1:36" s="156" customFormat="1" ht="12">
      <c r="A155" s="160">
        <f t="shared" si="33"/>
        <v>45231</v>
      </c>
      <c r="B155" s="161">
        <f t="shared" si="38"/>
        <v>2.2980000000000018</v>
      </c>
      <c r="C155" s="161">
        <f t="shared" si="38"/>
        <v>0</v>
      </c>
      <c r="D155" s="161">
        <f t="shared" si="38"/>
        <v>2.2980000000000018</v>
      </c>
      <c r="E155" s="161">
        <f t="shared" si="38"/>
        <v>2.2980000000000018</v>
      </c>
      <c r="F155" s="161">
        <f t="shared" si="38"/>
        <v>0</v>
      </c>
      <c r="G155" s="161">
        <f t="shared" si="38"/>
        <v>0</v>
      </c>
      <c r="H155" s="161">
        <f t="shared" si="38"/>
        <v>0</v>
      </c>
      <c r="I155" s="161">
        <f t="shared" si="38"/>
        <v>-1566.48</v>
      </c>
      <c r="J155" s="161">
        <f t="shared" si="38"/>
        <v>0</v>
      </c>
      <c r="K155" s="161">
        <f t="shared" si="38"/>
        <v>0</v>
      </c>
      <c r="L155" s="161">
        <f t="shared" si="38"/>
        <v>0</v>
      </c>
      <c r="M155" s="161">
        <f t="shared" si="38"/>
        <v>0</v>
      </c>
      <c r="N155" s="161">
        <f t="shared" si="38"/>
        <v>0</v>
      </c>
      <c r="O155" s="161">
        <f t="shared" si="38"/>
        <v>0</v>
      </c>
      <c r="P155" s="161">
        <f t="shared" si="38"/>
        <v>0</v>
      </c>
      <c r="Q155" s="161">
        <f t="shared" si="38"/>
        <v>0</v>
      </c>
      <c r="R155" s="161">
        <f t="shared" si="38"/>
        <v>0</v>
      </c>
      <c r="S155" s="161">
        <f t="shared" si="38"/>
        <v>0</v>
      </c>
      <c r="T155" s="161">
        <f t="shared" si="38"/>
        <v>0</v>
      </c>
      <c r="U155" s="161">
        <f t="shared" si="38"/>
        <v>0</v>
      </c>
      <c r="V155" s="161">
        <f t="shared" si="38"/>
        <v>0</v>
      </c>
      <c r="W155" s="161">
        <f t="shared" si="38"/>
        <v>0</v>
      </c>
      <c r="X155" s="161">
        <f t="shared" si="38"/>
        <v>0</v>
      </c>
      <c r="Y155" s="161">
        <f t="shared" si="38"/>
        <v>0</v>
      </c>
      <c r="Z155" s="161">
        <f t="shared" si="38"/>
        <v>0</v>
      </c>
      <c r="AA155" s="161">
        <f t="shared" si="38"/>
        <v>0</v>
      </c>
      <c r="AB155" s="161">
        <f t="shared" si="38"/>
        <v>0</v>
      </c>
      <c r="AC155" s="161">
        <f t="shared" si="38"/>
        <v>0</v>
      </c>
      <c r="AD155" s="169"/>
      <c r="AE155" s="161">
        <f t="shared" si="35"/>
        <v>0</v>
      </c>
      <c r="AF155" s="161">
        <f t="shared" si="35"/>
        <v>0</v>
      </c>
      <c r="AG155" s="161">
        <f t="shared" si="35"/>
        <v>-6.203537030416423</v>
      </c>
      <c r="AI155" s="181">
        <f t="shared" si="36"/>
        <v>-3.8727630835319049E-3</v>
      </c>
      <c r="AJ155" s="181">
        <f t="shared" si="36"/>
        <v>-4.3612560309869153E-3</v>
      </c>
    </row>
    <row r="156" spans="1:36" s="156" customFormat="1" ht="12">
      <c r="A156" s="160">
        <f t="shared" si="33"/>
        <v>45261</v>
      </c>
      <c r="B156" s="161">
        <f t="shared" si="38"/>
        <v>2.1970000000000027</v>
      </c>
      <c r="C156" s="161">
        <f t="shared" si="38"/>
        <v>0</v>
      </c>
      <c r="D156" s="161">
        <f t="shared" si="38"/>
        <v>2.3000000000000114</v>
      </c>
      <c r="E156" s="161">
        <f t="shared" si="38"/>
        <v>2.3000000000000114</v>
      </c>
      <c r="F156" s="161">
        <f t="shared" si="38"/>
        <v>0</v>
      </c>
      <c r="G156" s="161">
        <f t="shared" si="38"/>
        <v>-0.10300000000000065</v>
      </c>
      <c r="H156" s="161">
        <f t="shared" si="38"/>
        <v>0</v>
      </c>
      <c r="I156" s="161">
        <f t="shared" si="38"/>
        <v>0</v>
      </c>
      <c r="J156" s="161">
        <f t="shared" si="38"/>
        <v>0</v>
      </c>
      <c r="K156" s="161">
        <f t="shared" si="38"/>
        <v>0</v>
      </c>
      <c r="L156" s="161">
        <f t="shared" si="38"/>
        <v>0</v>
      </c>
      <c r="M156" s="161">
        <f t="shared" si="38"/>
        <v>-1.1119999999998527</v>
      </c>
      <c r="N156" s="161">
        <f t="shared" si="38"/>
        <v>-7.7559999999998581</v>
      </c>
      <c r="O156" s="161">
        <f t="shared" si="38"/>
        <v>0</v>
      </c>
      <c r="P156" s="161">
        <f t="shared" si="38"/>
        <v>0</v>
      </c>
      <c r="Q156" s="161">
        <f t="shared" si="38"/>
        <v>0</v>
      </c>
      <c r="R156" s="161">
        <f t="shared" si="38"/>
        <v>0</v>
      </c>
      <c r="S156" s="161">
        <f t="shared" si="38"/>
        <v>0</v>
      </c>
      <c r="T156" s="161">
        <f t="shared" si="38"/>
        <v>0</v>
      </c>
      <c r="U156" s="161">
        <f t="shared" si="38"/>
        <v>0</v>
      </c>
      <c r="V156" s="161">
        <f t="shared" si="38"/>
        <v>0</v>
      </c>
      <c r="W156" s="161">
        <f t="shared" si="38"/>
        <v>0</v>
      </c>
      <c r="X156" s="161">
        <f t="shared" si="38"/>
        <v>0</v>
      </c>
      <c r="Y156" s="161">
        <f t="shared" si="38"/>
        <v>0</v>
      </c>
      <c r="Z156" s="161">
        <f t="shared" si="38"/>
        <v>0</v>
      </c>
      <c r="AA156" s="161">
        <f t="shared" si="38"/>
        <v>0</v>
      </c>
      <c r="AB156" s="161">
        <f t="shared" si="38"/>
        <v>0</v>
      </c>
      <c r="AC156" s="161">
        <f t="shared" si="38"/>
        <v>0</v>
      </c>
      <c r="AD156" s="169"/>
      <c r="AE156" s="161">
        <f t="shared" si="35"/>
        <v>0</v>
      </c>
      <c r="AF156" s="161">
        <f t="shared" si="35"/>
        <v>0</v>
      </c>
      <c r="AG156" s="161">
        <f t="shared" si="35"/>
        <v>5.870464897526265</v>
      </c>
      <c r="AI156" s="181">
        <f t="shared" si="36"/>
        <v>-3.1836998740175648E-3</v>
      </c>
      <c r="AJ156" s="181">
        <f t="shared" si="36"/>
        <v>-3.5720915430037525E-3</v>
      </c>
    </row>
    <row r="157" spans="1:36" s="156" customFormat="1" ht="12">
      <c r="A157" s="160">
        <f t="shared" si="33"/>
        <v>45292</v>
      </c>
      <c r="B157" s="161">
        <f t="shared" si="38"/>
        <v>7.4800000000000182</v>
      </c>
      <c r="C157" s="161">
        <f t="shared" si="38"/>
        <v>0</v>
      </c>
      <c r="D157" s="161">
        <f t="shared" si="38"/>
        <v>7.4800000000000182</v>
      </c>
      <c r="E157" s="161">
        <f t="shared" si="38"/>
        <v>7.4800000000000182</v>
      </c>
      <c r="F157" s="161">
        <f t="shared" si="38"/>
        <v>0</v>
      </c>
      <c r="G157" s="161">
        <f t="shared" si="38"/>
        <v>0</v>
      </c>
      <c r="H157" s="161">
        <f t="shared" si="38"/>
        <v>0</v>
      </c>
      <c r="I157" s="161">
        <f t="shared" si="38"/>
        <v>259.06000000000006</v>
      </c>
      <c r="J157" s="161">
        <f t="shared" si="38"/>
        <v>-6.6999999999993065E-2</v>
      </c>
      <c r="K157" s="161">
        <f t="shared" si="38"/>
        <v>0.21100000000001273</v>
      </c>
      <c r="L157" s="161">
        <f t="shared" si="38"/>
        <v>0</v>
      </c>
      <c r="M157" s="161">
        <f t="shared" si="38"/>
        <v>0</v>
      </c>
      <c r="N157" s="161">
        <f t="shared" si="38"/>
        <v>2.2239999999999327</v>
      </c>
      <c r="O157" s="161">
        <f t="shared" si="38"/>
        <v>0</v>
      </c>
      <c r="P157" s="161">
        <f t="shared" si="38"/>
        <v>0</v>
      </c>
      <c r="Q157" s="161">
        <f t="shared" si="38"/>
        <v>0</v>
      </c>
      <c r="R157" s="161">
        <f t="shared" si="38"/>
        <v>0</v>
      </c>
      <c r="S157" s="161">
        <f t="shared" si="38"/>
        <v>0</v>
      </c>
      <c r="T157" s="161">
        <f t="shared" si="38"/>
        <v>0</v>
      </c>
      <c r="U157" s="161">
        <f t="shared" si="38"/>
        <v>0</v>
      </c>
      <c r="V157" s="161">
        <f t="shared" si="38"/>
        <v>0</v>
      </c>
      <c r="W157" s="161">
        <f t="shared" si="38"/>
        <v>0</v>
      </c>
      <c r="X157" s="161">
        <f t="shared" si="38"/>
        <v>0</v>
      </c>
      <c r="Y157" s="161">
        <f t="shared" si="38"/>
        <v>0</v>
      </c>
      <c r="Z157" s="161">
        <f t="shared" si="38"/>
        <v>0</v>
      </c>
      <c r="AA157" s="161">
        <f t="shared" si="38"/>
        <v>0</v>
      </c>
      <c r="AB157" s="161">
        <f t="shared" si="38"/>
        <v>0.28906999999998106</v>
      </c>
      <c r="AC157" s="161">
        <f t="shared" si="38"/>
        <v>7.8069999999968331E-2</v>
      </c>
      <c r="AD157" s="169"/>
      <c r="AE157" s="161">
        <f t="shared" si="35"/>
        <v>0</v>
      </c>
      <c r="AF157" s="161">
        <f t="shared" si="35"/>
        <v>0</v>
      </c>
      <c r="AG157" s="161">
        <f t="shared" si="35"/>
        <v>10.341730319426109</v>
      </c>
      <c r="AI157" s="181">
        <f t="shared" si="36"/>
        <v>-1.0874913746293902E-2</v>
      </c>
      <c r="AJ157" s="181">
        <f t="shared" si="36"/>
        <v>-1.2728163925669223E-2</v>
      </c>
    </row>
    <row r="158" spans="1:36" s="156" customFormat="1" ht="12">
      <c r="A158" s="160">
        <f t="shared" si="33"/>
        <v>45323</v>
      </c>
      <c r="B158" s="161">
        <f t="shared" si="38"/>
        <v>3.9490000000000691</v>
      </c>
      <c r="C158" s="161">
        <f t="shared" si="38"/>
        <v>0</v>
      </c>
      <c r="D158" s="161">
        <f t="shared" si="38"/>
        <v>3.9489999999999554</v>
      </c>
      <c r="E158" s="161">
        <f t="shared" si="38"/>
        <v>3.9490000000000123</v>
      </c>
      <c r="F158" s="161">
        <f t="shared" si="38"/>
        <v>0</v>
      </c>
      <c r="G158" s="161">
        <f t="shared" si="38"/>
        <v>0</v>
      </c>
      <c r="H158" s="161">
        <f t="shared" si="38"/>
        <v>0</v>
      </c>
      <c r="I158" s="161">
        <f t="shared" si="38"/>
        <v>372.6099999999999</v>
      </c>
      <c r="J158" s="161">
        <f t="shared" si="38"/>
        <v>-5.8500000000000085</v>
      </c>
      <c r="K158" s="161">
        <f t="shared" si="38"/>
        <v>-1.9000000000005457E-2</v>
      </c>
      <c r="L158" s="161">
        <f t="shared" si="38"/>
        <v>0</v>
      </c>
      <c r="M158" s="161">
        <f t="shared" si="38"/>
        <v>-1.9690000000000509</v>
      </c>
      <c r="N158" s="161">
        <f t="shared" si="38"/>
        <v>0</v>
      </c>
      <c r="O158" s="161">
        <f t="shared" si="38"/>
        <v>0</v>
      </c>
      <c r="P158" s="161">
        <f t="shared" si="38"/>
        <v>0</v>
      </c>
      <c r="Q158" s="161">
        <f t="shared" si="38"/>
        <v>0</v>
      </c>
      <c r="R158" s="161">
        <f t="shared" si="38"/>
        <v>0</v>
      </c>
      <c r="S158" s="161">
        <f t="shared" si="38"/>
        <v>0</v>
      </c>
      <c r="T158" s="161">
        <f t="shared" si="38"/>
        <v>0</v>
      </c>
      <c r="U158" s="161">
        <f t="shared" si="38"/>
        <v>0</v>
      </c>
      <c r="V158" s="161">
        <f t="shared" si="38"/>
        <v>0</v>
      </c>
      <c r="W158" s="161">
        <f t="shared" si="38"/>
        <v>0</v>
      </c>
      <c r="X158" s="161">
        <f t="shared" si="38"/>
        <v>0</v>
      </c>
      <c r="Y158" s="161">
        <f t="shared" si="38"/>
        <v>0</v>
      </c>
      <c r="Z158" s="161">
        <f t="shared" si="38"/>
        <v>0</v>
      </c>
      <c r="AA158" s="161">
        <f t="shared" si="38"/>
        <v>0</v>
      </c>
      <c r="AB158" s="161">
        <f t="shared" si="38"/>
        <v>-2.602999999999156E-2</v>
      </c>
      <c r="AC158" s="161">
        <f t="shared" si="38"/>
        <v>-7.0299999999861029E-3</v>
      </c>
      <c r="AD158" s="169"/>
      <c r="AE158" s="161">
        <f t="shared" ref="AE158:AG168" si="39">AE114-AE189</f>
        <v>0</v>
      </c>
      <c r="AF158" s="161">
        <f t="shared" si="39"/>
        <v>0</v>
      </c>
      <c r="AG158" s="161">
        <f t="shared" si="39"/>
        <v>-22.590470375151199</v>
      </c>
      <c r="AI158" s="181">
        <f t="shared" ref="AI158:AJ168" si="40">AI114-AI189</f>
        <v>-6.590940933111078E-3</v>
      </c>
      <c r="AJ158" s="181">
        <f t="shared" si="40"/>
        <v>-7.3989746790756872E-3</v>
      </c>
    </row>
    <row r="159" spans="1:36" s="156" customFormat="1" ht="12">
      <c r="A159" s="160">
        <f t="shared" si="33"/>
        <v>45352</v>
      </c>
      <c r="B159" s="161">
        <f t="shared" si="38"/>
        <v>3.3260000000000218</v>
      </c>
      <c r="C159" s="161">
        <f t="shared" si="38"/>
        <v>0</v>
      </c>
      <c r="D159" s="161">
        <f t="shared" si="38"/>
        <v>3.3260000000000218</v>
      </c>
      <c r="E159" s="161">
        <f t="shared" si="38"/>
        <v>3.3260000000000218</v>
      </c>
      <c r="F159" s="161">
        <f t="shared" si="38"/>
        <v>0</v>
      </c>
      <c r="G159" s="161">
        <f t="shared" si="38"/>
        <v>0</v>
      </c>
      <c r="H159" s="161">
        <f t="shared" si="38"/>
        <v>0</v>
      </c>
      <c r="I159" s="161">
        <f t="shared" si="38"/>
        <v>261.53999999999996</v>
      </c>
      <c r="J159" s="161">
        <f t="shared" si="38"/>
        <v>0</v>
      </c>
      <c r="K159" s="161">
        <f t="shared" si="38"/>
        <v>0</v>
      </c>
      <c r="L159" s="161">
        <f t="shared" si="38"/>
        <v>0</v>
      </c>
      <c r="M159" s="161">
        <f t="shared" si="38"/>
        <v>0</v>
      </c>
      <c r="N159" s="161">
        <f t="shared" si="38"/>
        <v>0</v>
      </c>
      <c r="O159" s="161">
        <f t="shared" si="38"/>
        <v>0</v>
      </c>
      <c r="P159" s="161">
        <f t="shared" si="38"/>
        <v>0</v>
      </c>
      <c r="Q159" s="161">
        <f t="shared" si="38"/>
        <v>0</v>
      </c>
      <c r="R159" s="161">
        <f t="shared" si="38"/>
        <v>0</v>
      </c>
      <c r="S159" s="161">
        <f t="shared" si="38"/>
        <v>0</v>
      </c>
      <c r="T159" s="161">
        <f t="shared" si="38"/>
        <v>0</v>
      </c>
      <c r="U159" s="161">
        <f t="shared" si="38"/>
        <v>0</v>
      </c>
      <c r="V159" s="161">
        <f t="shared" si="38"/>
        <v>0</v>
      </c>
      <c r="W159" s="161">
        <f t="shared" si="38"/>
        <v>0</v>
      </c>
      <c r="X159" s="161">
        <f t="shared" si="38"/>
        <v>0</v>
      </c>
      <c r="Y159" s="161">
        <f t="shared" si="38"/>
        <v>0</v>
      </c>
      <c r="Z159" s="161">
        <f t="shared" si="38"/>
        <v>0</v>
      </c>
      <c r="AA159" s="161">
        <f t="shared" si="38"/>
        <v>0</v>
      </c>
      <c r="AB159" s="161">
        <f t="shared" si="38"/>
        <v>0</v>
      </c>
      <c r="AC159" s="161">
        <f t="shared" si="38"/>
        <v>0</v>
      </c>
      <c r="AD159" s="169"/>
      <c r="AE159" s="161">
        <f t="shared" si="39"/>
        <v>0</v>
      </c>
      <c r="AF159" s="161">
        <f t="shared" si="39"/>
        <v>0</v>
      </c>
      <c r="AG159" s="161">
        <f t="shared" si="39"/>
        <v>17.074431356363924</v>
      </c>
      <c r="AI159" s="181">
        <f t="shared" si="40"/>
        <v>-4.935154089703353E-3</v>
      </c>
      <c r="AJ159" s="181">
        <f t="shared" si="40"/>
        <v>-5.6605661876975022E-3</v>
      </c>
    </row>
    <row r="160" spans="1:36" s="156" customFormat="1" ht="12">
      <c r="A160" s="160">
        <f t="shared" si="33"/>
        <v>45383</v>
      </c>
      <c r="B160" s="161">
        <f t="shared" si="38"/>
        <v>5.6469999999999914</v>
      </c>
      <c r="C160" s="161">
        <f t="shared" si="38"/>
        <v>0</v>
      </c>
      <c r="D160" s="161">
        <f t="shared" si="38"/>
        <v>5.6469999999999914</v>
      </c>
      <c r="E160" s="161">
        <f t="shared" si="38"/>
        <v>5.6469999999999914</v>
      </c>
      <c r="F160" s="161">
        <f t="shared" si="38"/>
        <v>0</v>
      </c>
      <c r="G160" s="161">
        <f t="shared" si="38"/>
        <v>0</v>
      </c>
      <c r="H160" s="161">
        <f t="shared" si="38"/>
        <v>0</v>
      </c>
      <c r="I160" s="161">
        <f t="shared" si="38"/>
        <v>736.88</v>
      </c>
      <c r="J160" s="161">
        <f t="shared" si="38"/>
        <v>0</v>
      </c>
      <c r="K160" s="161">
        <f t="shared" si="38"/>
        <v>0</v>
      </c>
      <c r="L160" s="161">
        <f t="shared" si="38"/>
        <v>0</v>
      </c>
      <c r="M160" s="161">
        <f t="shared" si="38"/>
        <v>0</v>
      </c>
      <c r="N160" s="161">
        <f t="shared" si="38"/>
        <v>1.2170000000000982</v>
      </c>
      <c r="O160" s="161">
        <f t="shared" si="38"/>
        <v>0</v>
      </c>
      <c r="P160" s="161">
        <f t="shared" si="38"/>
        <v>0</v>
      </c>
      <c r="Q160" s="161">
        <f t="shared" si="38"/>
        <v>0</v>
      </c>
      <c r="R160" s="161">
        <f t="shared" si="38"/>
        <v>0</v>
      </c>
      <c r="S160" s="161">
        <f t="shared" si="38"/>
        <v>0</v>
      </c>
      <c r="T160" s="161">
        <f t="shared" si="38"/>
        <v>0</v>
      </c>
      <c r="U160" s="161">
        <f t="shared" si="38"/>
        <v>0</v>
      </c>
      <c r="V160" s="161">
        <f t="shared" si="38"/>
        <v>0</v>
      </c>
      <c r="W160" s="161">
        <f t="shared" si="38"/>
        <v>0</v>
      </c>
      <c r="X160" s="161">
        <f t="shared" si="38"/>
        <v>0</v>
      </c>
      <c r="Y160" s="161">
        <f t="shared" si="38"/>
        <v>0</v>
      </c>
      <c r="Z160" s="161">
        <f t="shared" si="38"/>
        <v>0</v>
      </c>
      <c r="AA160" s="161">
        <f t="shared" si="38"/>
        <v>0</v>
      </c>
      <c r="AB160" s="161">
        <f t="shared" si="38"/>
        <v>0</v>
      </c>
      <c r="AC160" s="161">
        <f t="shared" si="38"/>
        <v>0</v>
      </c>
      <c r="AD160" s="169"/>
      <c r="AE160" s="161">
        <f t="shared" si="39"/>
        <v>0</v>
      </c>
      <c r="AF160" s="161">
        <f t="shared" si="39"/>
        <v>0</v>
      </c>
      <c r="AG160" s="161">
        <f t="shared" si="39"/>
        <v>-5.6889426186466832</v>
      </c>
      <c r="AI160" s="181">
        <f t="shared" si="40"/>
        <v>-8.8816328256756671E-3</v>
      </c>
      <c r="AJ160" s="181">
        <f t="shared" si="40"/>
        <v>-1.0637055783119465E-2</v>
      </c>
    </row>
    <row r="161" spans="1:36" s="156" customFormat="1" ht="12">
      <c r="A161" s="160">
        <f t="shared" si="33"/>
        <v>45413</v>
      </c>
      <c r="B161" s="161">
        <f t="shared" si="38"/>
        <v>1.7189999999999941</v>
      </c>
      <c r="C161" s="161">
        <f t="shared" si="38"/>
        <v>0</v>
      </c>
      <c r="D161" s="161">
        <f t="shared" si="38"/>
        <v>1.7189999999999941</v>
      </c>
      <c r="E161" s="161">
        <f t="shared" ref="E161:AC161" si="41">E117-E192</f>
        <v>1.7189999999999941</v>
      </c>
      <c r="F161" s="161">
        <f t="shared" si="41"/>
        <v>0</v>
      </c>
      <c r="G161" s="161">
        <f t="shared" si="41"/>
        <v>0</v>
      </c>
      <c r="H161" s="161">
        <f t="shared" si="41"/>
        <v>0</v>
      </c>
      <c r="I161" s="161">
        <f t="shared" si="41"/>
        <v>460.66999999999996</v>
      </c>
      <c r="J161" s="161">
        <f t="shared" si="41"/>
        <v>0</v>
      </c>
      <c r="K161" s="161">
        <f t="shared" si="41"/>
        <v>0</v>
      </c>
      <c r="L161" s="161">
        <f t="shared" si="41"/>
        <v>0</v>
      </c>
      <c r="M161" s="161">
        <f t="shared" si="41"/>
        <v>0</v>
      </c>
      <c r="N161" s="161">
        <f t="shared" si="41"/>
        <v>0</v>
      </c>
      <c r="O161" s="161">
        <f t="shared" si="41"/>
        <v>0</v>
      </c>
      <c r="P161" s="161">
        <f t="shared" si="41"/>
        <v>0</v>
      </c>
      <c r="Q161" s="161">
        <f t="shared" si="41"/>
        <v>0</v>
      </c>
      <c r="R161" s="161">
        <f t="shared" si="41"/>
        <v>0</v>
      </c>
      <c r="S161" s="161">
        <f t="shared" si="41"/>
        <v>0</v>
      </c>
      <c r="T161" s="161">
        <f t="shared" si="41"/>
        <v>0</v>
      </c>
      <c r="U161" s="161">
        <f t="shared" si="41"/>
        <v>0</v>
      </c>
      <c r="V161" s="161">
        <f t="shared" si="41"/>
        <v>0</v>
      </c>
      <c r="W161" s="161">
        <f t="shared" si="41"/>
        <v>0</v>
      </c>
      <c r="X161" s="161">
        <f t="shared" si="41"/>
        <v>0</v>
      </c>
      <c r="Y161" s="161">
        <f t="shared" si="41"/>
        <v>0</v>
      </c>
      <c r="Z161" s="161">
        <f t="shared" si="41"/>
        <v>0</v>
      </c>
      <c r="AA161" s="161">
        <f t="shared" si="41"/>
        <v>0</v>
      </c>
      <c r="AB161" s="161">
        <f t="shared" si="41"/>
        <v>0</v>
      </c>
      <c r="AC161" s="161">
        <f t="shared" si="41"/>
        <v>0</v>
      </c>
      <c r="AD161" s="169"/>
      <c r="AE161" s="161">
        <f t="shared" si="39"/>
        <v>0</v>
      </c>
      <c r="AF161" s="161">
        <f t="shared" si="39"/>
        <v>0</v>
      </c>
      <c r="AG161" s="161">
        <f t="shared" si="39"/>
        <v>17.602575261044414</v>
      </c>
      <c r="AI161" s="181">
        <f t="shared" si="40"/>
        <v>-2.7764950960645907E-3</v>
      </c>
      <c r="AJ161" s="181">
        <f t="shared" si="40"/>
        <v>-3.1613641835396278E-3</v>
      </c>
    </row>
    <row r="162" spans="1:36" s="156" customFormat="1" ht="12">
      <c r="A162" s="160">
        <f t="shared" si="33"/>
        <v>45444</v>
      </c>
      <c r="B162" s="161">
        <f t="shared" ref="B162:AC168" si="42">B118-B193</f>
        <v>3.7900000000000205</v>
      </c>
      <c r="C162" s="161">
        <f t="shared" si="42"/>
        <v>0</v>
      </c>
      <c r="D162" s="161">
        <f t="shared" si="42"/>
        <v>3.7900000000000205</v>
      </c>
      <c r="E162" s="161">
        <f t="shared" si="42"/>
        <v>3.7900000000000205</v>
      </c>
      <c r="F162" s="161">
        <f t="shared" si="42"/>
        <v>0</v>
      </c>
      <c r="G162" s="161">
        <f t="shared" si="42"/>
        <v>0</v>
      </c>
      <c r="H162" s="161">
        <f t="shared" si="42"/>
        <v>0</v>
      </c>
      <c r="I162" s="161">
        <f t="shared" si="42"/>
        <v>0</v>
      </c>
      <c r="J162" s="161">
        <f t="shared" si="42"/>
        <v>0</v>
      </c>
      <c r="K162" s="161">
        <f t="shared" si="42"/>
        <v>0</v>
      </c>
      <c r="L162" s="161">
        <f t="shared" si="42"/>
        <v>0</v>
      </c>
      <c r="M162" s="161">
        <f t="shared" si="42"/>
        <v>8.1140000000000327</v>
      </c>
      <c r="N162" s="161">
        <f t="shared" si="42"/>
        <v>0</v>
      </c>
      <c r="O162" s="161">
        <f t="shared" si="42"/>
        <v>0</v>
      </c>
      <c r="P162" s="161">
        <f t="shared" si="42"/>
        <v>0</v>
      </c>
      <c r="Q162" s="161">
        <f t="shared" si="42"/>
        <v>0</v>
      </c>
      <c r="R162" s="161">
        <f t="shared" si="42"/>
        <v>0</v>
      </c>
      <c r="S162" s="161">
        <f t="shared" si="42"/>
        <v>0</v>
      </c>
      <c r="T162" s="161">
        <f t="shared" si="42"/>
        <v>0</v>
      </c>
      <c r="U162" s="161">
        <f t="shared" si="42"/>
        <v>0</v>
      </c>
      <c r="V162" s="161">
        <f t="shared" si="42"/>
        <v>0</v>
      </c>
      <c r="W162" s="161">
        <f t="shared" si="42"/>
        <v>0</v>
      </c>
      <c r="X162" s="161">
        <f t="shared" si="42"/>
        <v>0</v>
      </c>
      <c r="Y162" s="161">
        <f t="shared" si="42"/>
        <v>0</v>
      </c>
      <c r="Z162" s="161">
        <f t="shared" si="42"/>
        <v>0</v>
      </c>
      <c r="AA162" s="161">
        <f t="shared" si="42"/>
        <v>0</v>
      </c>
      <c r="AB162" s="161">
        <f t="shared" si="42"/>
        <v>0</v>
      </c>
      <c r="AC162" s="161">
        <f t="shared" si="42"/>
        <v>0</v>
      </c>
      <c r="AD162" s="169"/>
      <c r="AE162" s="161">
        <f t="shared" si="39"/>
        <v>0</v>
      </c>
      <c r="AF162" s="161">
        <f t="shared" si="39"/>
        <v>0</v>
      </c>
      <c r="AG162" s="161">
        <f t="shared" si="39"/>
        <v>-1.8646612058434604</v>
      </c>
      <c r="AI162" s="181">
        <f t="shared" si="40"/>
        <v>-6.6848375840503627E-3</v>
      </c>
      <c r="AJ162" s="181">
        <f t="shared" si="40"/>
        <v>-7.3821933386395422E-3</v>
      </c>
    </row>
    <row r="163" spans="1:36" s="156" customFormat="1" ht="12">
      <c r="A163" s="160">
        <f t="shared" si="33"/>
        <v>45474</v>
      </c>
      <c r="B163" s="161">
        <f t="shared" si="42"/>
        <v>10.365999999999872</v>
      </c>
      <c r="C163" s="161">
        <f t="shared" si="42"/>
        <v>0</v>
      </c>
      <c r="D163" s="161">
        <f t="shared" si="42"/>
        <v>10.365999999999985</v>
      </c>
      <c r="E163" s="161">
        <f t="shared" si="42"/>
        <v>10.365999999999985</v>
      </c>
      <c r="F163" s="161">
        <f t="shared" si="42"/>
        <v>0</v>
      </c>
      <c r="G163" s="161">
        <f t="shared" si="42"/>
        <v>0</v>
      </c>
      <c r="H163" s="161">
        <f t="shared" si="42"/>
        <v>0</v>
      </c>
      <c r="I163" s="161">
        <f t="shared" si="42"/>
        <v>-1333.3500000000001</v>
      </c>
      <c r="J163" s="161">
        <f t="shared" si="42"/>
        <v>0</v>
      </c>
      <c r="K163" s="161">
        <f t="shared" si="42"/>
        <v>0</v>
      </c>
      <c r="L163" s="161">
        <f t="shared" si="42"/>
        <v>0</v>
      </c>
      <c r="M163" s="161">
        <f t="shared" si="42"/>
        <v>0</v>
      </c>
      <c r="N163" s="161">
        <f t="shared" si="42"/>
        <v>1.9579999999998563</v>
      </c>
      <c r="O163" s="161">
        <f t="shared" si="42"/>
        <v>0</v>
      </c>
      <c r="P163" s="161">
        <f t="shared" si="42"/>
        <v>0</v>
      </c>
      <c r="Q163" s="161">
        <f t="shared" si="42"/>
        <v>0</v>
      </c>
      <c r="R163" s="161">
        <f t="shared" si="42"/>
        <v>0</v>
      </c>
      <c r="S163" s="161">
        <f t="shared" si="42"/>
        <v>0</v>
      </c>
      <c r="T163" s="161">
        <f t="shared" si="42"/>
        <v>0</v>
      </c>
      <c r="U163" s="161">
        <f t="shared" si="42"/>
        <v>0</v>
      </c>
      <c r="V163" s="161">
        <f t="shared" si="42"/>
        <v>0</v>
      </c>
      <c r="W163" s="161">
        <f t="shared" si="42"/>
        <v>0</v>
      </c>
      <c r="X163" s="161">
        <f t="shared" si="42"/>
        <v>0</v>
      </c>
      <c r="Y163" s="161">
        <f t="shared" si="42"/>
        <v>0</v>
      </c>
      <c r="Z163" s="161">
        <f t="shared" si="42"/>
        <v>0</v>
      </c>
      <c r="AA163" s="161">
        <f t="shared" si="42"/>
        <v>0</v>
      </c>
      <c r="AB163" s="161">
        <f t="shared" si="42"/>
        <v>0</v>
      </c>
      <c r="AC163" s="161">
        <f t="shared" si="42"/>
        <v>0</v>
      </c>
      <c r="AD163" s="169"/>
      <c r="AE163" s="161">
        <f t="shared" si="39"/>
        <v>0</v>
      </c>
      <c r="AF163" s="161">
        <f t="shared" si="39"/>
        <v>0</v>
      </c>
      <c r="AG163" s="161">
        <f t="shared" si="39"/>
        <v>0.47585292022906822</v>
      </c>
      <c r="AI163" s="181">
        <f t="shared" si="40"/>
        <v>-1.6053813042074871E-2</v>
      </c>
      <c r="AJ163" s="181">
        <f t="shared" si="40"/>
        <v>-1.8518596274672783E-2</v>
      </c>
    </row>
    <row r="164" spans="1:36" s="156" customFormat="1" ht="12">
      <c r="A164" s="160">
        <f t="shared" si="33"/>
        <v>45505</v>
      </c>
      <c r="B164" s="161">
        <f t="shared" si="42"/>
        <v>0</v>
      </c>
      <c r="C164" s="161">
        <f t="shared" si="42"/>
        <v>0</v>
      </c>
      <c r="D164" s="161">
        <f t="shared" si="42"/>
        <v>0</v>
      </c>
      <c r="E164" s="161">
        <f t="shared" si="42"/>
        <v>0</v>
      </c>
      <c r="F164" s="161">
        <f t="shared" si="42"/>
        <v>0</v>
      </c>
      <c r="G164" s="161">
        <f t="shared" si="42"/>
        <v>0</v>
      </c>
      <c r="H164" s="161">
        <f t="shared" si="42"/>
        <v>0</v>
      </c>
      <c r="I164" s="161">
        <f t="shared" si="42"/>
        <v>-129.52999999999997</v>
      </c>
      <c r="J164" s="161">
        <f t="shared" si="42"/>
        <v>0</v>
      </c>
      <c r="K164" s="161">
        <f t="shared" si="42"/>
        <v>0</v>
      </c>
      <c r="L164" s="161">
        <f t="shared" si="42"/>
        <v>0</v>
      </c>
      <c r="M164" s="161">
        <f t="shared" si="42"/>
        <v>0</v>
      </c>
      <c r="N164" s="161">
        <f t="shared" si="42"/>
        <v>0</v>
      </c>
      <c r="O164" s="161">
        <f t="shared" si="42"/>
        <v>0</v>
      </c>
      <c r="P164" s="161">
        <f t="shared" si="42"/>
        <v>0</v>
      </c>
      <c r="Q164" s="161">
        <f t="shared" si="42"/>
        <v>0</v>
      </c>
      <c r="R164" s="161">
        <f t="shared" si="42"/>
        <v>0</v>
      </c>
      <c r="S164" s="161">
        <f t="shared" si="42"/>
        <v>0</v>
      </c>
      <c r="T164" s="161">
        <f t="shared" si="42"/>
        <v>0</v>
      </c>
      <c r="U164" s="161">
        <f t="shared" si="42"/>
        <v>0</v>
      </c>
      <c r="V164" s="161">
        <f t="shared" si="42"/>
        <v>0</v>
      </c>
      <c r="W164" s="161">
        <f t="shared" si="42"/>
        <v>0</v>
      </c>
      <c r="X164" s="161">
        <f t="shared" si="42"/>
        <v>0</v>
      </c>
      <c r="Y164" s="161">
        <f t="shared" si="42"/>
        <v>0</v>
      </c>
      <c r="Z164" s="161">
        <f t="shared" si="42"/>
        <v>0</v>
      </c>
      <c r="AA164" s="161">
        <f t="shared" si="42"/>
        <v>0</v>
      </c>
      <c r="AB164" s="161">
        <f t="shared" si="42"/>
        <v>0</v>
      </c>
      <c r="AC164" s="161">
        <f t="shared" si="42"/>
        <v>0</v>
      </c>
      <c r="AD164" s="169"/>
      <c r="AE164" s="161">
        <f t="shared" si="39"/>
        <v>0</v>
      </c>
      <c r="AF164" s="161">
        <f t="shared" si="39"/>
        <v>0</v>
      </c>
      <c r="AG164" s="161">
        <f t="shared" si="39"/>
        <v>-2.8770225670039924</v>
      </c>
      <c r="AI164" s="181">
        <f t="shared" si="40"/>
        <v>0</v>
      </c>
      <c r="AJ164" s="181">
        <f t="shared" si="40"/>
        <v>0</v>
      </c>
    </row>
    <row r="165" spans="1:36" s="156" customFormat="1" ht="12">
      <c r="A165" s="160">
        <f t="shared" si="33"/>
        <v>45536</v>
      </c>
      <c r="B165" s="161">
        <f t="shared" si="42"/>
        <v>0</v>
      </c>
      <c r="C165" s="161">
        <f t="shared" si="42"/>
        <v>0</v>
      </c>
      <c r="D165" s="161">
        <f t="shared" si="42"/>
        <v>0</v>
      </c>
      <c r="E165" s="161">
        <f t="shared" si="42"/>
        <v>0</v>
      </c>
      <c r="F165" s="161">
        <f t="shared" si="42"/>
        <v>0</v>
      </c>
      <c r="G165" s="161">
        <f t="shared" si="42"/>
        <v>0</v>
      </c>
      <c r="H165" s="161">
        <f t="shared" si="42"/>
        <v>0</v>
      </c>
      <c r="I165" s="161">
        <f t="shared" si="42"/>
        <v>0</v>
      </c>
      <c r="J165" s="161">
        <f t="shared" si="42"/>
        <v>0</v>
      </c>
      <c r="K165" s="161">
        <f t="shared" si="42"/>
        <v>0</v>
      </c>
      <c r="L165" s="161">
        <f t="shared" si="42"/>
        <v>0</v>
      </c>
      <c r="M165" s="161">
        <f t="shared" si="42"/>
        <v>0</v>
      </c>
      <c r="N165" s="161">
        <f t="shared" si="42"/>
        <v>0</v>
      </c>
      <c r="O165" s="161">
        <f t="shared" si="42"/>
        <v>0</v>
      </c>
      <c r="P165" s="161">
        <f t="shared" si="42"/>
        <v>0</v>
      </c>
      <c r="Q165" s="161">
        <f t="shared" si="42"/>
        <v>0</v>
      </c>
      <c r="R165" s="161">
        <f t="shared" si="42"/>
        <v>0</v>
      </c>
      <c r="S165" s="161">
        <f t="shared" si="42"/>
        <v>0</v>
      </c>
      <c r="T165" s="161">
        <f t="shared" si="42"/>
        <v>0</v>
      </c>
      <c r="U165" s="161">
        <f t="shared" si="42"/>
        <v>0</v>
      </c>
      <c r="V165" s="161">
        <f t="shared" si="42"/>
        <v>0</v>
      </c>
      <c r="W165" s="161">
        <f t="shared" si="42"/>
        <v>0</v>
      </c>
      <c r="X165" s="161">
        <f t="shared" si="42"/>
        <v>0</v>
      </c>
      <c r="Y165" s="161">
        <f t="shared" si="42"/>
        <v>0</v>
      </c>
      <c r="Z165" s="161">
        <f t="shared" si="42"/>
        <v>0</v>
      </c>
      <c r="AA165" s="161">
        <f t="shared" si="42"/>
        <v>0</v>
      </c>
      <c r="AB165" s="161">
        <f t="shared" si="42"/>
        <v>0</v>
      </c>
      <c r="AC165" s="161">
        <f t="shared" si="42"/>
        <v>0</v>
      </c>
      <c r="AD165" s="169"/>
      <c r="AE165" s="161">
        <f t="shared" si="39"/>
        <v>0</v>
      </c>
      <c r="AF165" s="161">
        <f t="shared" si="39"/>
        <v>0</v>
      </c>
      <c r="AG165" s="161">
        <f t="shared" si="39"/>
        <v>-3.9855841767507734</v>
      </c>
      <c r="AI165" s="181">
        <f t="shared" si="40"/>
        <v>0</v>
      </c>
      <c r="AJ165" s="181">
        <f t="shared" si="40"/>
        <v>0</v>
      </c>
    </row>
    <row r="166" spans="1:36" s="156" customFormat="1" ht="12">
      <c r="A166" s="160">
        <f t="shared" si="33"/>
        <v>45566</v>
      </c>
      <c r="B166" s="161">
        <f t="shared" si="42"/>
        <v>6.1700000000000728</v>
      </c>
      <c r="C166" s="161">
        <f t="shared" si="42"/>
        <v>0</v>
      </c>
      <c r="D166" s="161">
        <f t="shared" si="42"/>
        <v>6.1700000000000159</v>
      </c>
      <c r="E166" s="161">
        <f t="shared" si="42"/>
        <v>6.1700000000000159</v>
      </c>
      <c r="F166" s="161">
        <f t="shared" si="42"/>
        <v>0</v>
      </c>
      <c r="G166" s="161">
        <f t="shared" si="42"/>
        <v>0</v>
      </c>
      <c r="H166" s="161">
        <f t="shared" si="42"/>
        <v>0</v>
      </c>
      <c r="I166" s="161">
        <f t="shared" si="42"/>
        <v>376.6013559999999</v>
      </c>
      <c r="J166" s="161">
        <f t="shared" si="42"/>
        <v>0</v>
      </c>
      <c r="K166" s="161">
        <f t="shared" si="42"/>
        <v>0</v>
      </c>
      <c r="L166" s="161">
        <f t="shared" si="42"/>
        <v>0</v>
      </c>
      <c r="M166" s="161">
        <f t="shared" si="42"/>
        <v>0</v>
      </c>
      <c r="N166" s="161">
        <f t="shared" si="42"/>
        <v>0</v>
      </c>
      <c r="O166" s="161">
        <f t="shared" si="42"/>
        <v>0</v>
      </c>
      <c r="P166" s="161">
        <f t="shared" si="42"/>
        <v>0</v>
      </c>
      <c r="Q166" s="161">
        <f t="shared" si="42"/>
        <v>0</v>
      </c>
      <c r="R166" s="161">
        <f t="shared" si="42"/>
        <v>0</v>
      </c>
      <c r="S166" s="161">
        <f t="shared" si="42"/>
        <v>0</v>
      </c>
      <c r="T166" s="161">
        <f t="shared" si="42"/>
        <v>0</v>
      </c>
      <c r="U166" s="161">
        <f t="shared" si="42"/>
        <v>0</v>
      </c>
      <c r="V166" s="161">
        <f t="shared" si="42"/>
        <v>0</v>
      </c>
      <c r="W166" s="161">
        <f t="shared" si="42"/>
        <v>0</v>
      </c>
      <c r="X166" s="161">
        <f t="shared" si="42"/>
        <v>0</v>
      </c>
      <c r="Y166" s="161">
        <f t="shared" si="42"/>
        <v>0</v>
      </c>
      <c r="Z166" s="161">
        <f t="shared" si="42"/>
        <v>0</v>
      </c>
      <c r="AA166" s="161">
        <f t="shared" si="42"/>
        <v>0</v>
      </c>
      <c r="AB166" s="161">
        <f t="shared" si="42"/>
        <v>0</v>
      </c>
      <c r="AC166" s="161">
        <f t="shared" si="42"/>
        <v>0</v>
      </c>
      <c r="AD166" s="169"/>
      <c r="AE166" s="161">
        <f t="shared" si="39"/>
        <v>0</v>
      </c>
      <c r="AF166" s="161">
        <f t="shared" si="39"/>
        <v>0</v>
      </c>
      <c r="AG166" s="161">
        <f t="shared" si="39"/>
        <v>-15.549298184996474</v>
      </c>
      <c r="AI166" s="181">
        <f t="shared" si="40"/>
        <v>-8.6229123994493451E-3</v>
      </c>
      <c r="AJ166" s="181">
        <f t="shared" si="40"/>
        <v>-1.065702865829643E-2</v>
      </c>
    </row>
    <row r="167" spans="1:36" s="156" customFormat="1" ht="12">
      <c r="A167" s="160">
        <f t="shared" si="33"/>
        <v>45597</v>
      </c>
      <c r="B167" s="161">
        <f t="shared" si="42"/>
        <v>0</v>
      </c>
      <c r="C167" s="161">
        <f t="shared" si="42"/>
        <v>0</v>
      </c>
      <c r="D167" s="161">
        <f t="shared" si="42"/>
        <v>0</v>
      </c>
      <c r="E167" s="161">
        <f t="shared" si="42"/>
        <v>0</v>
      </c>
      <c r="F167" s="161">
        <f t="shared" si="42"/>
        <v>0</v>
      </c>
      <c r="G167" s="161">
        <f t="shared" si="42"/>
        <v>0</v>
      </c>
      <c r="H167" s="161">
        <f t="shared" si="42"/>
        <v>0</v>
      </c>
      <c r="I167" s="161">
        <f t="shared" si="42"/>
        <v>1184.8599999999997</v>
      </c>
      <c r="J167" s="161">
        <f t="shared" si="42"/>
        <v>0</v>
      </c>
      <c r="K167" s="161">
        <f t="shared" si="42"/>
        <v>0</v>
      </c>
      <c r="L167" s="161">
        <f t="shared" si="42"/>
        <v>0</v>
      </c>
      <c r="M167" s="161">
        <f t="shared" si="42"/>
        <v>0</v>
      </c>
      <c r="N167" s="161">
        <f t="shared" si="42"/>
        <v>0</v>
      </c>
      <c r="O167" s="161">
        <f t="shared" si="42"/>
        <v>0</v>
      </c>
      <c r="P167" s="161">
        <f t="shared" si="42"/>
        <v>0</v>
      </c>
      <c r="Q167" s="161">
        <f t="shared" si="42"/>
        <v>0</v>
      </c>
      <c r="R167" s="161">
        <f t="shared" si="42"/>
        <v>0</v>
      </c>
      <c r="S167" s="161">
        <f t="shared" si="42"/>
        <v>0</v>
      </c>
      <c r="T167" s="161">
        <f t="shared" si="42"/>
        <v>0</v>
      </c>
      <c r="U167" s="161">
        <f t="shared" si="42"/>
        <v>0</v>
      </c>
      <c r="V167" s="161">
        <f t="shared" si="42"/>
        <v>0</v>
      </c>
      <c r="W167" s="161">
        <f t="shared" si="42"/>
        <v>0</v>
      </c>
      <c r="X167" s="161">
        <f t="shared" si="42"/>
        <v>0</v>
      </c>
      <c r="Y167" s="161">
        <f t="shared" si="42"/>
        <v>0</v>
      </c>
      <c r="Z167" s="161">
        <f t="shared" si="42"/>
        <v>0</v>
      </c>
      <c r="AA167" s="161">
        <f t="shared" si="42"/>
        <v>0</v>
      </c>
      <c r="AB167" s="161">
        <f t="shared" si="42"/>
        <v>0</v>
      </c>
      <c r="AC167" s="161">
        <f t="shared" si="42"/>
        <v>0</v>
      </c>
      <c r="AD167" s="169"/>
      <c r="AE167" s="161">
        <f t="shared" si="39"/>
        <v>0</v>
      </c>
      <c r="AF167" s="161">
        <f t="shared" si="39"/>
        <v>0</v>
      </c>
      <c r="AG167" s="161">
        <f t="shared" si="39"/>
        <v>7.2114062005605826</v>
      </c>
      <c r="AI167" s="181">
        <f t="shared" si="40"/>
        <v>-9.137872674777725E-3</v>
      </c>
      <c r="AJ167" s="181">
        <f t="shared" si="40"/>
        <v>-1.1293534536007899E-2</v>
      </c>
    </row>
    <row r="168" spans="1:36" s="156" customFormat="1" ht="12">
      <c r="A168" s="160">
        <f t="shared" si="33"/>
        <v>45627</v>
      </c>
      <c r="B168" s="161">
        <f t="shared" si="42"/>
        <v>6.4840000000000373</v>
      </c>
      <c r="C168" s="161">
        <f t="shared" si="42"/>
        <v>0</v>
      </c>
      <c r="D168" s="161">
        <f t="shared" si="42"/>
        <v>6.4840000000000373</v>
      </c>
      <c r="E168" s="161">
        <f t="shared" si="42"/>
        <v>6.4840000000000373</v>
      </c>
      <c r="F168" s="161">
        <f t="shared" si="42"/>
        <v>0</v>
      </c>
      <c r="G168" s="161">
        <f t="shared" si="42"/>
        <v>0</v>
      </c>
      <c r="H168" s="161">
        <f t="shared" si="42"/>
        <v>0</v>
      </c>
      <c r="I168" s="161">
        <f t="shared" si="42"/>
        <v>2146.13</v>
      </c>
      <c r="J168" s="161">
        <f t="shared" si="42"/>
        <v>0</v>
      </c>
      <c r="K168" s="161">
        <f t="shared" si="42"/>
        <v>0</v>
      </c>
      <c r="L168" s="161">
        <f t="shared" si="42"/>
        <v>0</v>
      </c>
      <c r="M168" s="161">
        <f t="shared" si="42"/>
        <v>0</v>
      </c>
      <c r="N168" s="161">
        <f t="shared" si="42"/>
        <v>0</v>
      </c>
      <c r="O168" s="161">
        <f t="shared" si="42"/>
        <v>0</v>
      </c>
      <c r="P168" s="161">
        <f t="shared" si="42"/>
        <v>0</v>
      </c>
      <c r="Q168" s="161">
        <f t="shared" si="42"/>
        <v>0</v>
      </c>
      <c r="R168" s="161">
        <f t="shared" si="42"/>
        <v>0</v>
      </c>
      <c r="S168" s="161">
        <f t="shared" si="42"/>
        <v>0</v>
      </c>
      <c r="T168" s="161">
        <f t="shared" si="42"/>
        <v>0</v>
      </c>
      <c r="U168" s="161">
        <f t="shared" si="42"/>
        <v>0</v>
      </c>
      <c r="V168" s="161">
        <f t="shared" si="42"/>
        <v>0</v>
      </c>
      <c r="W168" s="161">
        <f t="shared" si="42"/>
        <v>0</v>
      </c>
      <c r="X168" s="161">
        <f t="shared" si="42"/>
        <v>0</v>
      </c>
      <c r="Y168" s="161">
        <f t="shared" si="42"/>
        <v>0</v>
      </c>
      <c r="Z168" s="161">
        <f t="shared" si="42"/>
        <v>0</v>
      </c>
      <c r="AA168" s="161">
        <f t="shared" si="42"/>
        <v>0</v>
      </c>
      <c r="AB168" s="161">
        <f t="shared" si="42"/>
        <v>0</v>
      </c>
      <c r="AC168" s="161">
        <f t="shared" si="42"/>
        <v>0</v>
      </c>
      <c r="AD168" s="169"/>
      <c r="AE168" s="161">
        <f t="shared" si="39"/>
        <v>0</v>
      </c>
      <c r="AF168" s="161">
        <f t="shared" si="39"/>
        <v>0</v>
      </c>
      <c r="AG168" s="161">
        <f t="shared" si="39"/>
        <v>15.203588368263752</v>
      </c>
      <c r="AI168" s="181">
        <f t="shared" si="40"/>
        <v>-9.8957318677600492E-3</v>
      </c>
      <c r="AJ168" s="181">
        <f t="shared" si="40"/>
        <v>-1.1730995881701234E-2</v>
      </c>
    </row>
    <row r="169" spans="1:36" s="156" customFormat="1" ht="12">
      <c r="A169" s="160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9"/>
      <c r="AE169" s="161"/>
      <c r="AF169" s="161"/>
      <c r="AG169" s="161"/>
      <c r="AI169" s="181"/>
      <c r="AJ169" s="181"/>
    </row>
    <row r="170" spans="1:36" s="156" customFormat="1" ht="12">
      <c r="A170" s="160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9"/>
      <c r="AE170" s="161"/>
      <c r="AF170" s="161"/>
      <c r="AG170" s="161"/>
      <c r="AI170" s="181"/>
      <c r="AJ170" s="181"/>
    </row>
    <row r="171" spans="1:36" s="156" customFormat="1" ht="12">
      <c r="A171" s="160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9"/>
      <c r="AE171" s="161"/>
      <c r="AF171" s="161"/>
      <c r="AG171" s="161"/>
      <c r="AI171" s="181"/>
      <c r="AJ171" s="181"/>
    </row>
    <row r="172" spans="1:36" s="156" customFormat="1" ht="12">
      <c r="A172" s="160"/>
      <c r="B172" s="161"/>
      <c r="C172" s="164"/>
      <c r="D172" s="164"/>
      <c r="E172" s="164"/>
      <c r="F172" s="164"/>
      <c r="G172" s="164"/>
      <c r="H172" s="164"/>
      <c r="I172" s="17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3"/>
      <c r="T172" s="164"/>
      <c r="U172" s="164"/>
      <c r="V172" s="171"/>
      <c r="W172" s="171"/>
      <c r="X172" s="168"/>
      <c r="Y172" s="164"/>
      <c r="Z172" s="164"/>
      <c r="AA172" s="172"/>
      <c r="AB172" s="163"/>
      <c r="AC172" s="163"/>
      <c r="AE172" s="169"/>
      <c r="AF172" s="169"/>
      <c r="AG172" s="177"/>
      <c r="AI172" s="165"/>
      <c r="AJ172" s="165"/>
    </row>
    <row r="173" spans="1:36" s="156" customFormat="1" ht="12">
      <c r="A173" s="160">
        <v>44835</v>
      </c>
      <c r="B173" s="161">
        <v>504.85499999999996</v>
      </c>
      <c r="C173" s="164">
        <v>4.585</v>
      </c>
      <c r="D173" s="164">
        <v>448.89499999999998</v>
      </c>
      <c r="E173" s="164">
        <v>414.72300000000001</v>
      </c>
      <c r="F173" s="164">
        <v>34.171999999999997</v>
      </c>
      <c r="G173" s="164">
        <v>6.8979999999999997</v>
      </c>
      <c r="H173" s="164">
        <v>44.476999999999997</v>
      </c>
      <c r="I173" s="174">
        <v>3625</v>
      </c>
      <c r="J173" s="164">
        <v>102.605</v>
      </c>
      <c r="K173" s="164">
        <v>186.77</v>
      </c>
      <c r="L173" s="164">
        <v>388.99299999999999</v>
      </c>
      <c r="M173" s="164">
        <v>1745.4190000000001</v>
      </c>
      <c r="N173" s="164">
        <v>1397.867</v>
      </c>
      <c r="O173" s="164">
        <v>490.06</v>
      </c>
      <c r="P173" s="164">
        <v>56.209000000000003</v>
      </c>
      <c r="Q173" s="164">
        <v>268.67200000000003</v>
      </c>
      <c r="R173" s="164">
        <v>116.27</v>
      </c>
      <c r="S173" s="163">
        <v>47.189399999999999</v>
      </c>
      <c r="T173" s="164">
        <v>208.273</v>
      </c>
      <c r="U173" s="164">
        <v>146.59200000000001</v>
      </c>
      <c r="V173" s="164">
        <v>146.101</v>
      </c>
      <c r="W173" s="164">
        <v>140.97999999999999</v>
      </c>
      <c r="X173" s="168">
        <v>3.5051094790590098E-2</v>
      </c>
      <c r="Y173" s="164">
        <v>118.267</v>
      </c>
      <c r="Z173" s="164">
        <v>90.278999999999996</v>
      </c>
      <c r="AA173" s="172">
        <v>76.965999999999994</v>
      </c>
      <c r="AB173" s="163">
        <v>456.70594000000006</v>
      </c>
      <c r="AC173" s="163">
        <v>269.93594000000007</v>
      </c>
      <c r="AE173" s="169">
        <v>-14.914000000000016</v>
      </c>
      <c r="AF173" s="169">
        <v>11.289999999999992</v>
      </c>
      <c r="AG173" s="177">
        <v>-2.6039537340797523</v>
      </c>
      <c r="AI173" s="165">
        <v>0.65088249265172193</v>
      </c>
      <c r="AJ173" s="165">
        <v>0.90462794267661029</v>
      </c>
    </row>
    <row r="174" spans="1:36" s="156" customFormat="1" ht="12">
      <c r="A174" s="160">
        <v>44866</v>
      </c>
      <c r="B174" s="161">
        <v>497.61199999999991</v>
      </c>
      <c r="C174" s="164">
        <v>4.4169999999999998</v>
      </c>
      <c r="D174" s="164">
        <v>447.39699999999999</v>
      </c>
      <c r="E174" s="164">
        <v>412.71899999999999</v>
      </c>
      <c r="F174" s="164">
        <v>34.677999999999997</v>
      </c>
      <c r="G174" s="164">
        <v>5.6379999999999999</v>
      </c>
      <c r="H174" s="164">
        <v>40.159999999999997</v>
      </c>
      <c r="I174" s="174">
        <v>3500</v>
      </c>
      <c r="J174" s="164">
        <v>98.141999999999996</v>
      </c>
      <c r="K174" s="164">
        <v>186.57300000000001</v>
      </c>
      <c r="L174" s="164">
        <v>381.11399999999998</v>
      </c>
      <c r="M174" s="164">
        <v>1778.479</v>
      </c>
      <c r="N174" s="164">
        <v>1461.021</v>
      </c>
      <c r="O174" s="164">
        <v>571.91999999999996</v>
      </c>
      <c r="P174" s="164">
        <v>53.561</v>
      </c>
      <c r="Q174" s="164">
        <v>277.37900000000002</v>
      </c>
      <c r="R174" s="164">
        <v>112.372</v>
      </c>
      <c r="S174" s="163">
        <v>44.902799999999992</v>
      </c>
      <c r="T174" s="164">
        <v>203.89099999999999</v>
      </c>
      <c r="U174" s="164">
        <v>169.34200000000001</v>
      </c>
      <c r="V174" s="164">
        <v>167.21</v>
      </c>
      <c r="W174" s="164">
        <v>163.315</v>
      </c>
      <c r="X174" s="168">
        <v>2.3294061359966589E-2</v>
      </c>
      <c r="Y174" s="164">
        <v>135.447</v>
      </c>
      <c r="Z174" s="164">
        <v>81.177000000000007</v>
      </c>
      <c r="AA174" s="172">
        <v>95.004999999999995</v>
      </c>
      <c r="AB174" s="163">
        <v>487.60355000000004</v>
      </c>
      <c r="AC174" s="163">
        <v>301.03055000000006</v>
      </c>
      <c r="AE174" s="169">
        <v>22.335000000000008</v>
      </c>
      <c r="AF174" s="169">
        <v>-9.1019999999999897</v>
      </c>
      <c r="AG174" s="177">
        <v>0.18967240340992464</v>
      </c>
      <c r="AI174" s="165">
        <v>0.72938379381613172</v>
      </c>
      <c r="AJ174" s="165">
        <v>0.97988704050545428</v>
      </c>
    </row>
    <row r="175" spans="1:36" s="156" customFormat="1" ht="12">
      <c r="A175" s="160">
        <v>44896</v>
      </c>
      <c r="B175" s="161">
        <v>474.01799999999997</v>
      </c>
      <c r="C175" s="164">
        <v>4.4480000000000004</v>
      </c>
      <c r="D175" s="164">
        <v>425.28300000000002</v>
      </c>
      <c r="E175" s="164">
        <v>391.31400000000002</v>
      </c>
      <c r="F175" s="164">
        <v>33.969000000000001</v>
      </c>
      <c r="G175" s="164">
        <v>5.9880000000000004</v>
      </c>
      <c r="H175" s="164">
        <v>38.298999999999999</v>
      </c>
      <c r="I175" s="174">
        <v>2725</v>
      </c>
      <c r="J175" s="164">
        <v>96.963999999999999</v>
      </c>
      <c r="K175" s="164">
        <v>174.416</v>
      </c>
      <c r="L175" s="164">
        <v>317.50400000000002</v>
      </c>
      <c r="M175" s="164">
        <v>1679.6</v>
      </c>
      <c r="N175" s="164">
        <v>1363.421</v>
      </c>
      <c r="O175" s="164">
        <v>576.40599999999995</v>
      </c>
      <c r="P175" s="164">
        <v>48.545999999999999</v>
      </c>
      <c r="Q175" s="164">
        <v>252.78800000000001</v>
      </c>
      <c r="R175" s="164">
        <v>99.584999999999994</v>
      </c>
      <c r="S175" s="163">
        <v>43.360799999999998</v>
      </c>
      <c r="T175" s="164">
        <v>188.584</v>
      </c>
      <c r="U175" s="164">
        <v>163.91900000000001</v>
      </c>
      <c r="V175" s="164">
        <v>156.61699999999999</v>
      </c>
      <c r="W175" s="164">
        <v>153.12</v>
      </c>
      <c r="X175" s="168">
        <v>2.2328355159401458E-2</v>
      </c>
      <c r="Y175" s="164">
        <v>154.26499999999999</v>
      </c>
      <c r="Z175" s="164">
        <v>86.61</v>
      </c>
      <c r="AA175" s="172">
        <v>85.652000000000001</v>
      </c>
      <c r="AB175" s="163">
        <v>463.51895000000007</v>
      </c>
      <c r="AC175" s="163">
        <v>289.10295000000008</v>
      </c>
      <c r="AE175" s="169">
        <v>-10.194999999999993</v>
      </c>
      <c r="AF175" s="169">
        <v>5.4329999999999927</v>
      </c>
      <c r="AG175" s="177">
        <v>-1.8138659673051487</v>
      </c>
      <c r="AI175" s="165">
        <v>0.7388004262561525</v>
      </c>
      <c r="AJ175" s="165">
        <v>0.97785094658852634</v>
      </c>
    </row>
    <row r="176" spans="1:36" s="156" customFormat="1" ht="12">
      <c r="A176" s="160">
        <v>44927</v>
      </c>
      <c r="B176" s="161">
        <v>494.05399999999997</v>
      </c>
      <c r="C176" s="164">
        <v>6.0819999999999999</v>
      </c>
      <c r="D176" s="164">
        <v>443.55099999999999</v>
      </c>
      <c r="E176" s="164">
        <v>406.48099999999999</v>
      </c>
      <c r="F176" s="164">
        <v>37.07</v>
      </c>
      <c r="G176" s="164">
        <v>5.5819999999999999</v>
      </c>
      <c r="H176" s="164">
        <v>38.838999999999999</v>
      </c>
      <c r="I176" s="174">
        <v>2825</v>
      </c>
      <c r="J176" s="164">
        <v>100.116</v>
      </c>
      <c r="K176" s="164">
        <v>172.399</v>
      </c>
      <c r="L176" s="164">
        <v>374.75299999999999</v>
      </c>
      <c r="M176" s="164">
        <v>1714.3889999999999</v>
      </c>
      <c r="N176" s="164">
        <v>1262.056</v>
      </c>
      <c r="O176" s="164">
        <v>582.92600000000004</v>
      </c>
      <c r="P176" s="164">
        <v>48.319000000000003</v>
      </c>
      <c r="Q176" s="164">
        <v>268.44600000000003</v>
      </c>
      <c r="R176" s="164">
        <v>117.94499999999999</v>
      </c>
      <c r="S176" s="163">
        <v>45.545399999999994</v>
      </c>
      <c r="T176" s="164">
        <v>208.09</v>
      </c>
      <c r="U176" s="164">
        <v>154.142</v>
      </c>
      <c r="V176" s="164">
        <v>158.642</v>
      </c>
      <c r="W176" s="164">
        <v>154.792</v>
      </c>
      <c r="X176" s="168">
        <v>2.4268478713077246E-2</v>
      </c>
      <c r="Y176" s="164">
        <v>147.84100000000001</v>
      </c>
      <c r="Z176" s="164">
        <v>101.53</v>
      </c>
      <c r="AA176" s="172">
        <v>86.325999999999993</v>
      </c>
      <c r="AB176" s="163">
        <v>447.36117000000002</v>
      </c>
      <c r="AC176" s="163">
        <v>274.96217000000001</v>
      </c>
      <c r="AE176" s="169"/>
      <c r="AF176" s="169"/>
      <c r="AG176" s="177"/>
      <c r="AI176" s="165"/>
      <c r="AJ176" s="165"/>
    </row>
    <row r="177" spans="1:36" s="156" customFormat="1" ht="12">
      <c r="A177" s="160">
        <v>44958</v>
      </c>
      <c r="B177" s="161">
        <v>444.02000000000004</v>
      </c>
      <c r="C177" s="164">
        <v>3.3620000000000001</v>
      </c>
      <c r="D177" s="164">
        <v>399.84399999999999</v>
      </c>
      <c r="E177" s="164">
        <v>365.84300000000002</v>
      </c>
      <c r="F177" s="164">
        <v>34.000999999999998</v>
      </c>
      <c r="G177" s="164">
        <v>4.97</v>
      </c>
      <c r="H177" s="164">
        <v>35.844000000000001</v>
      </c>
      <c r="I177" s="174">
        <v>2275</v>
      </c>
      <c r="J177" s="164">
        <v>77.506</v>
      </c>
      <c r="K177" s="164">
        <v>160.215</v>
      </c>
      <c r="L177" s="164">
        <v>338.86900000000003</v>
      </c>
      <c r="M177" s="164">
        <v>1560.7170000000001</v>
      </c>
      <c r="N177" s="164">
        <v>1156.1020000000001</v>
      </c>
      <c r="O177" s="164">
        <v>466.26900000000001</v>
      </c>
      <c r="P177" s="164">
        <v>40.619</v>
      </c>
      <c r="Q177" s="164">
        <v>247.81700000000001</v>
      </c>
      <c r="R177" s="164">
        <v>108.496</v>
      </c>
      <c r="S177" s="163">
        <v>41.906999999999996</v>
      </c>
      <c r="T177" s="164">
        <v>185.05099999999999</v>
      </c>
      <c r="U177" s="164">
        <v>142.57400000000001</v>
      </c>
      <c r="V177" s="164">
        <v>135.39500000000001</v>
      </c>
      <c r="W177" s="164">
        <v>132.63</v>
      </c>
      <c r="X177" s="168">
        <v>2.0421729015104084E-2</v>
      </c>
      <c r="Y177" s="164">
        <v>111.553</v>
      </c>
      <c r="Z177" s="164">
        <v>107.44799999999999</v>
      </c>
      <c r="AA177" s="172">
        <v>96.37</v>
      </c>
      <c r="AB177" s="163">
        <v>414.82093000000003</v>
      </c>
      <c r="AC177" s="163">
        <v>254.60593000000003</v>
      </c>
      <c r="AE177" s="169">
        <v>-22.162000000000006</v>
      </c>
      <c r="AF177" s="169">
        <v>5.9179999999999922</v>
      </c>
      <c r="AG177" s="177">
        <v>-1.876722071804704</v>
      </c>
      <c r="AI177" s="165">
        <v>0.6959431504771173</v>
      </c>
      <c r="AJ177" s="165">
        <v>0.93423929102292691</v>
      </c>
    </row>
    <row r="178" spans="1:36" s="156" customFormat="1" ht="12">
      <c r="A178" s="160">
        <v>44986</v>
      </c>
      <c r="B178" s="161">
        <v>490.17700000000002</v>
      </c>
      <c r="C178" s="164">
        <v>5.7069999999999999</v>
      </c>
      <c r="D178" s="164">
        <v>437.96699999999998</v>
      </c>
      <c r="E178" s="164">
        <v>400.95400000000001</v>
      </c>
      <c r="F178" s="164">
        <v>37.012999999999998</v>
      </c>
      <c r="G178" s="164">
        <v>5.9459999999999997</v>
      </c>
      <c r="H178" s="164">
        <v>40.557000000000002</v>
      </c>
      <c r="I178" s="174">
        <v>2500</v>
      </c>
      <c r="J178" s="164">
        <v>81.415000000000006</v>
      </c>
      <c r="K178" s="164">
        <v>177.08099999999999</v>
      </c>
      <c r="L178" s="164">
        <v>387.43799999999999</v>
      </c>
      <c r="M178" s="164">
        <v>1703.47</v>
      </c>
      <c r="N178" s="164">
        <v>1299.826</v>
      </c>
      <c r="O178" s="164">
        <v>505.767</v>
      </c>
      <c r="P178" s="164">
        <v>48.872</v>
      </c>
      <c r="Q178" s="164">
        <v>292.483</v>
      </c>
      <c r="R178" s="164">
        <v>117.55</v>
      </c>
      <c r="S178" s="163">
        <v>46.541999999999994</v>
      </c>
      <c r="T178" s="164">
        <v>187.12</v>
      </c>
      <c r="U178" s="164">
        <v>154.47200000000001</v>
      </c>
      <c r="V178" s="164">
        <v>146.55099999999999</v>
      </c>
      <c r="W178" s="164">
        <v>143.80799999999999</v>
      </c>
      <c r="X178" s="168">
        <v>1.8717033660636928E-2</v>
      </c>
      <c r="Y178" s="164">
        <v>113.511</v>
      </c>
      <c r="Z178" s="164">
        <v>114.11799999999999</v>
      </c>
      <c r="AA178" s="172">
        <v>106.77500000000001</v>
      </c>
      <c r="AB178" s="163">
        <v>454.22761000000003</v>
      </c>
      <c r="AC178" s="163">
        <v>277.14661000000001</v>
      </c>
      <c r="AE178" s="169">
        <v>11.177999999999997</v>
      </c>
      <c r="AF178" s="169">
        <v>6.6700000000000017</v>
      </c>
      <c r="AG178" s="177">
        <v>-1.9909105088810044</v>
      </c>
      <c r="AI178" s="165">
        <v>0.69121797014121322</v>
      </c>
      <c r="AJ178" s="165">
        <v>0.92666039002237965</v>
      </c>
    </row>
    <row r="179" spans="1:36" s="156" customFormat="1" ht="12">
      <c r="A179" s="160">
        <v>45017</v>
      </c>
      <c r="B179" s="161">
        <v>467.51499999999999</v>
      </c>
      <c r="C179" s="164">
        <v>6.3550000000000004</v>
      </c>
      <c r="D179" s="164">
        <v>415.738</v>
      </c>
      <c r="E179" s="164">
        <v>382.50099999999998</v>
      </c>
      <c r="F179" s="164">
        <v>33.237000000000002</v>
      </c>
      <c r="G179" s="164">
        <v>5.8920000000000003</v>
      </c>
      <c r="H179" s="164">
        <v>39.53</v>
      </c>
      <c r="I179" s="174">
        <v>2225</v>
      </c>
      <c r="J179" s="164">
        <v>88.608999999999995</v>
      </c>
      <c r="K179" s="164">
        <v>167.16200000000001</v>
      </c>
      <c r="L179" s="164">
        <v>364.96699999999998</v>
      </c>
      <c r="M179" s="164">
        <v>1619.6769999999999</v>
      </c>
      <c r="N179" s="164">
        <v>1299.1500000000001</v>
      </c>
      <c r="O179" s="164">
        <v>470.52800000000002</v>
      </c>
      <c r="P179" s="164">
        <v>46.598999999999997</v>
      </c>
      <c r="Q179" s="164">
        <v>269.495</v>
      </c>
      <c r="R179" s="164">
        <v>109.13500000000001</v>
      </c>
      <c r="S179" s="163">
        <v>43.660199999999996</v>
      </c>
      <c r="T179" s="164">
        <v>194.48500000000001</v>
      </c>
      <c r="U179" s="164">
        <v>143.27099999999999</v>
      </c>
      <c r="V179" s="164">
        <v>149.30600000000001</v>
      </c>
      <c r="W179" s="164">
        <v>146.626</v>
      </c>
      <c r="X179" s="168">
        <v>1.7949714010153661E-2</v>
      </c>
      <c r="Y179" s="164">
        <v>169.95099999999999</v>
      </c>
      <c r="Z179" s="164">
        <v>83.12</v>
      </c>
      <c r="AA179" s="172">
        <v>85.903000000000006</v>
      </c>
      <c r="AB179" s="163">
        <v>425.29321000000004</v>
      </c>
      <c r="AC179" s="163">
        <v>258.13121000000001</v>
      </c>
      <c r="AE179" s="169">
        <v>6.5570000000000164</v>
      </c>
      <c r="AF179" s="169">
        <v>-23.861999999999995</v>
      </c>
      <c r="AG179" s="177">
        <v>2.1352281803171573</v>
      </c>
      <c r="AI179" s="165">
        <v>0.67485107228477836</v>
      </c>
      <c r="AJ179" s="165">
        <v>0.90968890837727145</v>
      </c>
    </row>
    <row r="180" spans="1:36" s="156" customFormat="1" ht="12">
      <c r="A180" s="160">
        <v>45047</v>
      </c>
      <c r="B180" s="161">
        <v>491.76</v>
      </c>
      <c r="C180" s="164">
        <v>5.149</v>
      </c>
      <c r="D180" s="164">
        <v>437.541</v>
      </c>
      <c r="E180" s="164">
        <v>404.98399999999998</v>
      </c>
      <c r="F180" s="164">
        <v>32.557000000000002</v>
      </c>
      <c r="G180" s="164">
        <v>7.52</v>
      </c>
      <c r="H180" s="164">
        <v>41.55</v>
      </c>
      <c r="I180" s="174">
        <v>2450</v>
      </c>
      <c r="J180" s="164">
        <v>101.166</v>
      </c>
      <c r="K180" s="164">
        <v>184.99299999999999</v>
      </c>
      <c r="L180" s="164">
        <v>415.66899999999998</v>
      </c>
      <c r="M180" s="164">
        <v>1702.0609999999999</v>
      </c>
      <c r="N180" s="164">
        <v>1316.1030000000001</v>
      </c>
      <c r="O180" s="164">
        <v>455.58100000000002</v>
      </c>
      <c r="P180" s="164">
        <v>50.168999999999997</v>
      </c>
      <c r="Q180" s="164">
        <v>264.60599999999999</v>
      </c>
      <c r="R180" s="164">
        <v>114.453</v>
      </c>
      <c r="S180" s="163">
        <v>44.464199999999998</v>
      </c>
      <c r="T180" s="164">
        <v>193.09200000000001</v>
      </c>
      <c r="U180" s="164">
        <v>159.87299999999999</v>
      </c>
      <c r="V180" s="164">
        <v>137.62299999999999</v>
      </c>
      <c r="W180" s="164">
        <v>135.93899999999999</v>
      </c>
      <c r="X180" s="168">
        <v>1.223632677677422E-2</v>
      </c>
      <c r="Y180" s="164">
        <v>145.655</v>
      </c>
      <c r="Z180" s="164">
        <v>72.203000000000003</v>
      </c>
      <c r="AA180" s="172">
        <v>84.855000000000004</v>
      </c>
      <c r="AB180" s="163">
        <v>472.46642000000003</v>
      </c>
      <c r="AC180" s="163">
        <v>287.47342000000003</v>
      </c>
      <c r="AE180" s="169">
        <v>-10.687000000000012</v>
      </c>
      <c r="AF180" s="169">
        <v>-10.917000000000002</v>
      </c>
      <c r="AG180" s="177">
        <v>0.41385860757259096</v>
      </c>
      <c r="AI180" s="165">
        <v>0.70983895660075469</v>
      </c>
      <c r="AJ180" s="165">
        <v>0.96076626809825938</v>
      </c>
    </row>
    <row r="181" spans="1:36" s="156" customFormat="1" ht="12">
      <c r="A181" s="160">
        <v>45078</v>
      </c>
      <c r="B181" s="161">
        <v>492.53899999999999</v>
      </c>
      <c r="C181" s="164">
        <v>5.4059999999999997</v>
      </c>
      <c r="D181" s="164">
        <v>441.47899999999998</v>
      </c>
      <c r="E181" s="164">
        <v>407.69</v>
      </c>
      <c r="F181" s="164">
        <v>33.789000000000001</v>
      </c>
      <c r="G181" s="164">
        <v>6.2629999999999999</v>
      </c>
      <c r="H181" s="164">
        <v>39.390999999999998</v>
      </c>
      <c r="I181" s="174">
        <v>2450</v>
      </c>
      <c r="J181" s="164">
        <v>117.041</v>
      </c>
      <c r="K181" s="164">
        <v>184.37</v>
      </c>
      <c r="L181" s="164">
        <v>390.66399999999999</v>
      </c>
      <c r="M181" s="164">
        <v>1787.7349999999999</v>
      </c>
      <c r="N181" s="164">
        <v>1302.2829999999999</v>
      </c>
      <c r="O181" s="164">
        <v>414.95299999999997</v>
      </c>
      <c r="P181" s="164">
        <v>45.709000000000003</v>
      </c>
      <c r="Q181" s="164">
        <v>270.06</v>
      </c>
      <c r="R181" s="164">
        <v>110.43</v>
      </c>
      <c r="S181" s="163">
        <v>43.908000000000001</v>
      </c>
      <c r="T181" s="164">
        <v>179.905</v>
      </c>
      <c r="U181" s="164">
        <v>160.43299999999999</v>
      </c>
      <c r="V181" s="164">
        <v>135.13</v>
      </c>
      <c r="W181" s="164">
        <v>131.61600000000001</v>
      </c>
      <c r="X181" s="168">
        <v>2.6004588174350474E-2</v>
      </c>
      <c r="Y181" s="164">
        <v>147.22</v>
      </c>
      <c r="Z181" s="164">
        <v>79.543000000000006</v>
      </c>
      <c r="AA181" s="172">
        <v>54.807000000000002</v>
      </c>
      <c r="AB181" s="163">
        <v>472.38011000000006</v>
      </c>
      <c r="AC181" s="163">
        <v>288.01011000000005</v>
      </c>
      <c r="AE181" s="169">
        <v>-4.3229999999999791</v>
      </c>
      <c r="AF181" s="169">
        <v>7.3400000000000034</v>
      </c>
      <c r="AG181" s="177">
        <v>-2.0256898941616313</v>
      </c>
      <c r="AI181" s="165">
        <v>0.70644389119183704</v>
      </c>
      <c r="AJ181" s="165">
        <v>0.95907148469461312</v>
      </c>
    </row>
    <row r="182" spans="1:36" s="156" customFormat="1" ht="12">
      <c r="A182" s="160">
        <v>45108</v>
      </c>
      <c r="B182" s="161">
        <v>503.87100000000004</v>
      </c>
      <c r="C182" s="164">
        <v>4.8769999999999998</v>
      </c>
      <c r="D182" s="164">
        <v>454.03899999999999</v>
      </c>
      <c r="E182" s="164">
        <v>417.16500000000002</v>
      </c>
      <c r="F182" s="164">
        <v>36.874000000000002</v>
      </c>
      <c r="G182" s="164">
        <v>4.7530000000000001</v>
      </c>
      <c r="H182" s="164">
        <v>40.201999999999998</v>
      </c>
      <c r="I182" s="174">
        <v>2550</v>
      </c>
      <c r="J182" s="164">
        <v>110.547</v>
      </c>
      <c r="K182" s="164">
        <v>187.80799999999999</v>
      </c>
      <c r="L182" s="164">
        <v>404.10899999999998</v>
      </c>
      <c r="M182" s="164">
        <v>1784.2819999999999</v>
      </c>
      <c r="N182" s="164">
        <v>1313.0170000000001</v>
      </c>
      <c r="O182" s="164">
        <v>430.16899999999998</v>
      </c>
      <c r="P182" s="164">
        <v>48.268999999999998</v>
      </c>
      <c r="Q182" s="164">
        <v>277.99700000000001</v>
      </c>
      <c r="R182" s="164">
        <v>119.45</v>
      </c>
      <c r="S182" s="163">
        <v>46.245599999999996</v>
      </c>
      <c r="T182" s="164">
        <v>224.48400000000001</v>
      </c>
      <c r="U182" s="164">
        <v>148.60499999999999</v>
      </c>
      <c r="V182" s="164">
        <v>132.53200000000001</v>
      </c>
      <c r="W182" s="164">
        <v>128.61799999999999</v>
      </c>
      <c r="X182" s="168">
        <v>2.9532490266501843E-2</v>
      </c>
      <c r="Y182" s="164">
        <v>103.967</v>
      </c>
      <c r="Z182" s="164">
        <v>80.569999999999993</v>
      </c>
      <c r="AA182" s="172">
        <v>64.591999999999999</v>
      </c>
      <c r="AB182" s="163">
        <v>460.88581000000005</v>
      </c>
      <c r="AC182" s="163">
        <v>273.07781000000006</v>
      </c>
      <c r="AE182" s="169">
        <v>-2.9980000000000189</v>
      </c>
      <c r="AF182" s="169">
        <v>1.0269999999999868</v>
      </c>
      <c r="AG182" s="177">
        <v>-1.1533563698162337</v>
      </c>
      <c r="AI182" s="165">
        <v>0.65460383780997933</v>
      </c>
      <c r="AJ182" s="165">
        <v>0.91469008932841944</v>
      </c>
    </row>
    <row r="183" spans="1:36" s="156" customFormat="1" ht="12">
      <c r="A183" s="160">
        <v>45139</v>
      </c>
      <c r="B183" s="161">
        <v>489.91899999999998</v>
      </c>
      <c r="C183" s="164">
        <v>4.9560000000000004</v>
      </c>
      <c r="D183" s="164">
        <v>442.608</v>
      </c>
      <c r="E183" s="164">
        <v>406.822</v>
      </c>
      <c r="F183" s="164">
        <v>35.786000000000001</v>
      </c>
      <c r="G183" s="164">
        <v>4.8280000000000003</v>
      </c>
      <c r="H183" s="164">
        <v>37.527000000000001</v>
      </c>
      <c r="I183" s="174">
        <v>2375</v>
      </c>
      <c r="J183" s="164">
        <v>118.801</v>
      </c>
      <c r="K183" s="164">
        <v>183.16200000000001</v>
      </c>
      <c r="L183" s="164">
        <v>394.88799999999998</v>
      </c>
      <c r="M183" s="164">
        <v>1783.405</v>
      </c>
      <c r="N183" s="164">
        <v>1301.0360000000001</v>
      </c>
      <c r="O183" s="164">
        <v>396.04300000000001</v>
      </c>
      <c r="P183" s="164">
        <v>50.250999999999998</v>
      </c>
      <c r="Q183" s="164">
        <v>257.94799999999998</v>
      </c>
      <c r="R183" s="164">
        <v>127.748</v>
      </c>
      <c r="S183" s="163">
        <v>43.9878</v>
      </c>
      <c r="T183" s="164">
        <v>207.39699999999999</v>
      </c>
      <c r="U183" s="164">
        <v>135.68100000000001</v>
      </c>
      <c r="V183" s="164">
        <v>147.26</v>
      </c>
      <c r="W183" s="164">
        <v>142.09299999999999</v>
      </c>
      <c r="X183" s="168">
        <v>3.5087600162977073E-2</v>
      </c>
      <c r="Y183" s="164">
        <v>145.624</v>
      </c>
      <c r="Z183" s="164">
        <v>76.653999999999996</v>
      </c>
      <c r="AA183" s="172">
        <v>51.350999999999999</v>
      </c>
      <c r="AB183" s="163">
        <v>436.81491000000005</v>
      </c>
      <c r="AC183" s="163">
        <v>253.65291000000005</v>
      </c>
      <c r="AE183" s="169">
        <v>13.474999999999994</v>
      </c>
      <c r="AF183" s="169">
        <v>-3.9159999999999968</v>
      </c>
      <c r="AG183" s="177">
        <v>-0.46810809346032323</v>
      </c>
      <c r="AI183" s="165">
        <v>0.6234985079469646</v>
      </c>
      <c r="AJ183" s="165">
        <v>0.89160638799475034</v>
      </c>
    </row>
    <row r="184" spans="1:36" s="156" customFormat="1" ht="12">
      <c r="A184" s="160">
        <v>45170</v>
      </c>
      <c r="B184" s="161">
        <v>478.12300000000005</v>
      </c>
      <c r="C184" s="164">
        <v>5.3810000000000002</v>
      </c>
      <c r="D184" s="164">
        <v>430.13400000000001</v>
      </c>
      <c r="E184" s="164">
        <v>395.86500000000001</v>
      </c>
      <c r="F184" s="164">
        <v>34.268999999999998</v>
      </c>
      <c r="G184" s="164">
        <v>4.2549999999999999</v>
      </c>
      <c r="H184" s="164">
        <v>38.353000000000002</v>
      </c>
      <c r="I184" s="174">
        <v>2925</v>
      </c>
      <c r="J184" s="164">
        <v>104.197</v>
      </c>
      <c r="K184" s="164">
        <v>173.989</v>
      </c>
      <c r="L184" s="164">
        <v>364.88099999999997</v>
      </c>
      <c r="M184" s="164">
        <v>1700.154</v>
      </c>
      <c r="N184" s="164">
        <v>1309.502</v>
      </c>
      <c r="O184" s="164">
        <v>391.48700000000002</v>
      </c>
      <c r="P184" s="164">
        <v>54.432000000000002</v>
      </c>
      <c r="Q184" s="164">
        <v>246.78200000000001</v>
      </c>
      <c r="R184" s="164">
        <v>107.988</v>
      </c>
      <c r="S184" s="163">
        <v>43.5732</v>
      </c>
      <c r="T184" s="164">
        <v>196.26400000000001</v>
      </c>
      <c r="U184" s="164">
        <v>121.86799999999999</v>
      </c>
      <c r="V184" s="164">
        <v>155.87200000000001</v>
      </c>
      <c r="W184" s="164">
        <v>149.66200000000001</v>
      </c>
      <c r="X184" s="168">
        <v>3.9840381851775852E-2</v>
      </c>
      <c r="Y184" s="164">
        <v>121.60899999999999</v>
      </c>
      <c r="Z184" s="164">
        <v>71.025999999999996</v>
      </c>
      <c r="AA184" s="172">
        <v>51.575000000000003</v>
      </c>
      <c r="AB184" s="163">
        <v>405.32409000000001</v>
      </c>
      <c r="AC184" s="163">
        <v>231.33509000000001</v>
      </c>
      <c r="AE184" s="169">
        <v>7.5690000000000168</v>
      </c>
      <c r="AF184" s="169">
        <v>-5.6280000000000001</v>
      </c>
      <c r="AG184" s="177">
        <v>-0.23741602852787702</v>
      </c>
      <c r="AI184" s="165">
        <v>0.58437874022709768</v>
      </c>
      <c r="AJ184" s="165" t="e">
        <v>#DIV/0!</v>
      </c>
    </row>
    <row r="185" spans="1:36" s="156" customFormat="1" ht="12">
      <c r="A185" s="160">
        <v>45200</v>
      </c>
      <c r="B185" s="161">
        <v>510.97899999999998</v>
      </c>
      <c r="C185" s="164">
        <v>6.4210000000000003</v>
      </c>
      <c r="D185" s="164">
        <v>461.47899999999998</v>
      </c>
      <c r="E185" s="164">
        <v>424.44299999999998</v>
      </c>
      <c r="F185" s="164">
        <v>37.036000000000001</v>
      </c>
      <c r="G185" s="164">
        <v>4.75</v>
      </c>
      <c r="H185" s="164">
        <v>38.329000000000001</v>
      </c>
      <c r="I185" s="174">
        <v>2475</v>
      </c>
      <c r="J185" s="164">
        <v>114.333</v>
      </c>
      <c r="K185" s="164">
        <v>189.584</v>
      </c>
      <c r="L185" s="164">
        <v>428.84100000000001</v>
      </c>
      <c r="M185" s="164">
        <v>1796.2719999999999</v>
      </c>
      <c r="N185" s="164">
        <v>1379.125</v>
      </c>
      <c r="O185" s="164">
        <v>424.46899999999999</v>
      </c>
      <c r="P185" s="164">
        <v>53.396999999999998</v>
      </c>
      <c r="Q185" s="164">
        <v>265.90800000000002</v>
      </c>
      <c r="R185" s="164">
        <v>116.953</v>
      </c>
      <c r="S185" s="163">
        <v>45.219000000000001</v>
      </c>
      <c r="T185" s="164">
        <v>212.42400000000001</v>
      </c>
      <c r="U185" s="164">
        <v>133.00800000000001</v>
      </c>
      <c r="V185" s="164">
        <v>151.756</v>
      </c>
      <c r="W185" s="164">
        <v>147.61199999999999</v>
      </c>
      <c r="X185" s="168">
        <v>2.7306992804238428E-2</v>
      </c>
      <c r="Y185" s="164">
        <v>120.324</v>
      </c>
      <c r="Z185" s="164">
        <v>80.126000000000005</v>
      </c>
      <c r="AA185" s="172">
        <v>68.501999999999995</v>
      </c>
      <c r="AB185" s="163">
        <v>441.95104000000003</v>
      </c>
      <c r="AC185" s="163">
        <v>252.36704000000003</v>
      </c>
      <c r="AE185" s="169">
        <v>-2.0500000000000114</v>
      </c>
      <c r="AF185" s="169">
        <v>9.1000000000000085</v>
      </c>
      <c r="AG185" s="177">
        <v>-2.1794787488722696</v>
      </c>
      <c r="AI185" s="165">
        <v>0.59458405486720256</v>
      </c>
      <c r="AJ185" s="165">
        <v>0.86491037792159764</v>
      </c>
    </row>
    <row r="186" spans="1:36" s="156" customFormat="1" ht="12">
      <c r="A186" s="160">
        <v>45231</v>
      </c>
      <c r="B186" s="161">
        <v>504.78500000000003</v>
      </c>
      <c r="C186" s="164">
        <v>5.351</v>
      </c>
      <c r="D186" s="164">
        <v>454.98700000000002</v>
      </c>
      <c r="E186" s="164">
        <v>419.20400000000001</v>
      </c>
      <c r="F186" s="164">
        <v>35.783000000000001</v>
      </c>
      <c r="G186" s="164">
        <v>6.1159999999999997</v>
      </c>
      <c r="H186" s="164">
        <v>38.331000000000003</v>
      </c>
      <c r="I186" s="174">
        <v>2350</v>
      </c>
      <c r="J186" s="164">
        <v>122.98399999999999</v>
      </c>
      <c r="K186" s="164">
        <v>188.00800000000001</v>
      </c>
      <c r="L186" s="164">
        <v>399.55500000000001</v>
      </c>
      <c r="M186" s="164">
        <v>1796.675</v>
      </c>
      <c r="N186" s="164">
        <v>1367.046</v>
      </c>
      <c r="O186" s="164">
        <v>453.94400000000002</v>
      </c>
      <c r="P186" s="164">
        <v>61.69</v>
      </c>
      <c r="Q186" s="164">
        <v>242.46199999999999</v>
      </c>
      <c r="R186" s="164">
        <v>110.684</v>
      </c>
      <c r="S186" s="163">
        <v>44.468400000000003</v>
      </c>
      <c r="T186" s="164">
        <v>202.53399999999999</v>
      </c>
      <c r="U186" s="164">
        <v>166.58199999999999</v>
      </c>
      <c r="V186" s="164">
        <v>169.648</v>
      </c>
      <c r="W186" s="164">
        <v>165.387</v>
      </c>
      <c r="X186" s="168">
        <v>2.5116712251249673E-2</v>
      </c>
      <c r="Y186" s="164">
        <v>156.06</v>
      </c>
      <c r="Z186" s="164">
        <v>80.126000000000005</v>
      </c>
      <c r="AA186" s="172">
        <v>61.316000000000003</v>
      </c>
      <c r="AB186" s="163">
        <v>485.78830000000011</v>
      </c>
      <c r="AC186" s="163">
        <v>297.78030000000012</v>
      </c>
      <c r="AE186" s="169">
        <v>17.775000000000006</v>
      </c>
      <c r="AF186" s="169">
        <v>0</v>
      </c>
      <c r="AG186" s="177">
        <v>-0.9824629695835696</v>
      </c>
      <c r="AI186" s="165">
        <v>0.71034699096382692</v>
      </c>
      <c r="AJ186" s="165">
        <v>0.9623667502005806</v>
      </c>
    </row>
    <row r="187" spans="1:36" s="156" customFormat="1" ht="12">
      <c r="A187" s="160">
        <v>45261</v>
      </c>
      <c r="B187" s="161">
        <v>528.95999999999992</v>
      </c>
      <c r="C187" s="164">
        <v>3.7949999999999999</v>
      </c>
      <c r="D187" s="164">
        <v>481.69900000000001</v>
      </c>
      <c r="E187" s="164">
        <v>442.59899999999999</v>
      </c>
      <c r="F187" s="164">
        <v>39.1</v>
      </c>
      <c r="G187" s="164">
        <v>6.4640000000000004</v>
      </c>
      <c r="H187" s="164">
        <v>37.002000000000002</v>
      </c>
      <c r="I187" s="175">
        <v>479.21999999999997</v>
      </c>
      <c r="J187" s="164">
        <v>95.804000000000002</v>
      </c>
      <c r="K187" s="164">
        <v>184.244</v>
      </c>
      <c r="L187" s="164">
        <v>388.93200000000002</v>
      </c>
      <c r="M187" s="164">
        <v>1950.5619999999999</v>
      </c>
      <c r="N187" s="164">
        <v>1406.136</v>
      </c>
      <c r="O187" s="164">
        <v>482.524</v>
      </c>
      <c r="P187" s="164">
        <v>56.348999999999997</v>
      </c>
      <c r="Q187" s="164">
        <v>245.983</v>
      </c>
      <c r="R187" s="164">
        <v>113.012</v>
      </c>
      <c r="S187" s="163">
        <v>45.661200000000001</v>
      </c>
      <c r="T187" s="164">
        <v>209.81800000000001</v>
      </c>
      <c r="U187" s="164">
        <v>149.196</v>
      </c>
      <c r="V187" s="164">
        <v>150.678</v>
      </c>
      <c r="W187" s="164">
        <v>146.59</v>
      </c>
      <c r="X187" s="168">
        <v>2.7130702557772168E-2</v>
      </c>
      <c r="Y187" s="164">
        <v>119.251</v>
      </c>
      <c r="Z187" s="171">
        <v>85.166451199452155</v>
      </c>
      <c r="AA187" s="172">
        <v>65.563999999999993</v>
      </c>
      <c r="AB187" s="163">
        <v>456.81280000000004</v>
      </c>
      <c r="AC187" s="163">
        <v>272.56880000000001</v>
      </c>
      <c r="AE187" s="169">
        <v>-18.796999999999997</v>
      </c>
      <c r="AF187" s="169">
        <v>5.0404511994521499</v>
      </c>
      <c r="AG187" s="177">
        <v>-1.6224648975262745</v>
      </c>
      <c r="AI187" s="165">
        <v>0.61583690880458386</v>
      </c>
      <c r="AJ187" s="165">
        <v>0.86360556563823376</v>
      </c>
    </row>
    <row r="188" spans="1:36" s="156" customFormat="1" ht="12">
      <c r="A188" s="160">
        <v>45292</v>
      </c>
      <c r="B188" s="161">
        <v>477.22700000000003</v>
      </c>
      <c r="C188" s="164">
        <v>3.9990000000000001</v>
      </c>
      <c r="D188" s="164">
        <v>433.596</v>
      </c>
      <c r="E188" s="164">
        <v>400.48399999999998</v>
      </c>
      <c r="F188" s="164">
        <v>33.112000000000002</v>
      </c>
      <c r="G188" s="164">
        <v>5.2279999999999998</v>
      </c>
      <c r="H188" s="164">
        <v>34.404000000000003</v>
      </c>
      <c r="I188" s="174">
        <v>500</v>
      </c>
      <c r="J188" s="164">
        <v>93.415999999999997</v>
      </c>
      <c r="K188" s="164">
        <v>170.33799999999999</v>
      </c>
      <c r="L188" s="164">
        <v>366.738</v>
      </c>
      <c r="M188" s="164">
        <v>1763.3869999999999</v>
      </c>
      <c r="N188" s="164">
        <v>1300.3320000000001</v>
      </c>
      <c r="O188" s="164">
        <v>474.49799999999999</v>
      </c>
      <c r="P188" s="164">
        <v>53.813000000000002</v>
      </c>
      <c r="Q188" s="164">
        <v>225.691</v>
      </c>
      <c r="R188" s="164">
        <v>104.117</v>
      </c>
      <c r="S188" s="163">
        <v>40.509599999999999</v>
      </c>
      <c r="T188" s="164">
        <v>200.08600000000001</v>
      </c>
      <c r="U188" s="164">
        <v>130.43199999999999</v>
      </c>
      <c r="V188" s="164">
        <v>138.03299999999999</v>
      </c>
      <c r="W188" s="164">
        <v>134.672</v>
      </c>
      <c r="X188" s="168">
        <v>2.4349249817072649E-2</v>
      </c>
      <c r="Y188" s="164">
        <v>120.459</v>
      </c>
      <c r="Z188" s="171">
        <v>87.137101408335624</v>
      </c>
      <c r="AA188" s="171">
        <v>74.672320720171456</v>
      </c>
      <c r="AB188" s="163">
        <v>412.05490000000003</v>
      </c>
      <c r="AC188" s="163">
        <v>241.71690000000004</v>
      </c>
      <c r="AE188" s="169">
        <v>-11.918000000000006</v>
      </c>
      <c r="AF188" s="169">
        <v>1.9706502088834696</v>
      </c>
      <c r="AG188" s="177">
        <v>-1.2334095992546463</v>
      </c>
      <c r="AI188" s="165">
        <v>0.60356194005253661</v>
      </c>
      <c r="AJ188" s="165">
        <v>0.8634358491870745</v>
      </c>
    </row>
    <row r="189" spans="1:36" s="156" customFormat="1" ht="12">
      <c r="A189" s="160">
        <v>45323</v>
      </c>
      <c r="B189" s="161">
        <v>492.34800000000001</v>
      </c>
      <c r="C189" s="164">
        <v>4.5350000000000001</v>
      </c>
      <c r="D189" s="164">
        <v>441.53500000000003</v>
      </c>
      <c r="E189" s="164">
        <v>407.928</v>
      </c>
      <c r="F189" s="164">
        <v>33.606999999999999</v>
      </c>
      <c r="G189" s="164">
        <v>7.4130000000000003</v>
      </c>
      <c r="H189" s="164">
        <v>38.865000000000002</v>
      </c>
      <c r="I189" s="174">
        <v>525</v>
      </c>
      <c r="J189" s="164">
        <v>84.76</v>
      </c>
      <c r="K189" s="164">
        <v>174.88300000000001</v>
      </c>
      <c r="L189" s="164">
        <v>371.63900000000001</v>
      </c>
      <c r="M189" s="164">
        <v>1811.1659999999999</v>
      </c>
      <c r="N189" s="164">
        <v>1172.818</v>
      </c>
      <c r="O189" s="164">
        <v>456.73700000000002</v>
      </c>
      <c r="P189" s="164">
        <v>58.545999999999999</v>
      </c>
      <c r="Q189" s="164">
        <v>254.386</v>
      </c>
      <c r="R189" s="164">
        <v>112.56399999999999</v>
      </c>
      <c r="S189" s="163">
        <v>43.483200000000004</v>
      </c>
      <c r="T189" s="164">
        <v>207.42099999999999</v>
      </c>
      <c r="U189" s="164">
        <v>156.92599999999999</v>
      </c>
      <c r="V189" s="164">
        <v>133.15199999999999</v>
      </c>
      <c r="W189" s="164">
        <v>129.77000000000001</v>
      </c>
      <c r="X189" s="168">
        <v>2.5399543378995304E-2</v>
      </c>
      <c r="Y189" s="164">
        <v>128.404</v>
      </c>
      <c r="Z189" s="164">
        <v>93.994</v>
      </c>
      <c r="AA189" s="172">
        <v>53.975999999999999</v>
      </c>
      <c r="AB189" s="163">
        <v>454.57832999999999</v>
      </c>
      <c r="AC189" s="163">
        <v>279.69533000000001</v>
      </c>
      <c r="AE189" s="169">
        <v>-4.9019999999999868</v>
      </c>
      <c r="AF189" s="169">
        <v>6.8568985916643754</v>
      </c>
      <c r="AG189" s="177">
        <v>1.894149654979743</v>
      </c>
      <c r="AI189" s="165">
        <v>0.68564876644898121</v>
      </c>
      <c r="AJ189" s="165">
        <v>0.92328663871895489</v>
      </c>
    </row>
    <row r="190" spans="1:36" s="156" customFormat="1" ht="12">
      <c r="A190" s="160">
        <v>45352</v>
      </c>
      <c r="B190" s="161">
        <v>521.54299999999989</v>
      </c>
      <c r="C190" s="164">
        <v>4.3</v>
      </c>
      <c r="D190" s="164">
        <v>468.75</v>
      </c>
      <c r="E190" s="164">
        <v>432.262</v>
      </c>
      <c r="F190" s="164">
        <v>36.488</v>
      </c>
      <c r="G190" s="164">
        <v>8.4209999999999994</v>
      </c>
      <c r="H190" s="164">
        <v>40.072000000000003</v>
      </c>
      <c r="I190" s="174">
        <v>650</v>
      </c>
      <c r="J190" s="164">
        <v>84.811999999999998</v>
      </c>
      <c r="K190" s="164">
        <v>186.501</v>
      </c>
      <c r="L190" s="164">
        <v>394.38799999999998</v>
      </c>
      <c r="M190" s="164">
        <v>1931.9649999999999</v>
      </c>
      <c r="N190" s="164">
        <v>1223.1869999999999</v>
      </c>
      <c r="O190" s="164">
        <v>459.8</v>
      </c>
      <c r="P190" s="164">
        <v>53.606000000000002</v>
      </c>
      <c r="Q190" s="164">
        <v>270.23</v>
      </c>
      <c r="R190" s="164">
        <v>116.91</v>
      </c>
      <c r="S190" s="163">
        <v>45.936</v>
      </c>
      <c r="T190" s="164">
        <v>214.03800000000001</v>
      </c>
      <c r="U190" s="164">
        <v>153.56100000000001</v>
      </c>
      <c r="V190" s="164">
        <v>144.12299999999999</v>
      </c>
      <c r="W190" s="164">
        <v>140.762</v>
      </c>
      <c r="X190" s="168">
        <v>2.3320358305058853E-2</v>
      </c>
      <c r="Y190" s="164">
        <v>106.057</v>
      </c>
      <c r="Z190" s="164">
        <v>101.18600000000001</v>
      </c>
      <c r="AA190" s="172">
        <v>74.073999999999998</v>
      </c>
      <c r="AB190" s="163">
        <v>465.88494000000003</v>
      </c>
      <c r="AC190" s="163">
        <v>279.38394000000005</v>
      </c>
      <c r="AE190" s="169">
        <v>10.99199999999999</v>
      </c>
      <c r="AF190" s="169">
        <v>7.1920000000000073</v>
      </c>
      <c r="AG190" s="177">
        <v>3.0235686436360756</v>
      </c>
      <c r="AI190" s="165">
        <v>0.64633009609912517</v>
      </c>
      <c r="AJ190" s="165">
        <v>0.89328193456723626</v>
      </c>
    </row>
    <row r="191" spans="1:36" s="156" customFormat="1" ht="12">
      <c r="A191" s="160">
        <v>45383</v>
      </c>
      <c r="B191" s="161">
        <v>466.03399999999999</v>
      </c>
      <c r="C191" s="164">
        <v>4.157</v>
      </c>
      <c r="D191" s="164">
        <v>416.92</v>
      </c>
      <c r="E191" s="164">
        <v>384.17</v>
      </c>
      <c r="F191" s="164">
        <v>32.75</v>
      </c>
      <c r="G191" s="164">
        <v>6.1449999999999996</v>
      </c>
      <c r="H191" s="164">
        <v>38.811999999999998</v>
      </c>
      <c r="I191" s="174">
        <v>275</v>
      </c>
      <c r="J191" s="164">
        <v>88.403000000000006</v>
      </c>
      <c r="K191" s="164">
        <v>178.529</v>
      </c>
      <c r="L191" s="164">
        <v>376.77</v>
      </c>
      <c r="M191" s="164">
        <v>1756.396</v>
      </c>
      <c r="N191" s="164">
        <v>1246.8</v>
      </c>
      <c r="O191" s="164">
        <v>447.37700000000001</v>
      </c>
      <c r="P191" s="164">
        <v>48.561999999999998</v>
      </c>
      <c r="Q191" s="164">
        <v>238.119</v>
      </c>
      <c r="R191" s="164">
        <v>109.375</v>
      </c>
      <c r="S191" s="163">
        <v>42.937199999999997</v>
      </c>
      <c r="T191" s="164">
        <v>199.18199999999999</v>
      </c>
      <c r="U191" s="164">
        <v>123.709</v>
      </c>
      <c r="V191" s="164">
        <v>153.52099999999999</v>
      </c>
      <c r="W191" s="164">
        <v>149.29400000000001</v>
      </c>
      <c r="X191" s="168">
        <v>2.7533692459011938E-2</v>
      </c>
      <c r="Y191" s="164">
        <v>126.002</v>
      </c>
      <c r="Z191" s="164">
        <v>108.158</v>
      </c>
      <c r="AA191" s="172">
        <v>71.054000000000002</v>
      </c>
      <c r="AB191" s="163">
        <v>414.06606000000005</v>
      </c>
      <c r="AC191" s="163">
        <v>235.53706000000005</v>
      </c>
      <c r="AE191" s="169">
        <v>8.5320000000000107</v>
      </c>
      <c r="AF191" s="169">
        <v>6.9719999999999942</v>
      </c>
      <c r="AG191" s="177">
        <v>2.6689426186466867</v>
      </c>
      <c r="AI191" s="165">
        <v>0.61310633313376905</v>
      </c>
      <c r="AJ191" s="165">
        <v>0.88848895144989437</v>
      </c>
    </row>
    <row r="192" spans="1:36" s="156" customFormat="1" ht="12">
      <c r="A192" s="160">
        <v>45413</v>
      </c>
      <c r="B192" s="161">
        <f t="shared" ref="B192:B194" si="43">SUM(C192,D192,G192,H192)</f>
        <v>507.96100000000001</v>
      </c>
      <c r="C192" s="164">
        <v>3.7469999999999999</v>
      </c>
      <c r="D192" s="164">
        <v>453.68</v>
      </c>
      <c r="E192" s="164">
        <v>418.38400000000001</v>
      </c>
      <c r="F192" s="164">
        <v>35.295999999999999</v>
      </c>
      <c r="G192" s="164">
        <v>6.7089999999999996</v>
      </c>
      <c r="H192" s="164">
        <v>43.825000000000003</v>
      </c>
      <c r="I192" s="174">
        <v>450</v>
      </c>
      <c r="J192" s="164">
        <v>95.712000000000003</v>
      </c>
      <c r="K192" s="164">
        <v>192.24</v>
      </c>
      <c r="L192" s="164">
        <v>379.57</v>
      </c>
      <c r="M192" s="164">
        <v>2002.9839999999999</v>
      </c>
      <c r="N192" s="164">
        <v>1213.1420000000001</v>
      </c>
      <c r="O192" s="164">
        <v>419.45</v>
      </c>
      <c r="P192" s="164">
        <v>57.308</v>
      </c>
      <c r="Q192" s="164">
        <v>270.29199999999997</v>
      </c>
      <c r="R192" s="164">
        <v>119.711</v>
      </c>
      <c r="S192" s="163">
        <v>47.472600000000007</v>
      </c>
      <c r="T192" s="164">
        <v>209.01599999999999</v>
      </c>
      <c r="U192" s="164">
        <v>155.30099999999999</v>
      </c>
      <c r="V192" s="164">
        <v>175.786</v>
      </c>
      <c r="W192" s="164">
        <v>171.02799999999999</v>
      </c>
      <c r="X192" s="168">
        <v>2.7067001922792544E-2</v>
      </c>
      <c r="Y192" s="164">
        <v>143.48599999999999</v>
      </c>
      <c r="Z192" s="164">
        <v>92.21</v>
      </c>
      <c r="AA192" s="176">
        <v>81.501790957666344</v>
      </c>
      <c r="AB192" s="163">
        <v>476.13117000000005</v>
      </c>
      <c r="AC192" s="163">
        <v>283.89117000000005</v>
      </c>
      <c r="AE192" s="169">
        <v>21.73399999999998</v>
      </c>
      <c r="AF192" s="169">
        <v>-15.948000000000008</v>
      </c>
      <c r="AG192" s="177">
        <v>-7.1547843033780731</v>
      </c>
      <c r="AI192" s="165">
        <v>0.67854212876209419</v>
      </c>
      <c r="AJ192" s="165">
        <v>0.93733804366870688</v>
      </c>
    </row>
    <row r="193" spans="1:36" s="156" customFormat="1" ht="12">
      <c r="A193" s="160">
        <v>45444</v>
      </c>
      <c r="B193" s="161">
        <f t="shared" si="43"/>
        <v>494.72</v>
      </c>
      <c r="C193" s="164">
        <v>4.032</v>
      </c>
      <c r="D193" s="164">
        <v>442.346</v>
      </c>
      <c r="E193" s="164">
        <v>406.07</v>
      </c>
      <c r="F193" s="164">
        <v>36.276000000000003</v>
      </c>
      <c r="G193" s="164">
        <v>6.8620000000000001</v>
      </c>
      <c r="H193" s="164">
        <v>41.48</v>
      </c>
      <c r="I193" s="175">
        <v>1293.3899999999999</v>
      </c>
      <c r="J193" s="164">
        <v>106.473</v>
      </c>
      <c r="K193" s="164">
        <v>186.82</v>
      </c>
      <c r="L193" s="164">
        <v>353.83699999999999</v>
      </c>
      <c r="M193" s="164">
        <v>1793.655</v>
      </c>
      <c r="N193" s="164">
        <v>1115.7470000000001</v>
      </c>
      <c r="O193" s="164">
        <v>379.42599999999999</v>
      </c>
      <c r="P193" s="164">
        <v>60.015000000000001</v>
      </c>
      <c r="Q193" s="164">
        <v>272.101</v>
      </c>
      <c r="R193" s="164">
        <v>113.544</v>
      </c>
      <c r="S193" s="163">
        <v>46.653599999999997</v>
      </c>
      <c r="T193" s="164">
        <v>197.84700000000001</v>
      </c>
      <c r="U193" s="164">
        <v>163.81800000000001</v>
      </c>
      <c r="V193" s="164">
        <v>138.88200000000001</v>
      </c>
      <c r="W193" s="164">
        <v>134.74100000000001</v>
      </c>
      <c r="X193" s="168">
        <v>2.9816678907273686E-2</v>
      </c>
      <c r="Y193" s="164">
        <v>102.849</v>
      </c>
      <c r="Z193" s="164">
        <v>75.558999999999997</v>
      </c>
      <c r="AA193" s="176">
        <v>72.121221287287113</v>
      </c>
      <c r="AB193" s="163">
        <v>480.3740600000001</v>
      </c>
      <c r="AC193" s="163">
        <v>293.55406000000011</v>
      </c>
      <c r="AE193" s="169">
        <v>-36.286999999999978</v>
      </c>
      <c r="AF193" s="169">
        <v>-16.650999999999996</v>
      </c>
      <c r="AG193" s="177">
        <v>-7.5159084645357703</v>
      </c>
      <c r="AI193" s="165">
        <v>0.72291491614746251</v>
      </c>
      <c r="AJ193" s="165">
        <v>0.97100190006468323</v>
      </c>
    </row>
    <row r="194" spans="1:36" s="156" customFormat="1" ht="12">
      <c r="A194" s="160">
        <v>45474</v>
      </c>
      <c r="B194" s="161">
        <f t="shared" si="43"/>
        <v>527.46300000000008</v>
      </c>
      <c r="C194" s="164">
        <v>4.6360000000000001</v>
      </c>
      <c r="D194" s="164">
        <v>473.50400000000002</v>
      </c>
      <c r="E194" s="164">
        <v>436.42200000000003</v>
      </c>
      <c r="F194" s="164">
        <v>37.082000000000001</v>
      </c>
      <c r="G194" s="164">
        <v>6.4260000000000002</v>
      </c>
      <c r="H194" s="164">
        <v>42.896999999999998</v>
      </c>
      <c r="I194" s="174">
        <v>2700</v>
      </c>
      <c r="J194" s="164">
        <v>90.834999999999994</v>
      </c>
      <c r="K194" s="164">
        <v>204.81800000000001</v>
      </c>
      <c r="L194" s="164">
        <v>392.863</v>
      </c>
      <c r="M194" s="164">
        <v>1999.5360000000001</v>
      </c>
      <c r="N194" s="164">
        <v>1220.585</v>
      </c>
      <c r="O194" s="164">
        <v>396.35399999999998</v>
      </c>
      <c r="P194" s="164">
        <v>64.600999999999999</v>
      </c>
      <c r="Q194" s="164">
        <v>293.887</v>
      </c>
      <c r="R194" s="164">
        <v>118.626</v>
      </c>
      <c r="S194" s="163">
        <v>47.987400000000001</v>
      </c>
      <c r="T194" s="164">
        <v>210.01300000000001</v>
      </c>
      <c r="U194" s="164">
        <v>165.10599999999999</v>
      </c>
      <c r="V194" s="164">
        <v>159.44200000000001</v>
      </c>
      <c r="W194" s="164">
        <v>154.411</v>
      </c>
      <c r="X194" s="168">
        <v>3.1553793856073042E-2</v>
      </c>
      <c r="Y194" s="164">
        <v>147.423</v>
      </c>
      <c r="Z194" s="164">
        <v>84.468000000000004</v>
      </c>
      <c r="AA194" s="176">
        <v>75.590592009744796</v>
      </c>
      <c r="AB194" s="163">
        <v>506.79588000000001</v>
      </c>
      <c r="AC194" s="163">
        <v>301.97788000000003</v>
      </c>
      <c r="AE194" s="169">
        <v>19.669999999999987</v>
      </c>
      <c r="AF194" s="169">
        <v>8.909000000000006</v>
      </c>
      <c r="AG194" s="177">
        <v>2.9935178022286144</v>
      </c>
      <c r="AI194" s="165">
        <v>0.69194009467900341</v>
      </c>
      <c r="AJ194" s="165">
        <v>0.96081787727290835</v>
      </c>
    </row>
    <row r="195" spans="1:36" s="156" customFormat="1" ht="12">
      <c r="A195" s="160">
        <v>45505</v>
      </c>
      <c r="B195" s="161">
        <v>525.303</v>
      </c>
      <c r="C195" s="164">
        <v>3.9129999999999998</v>
      </c>
      <c r="D195" s="164">
        <v>472.697</v>
      </c>
      <c r="E195" s="164">
        <v>434.02699999999999</v>
      </c>
      <c r="F195" s="164">
        <v>38.67</v>
      </c>
      <c r="G195" s="164">
        <v>6.3470000000000004</v>
      </c>
      <c r="H195" s="164">
        <v>42.345999999999997</v>
      </c>
      <c r="I195" s="174">
        <v>1650</v>
      </c>
      <c r="J195" s="164">
        <v>97.561000000000007</v>
      </c>
      <c r="K195" s="164">
        <v>196.55600000000001</v>
      </c>
      <c r="L195" s="164">
        <v>390.79399999999998</v>
      </c>
      <c r="M195" s="164">
        <v>1997.75</v>
      </c>
      <c r="N195" s="164">
        <v>1227.027</v>
      </c>
      <c r="O195" s="164">
        <v>377.20699999999999</v>
      </c>
      <c r="P195" s="164">
        <v>61.667999999999999</v>
      </c>
      <c r="Q195" s="164">
        <v>291.428</v>
      </c>
      <c r="R195" s="164">
        <v>116.255</v>
      </c>
      <c r="S195" s="163">
        <v>48.609599999999993</v>
      </c>
      <c r="T195" s="164">
        <v>191.30500000000001</v>
      </c>
      <c r="U195" s="164">
        <v>164.51</v>
      </c>
      <c r="V195" s="164">
        <v>166.59</v>
      </c>
      <c r="W195" s="164">
        <v>161.85300000000001</v>
      </c>
      <c r="X195" s="168">
        <v>2.8435080136862911E-2</v>
      </c>
      <c r="Y195" s="164">
        <v>145.13800000000001</v>
      </c>
      <c r="Z195" s="164">
        <v>93.305000000000007</v>
      </c>
      <c r="AA195" s="176">
        <v>76.027720660733792</v>
      </c>
      <c r="AB195" s="163">
        <v>494.6604200000001</v>
      </c>
      <c r="AC195" s="163">
        <v>298.10442000000012</v>
      </c>
      <c r="AE195" s="169">
        <v>7.4420000000000073</v>
      </c>
      <c r="AF195" s="169">
        <v>8.8370000000000033</v>
      </c>
      <c r="AG195" s="177">
        <v>3.314151217992988</v>
      </c>
      <c r="AI195" s="165">
        <v>0.68683381448619585</v>
      </c>
      <c r="AJ195" s="165">
        <v>0.94166684751467267</v>
      </c>
    </row>
    <row r="196" spans="1:36" s="156" customFormat="1" ht="12">
      <c r="A196" s="160">
        <v>45536</v>
      </c>
      <c r="B196" s="161">
        <v>495.77600000000001</v>
      </c>
      <c r="C196" s="164">
        <v>3.5129999999999999</v>
      </c>
      <c r="D196" s="164">
        <v>447.25900000000001</v>
      </c>
      <c r="E196" s="164">
        <v>408.19900000000001</v>
      </c>
      <c r="F196" s="164">
        <v>37.331000000000003</v>
      </c>
      <c r="G196" s="164">
        <v>7.1210000000000004</v>
      </c>
      <c r="H196" s="164">
        <v>39.612000000000002</v>
      </c>
      <c r="I196" s="174">
        <v>1096.9199999999998</v>
      </c>
      <c r="J196" s="164">
        <v>95.090999999999994</v>
      </c>
      <c r="K196" s="164">
        <v>184.44200000000001</v>
      </c>
      <c r="L196" s="164">
        <v>365.238</v>
      </c>
      <c r="M196" s="164">
        <v>1795.3030000000001</v>
      </c>
      <c r="N196" s="164">
        <v>1153.116</v>
      </c>
      <c r="O196" s="164">
        <v>372.63200000000001</v>
      </c>
      <c r="P196" s="164">
        <v>63.789000000000001</v>
      </c>
      <c r="Q196" s="164">
        <v>273.303</v>
      </c>
      <c r="R196" s="164">
        <v>111.744</v>
      </c>
      <c r="S196" s="163">
        <v>46.165800000000004</v>
      </c>
      <c r="T196" s="164">
        <v>174.07</v>
      </c>
      <c r="U196" s="164">
        <v>147.762</v>
      </c>
      <c r="V196" s="164">
        <v>146.148</v>
      </c>
      <c r="W196" s="164">
        <v>141.136</v>
      </c>
      <c r="X196" s="168">
        <v>3.4294003339080947E-2</v>
      </c>
      <c r="Y196" s="164">
        <v>136.89599999999999</v>
      </c>
      <c r="Z196" s="164">
        <v>81.203999999999994</v>
      </c>
      <c r="AA196" s="172">
        <v>67.135000000000005</v>
      </c>
      <c r="AB196" s="163">
        <v>455.11948000000007</v>
      </c>
      <c r="AC196" s="163">
        <v>270.67748000000006</v>
      </c>
      <c r="AE196" s="169">
        <v>-20.717000000000013</v>
      </c>
      <c r="AF196" s="169">
        <v>-12.101000000000013</v>
      </c>
      <c r="AG196" s="177">
        <v>-4.9071364839830132</v>
      </c>
      <c r="AI196" s="165">
        <v>0.66310177143991056</v>
      </c>
      <c r="AJ196" s="165">
        <v>0.91799417478861434</v>
      </c>
    </row>
    <row r="197" spans="1:36" s="156" customFormat="1" ht="12">
      <c r="A197" s="182">
        <v>45566</v>
      </c>
      <c r="B197" s="161">
        <v>510.04300000000001</v>
      </c>
      <c r="C197" s="164">
        <v>3.4940000000000002</v>
      </c>
      <c r="D197" s="164">
        <v>460.49299999999999</v>
      </c>
      <c r="E197" s="164">
        <v>425.41899999999998</v>
      </c>
      <c r="F197" s="164">
        <v>35.073999999999998</v>
      </c>
      <c r="G197" s="164">
        <v>6.7649999999999997</v>
      </c>
      <c r="H197" s="164">
        <v>39.290999999999997</v>
      </c>
      <c r="I197" s="174">
        <v>1575</v>
      </c>
      <c r="J197" s="164">
        <v>112.01300000000001</v>
      </c>
      <c r="K197" s="164">
        <v>198.16499999999999</v>
      </c>
      <c r="L197" s="164">
        <v>390.721</v>
      </c>
      <c r="M197" s="164">
        <v>1869.6189999999999</v>
      </c>
      <c r="N197" s="164">
        <v>1312.9749999999999</v>
      </c>
      <c r="O197" s="164">
        <v>429.10300000000001</v>
      </c>
      <c r="P197" s="164">
        <v>65.84</v>
      </c>
      <c r="Q197" s="164">
        <v>251.577</v>
      </c>
      <c r="R197" s="164">
        <v>104.52</v>
      </c>
      <c r="S197" s="163">
        <v>44.618999999999993</v>
      </c>
      <c r="T197" s="164">
        <v>205.988</v>
      </c>
      <c r="U197" s="164">
        <v>133.78</v>
      </c>
      <c r="V197" s="164">
        <v>133.14599999999999</v>
      </c>
      <c r="W197" s="164">
        <v>129.61600000000001</v>
      </c>
      <c r="X197" s="168">
        <v>2.6512249710843538E-2</v>
      </c>
      <c r="Y197" s="164">
        <v>125.7</v>
      </c>
      <c r="Z197" s="164">
        <v>78.673000000000002</v>
      </c>
      <c r="AA197" s="172">
        <v>50.957999999999998</v>
      </c>
      <c r="AB197" s="163">
        <v>454.76465000000002</v>
      </c>
      <c r="AC197" s="163">
        <v>256.59965</v>
      </c>
      <c r="AE197" s="169">
        <v>-11.519999999999982</v>
      </c>
      <c r="AF197" s="169">
        <v>-2.5309999999999917</v>
      </c>
      <c r="AG197" s="177">
        <v>-0.62770181500353328</v>
      </c>
      <c r="AI197" s="165">
        <v>0.6031692284547705</v>
      </c>
      <c r="AJ197" s="165">
        <v>0.89162021633470123</v>
      </c>
    </row>
    <row r="198" spans="1:36" s="156" customFormat="1" ht="12">
      <c r="A198" s="160">
        <v>45597</v>
      </c>
      <c r="B198" s="161">
        <v>520.45799999999997</v>
      </c>
      <c r="C198" s="164">
        <v>3.8759999999999999</v>
      </c>
      <c r="D198" s="164">
        <v>471.56299999999999</v>
      </c>
      <c r="E198" s="164">
        <v>432.45299999999997</v>
      </c>
      <c r="F198" s="164">
        <v>39.11</v>
      </c>
      <c r="G198" s="164">
        <v>6.7759999999999998</v>
      </c>
      <c r="H198" s="164">
        <v>38.243000000000002</v>
      </c>
      <c r="I198" s="174">
        <v>1550</v>
      </c>
      <c r="J198" s="164">
        <v>116.33499999999999</v>
      </c>
      <c r="K198" s="164">
        <v>201.88200000000001</v>
      </c>
      <c r="L198" s="164">
        <v>381.78500000000003</v>
      </c>
      <c r="M198" s="164">
        <v>1836.2439999999999</v>
      </c>
      <c r="N198" s="164">
        <v>1251.252</v>
      </c>
      <c r="O198" s="164">
        <v>432.98</v>
      </c>
      <c r="P198" s="164">
        <v>58.716999999999999</v>
      </c>
      <c r="Q198" s="164">
        <v>258.38799999999998</v>
      </c>
      <c r="R198" s="164">
        <v>104.997</v>
      </c>
      <c r="S198" s="163">
        <v>46.411800000000007</v>
      </c>
      <c r="T198" s="164">
        <v>219.85300000000001</v>
      </c>
      <c r="U198" s="164">
        <v>130.87799999999999</v>
      </c>
      <c r="V198" s="164">
        <v>153.39500000000001</v>
      </c>
      <c r="W198" s="164">
        <v>149.017</v>
      </c>
      <c r="X198" s="168">
        <v>2.85406955898172E-2</v>
      </c>
      <c r="Y198" s="164">
        <v>119.71899999999999</v>
      </c>
      <c r="Z198" s="164">
        <v>78.284999999999997</v>
      </c>
      <c r="AA198" s="172">
        <v>58.027999999999999</v>
      </c>
      <c r="AB198" s="163">
        <v>455.88120000000004</v>
      </c>
      <c r="AC198" s="163">
        <v>253.99920000000003</v>
      </c>
      <c r="AE198" s="169">
        <v>19.400999999999982</v>
      </c>
      <c r="AF198" s="169">
        <v>-0.38800000000000523</v>
      </c>
      <c r="AG198" s="177">
        <v>-0.14140620056058253</v>
      </c>
      <c r="AI198" s="165">
        <v>0.59648308706801823</v>
      </c>
      <c r="AJ198" s="165">
        <v>0.8872166637798663</v>
      </c>
    </row>
    <row r="199" spans="1:36" s="156" customFormat="1" ht="12">
      <c r="A199" s="160">
        <v>45627</v>
      </c>
      <c r="B199" s="161">
        <v>520.846</v>
      </c>
      <c r="C199" s="164">
        <v>3.1840000000000002</v>
      </c>
      <c r="D199" s="164">
        <v>473.17899999999997</v>
      </c>
      <c r="E199" s="164">
        <v>435.14299999999997</v>
      </c>
      <c r="F199" s="164">
        <v>38.036000000000001</v>
      </c>
      <c r="G199" s="164">
        <v>7.0259999999999998</v>
      </c>
      <c r="H199" s="164">
        <v>37.457000000000001</v>
      </c>
      <c r="I199" s="174">
        <v>1575</v>
      </c>
      <c r="J199" s="164">
        <v>119.96299999999999</v>
      </c>
      <c r="K199" s="164">
        <v>203.63</v>
      </c>
      <c r="L199" s="164">
        <v>376.226</v>
      </c>
      <c r="M199" s="164">
        <v>1876.2860000000001</v>
      </c>
      <c r="N199" s="164">
        <v>1291.01</v>
      </c>
      <c r="O199" s="164">
        <v>481.524</v>
      </c>
      <c r="P199" s="164">
        <v>62.069000000000003</v>
      </c>
      <c r="Q199" s="164">
        <v>256.98</v>
      </c>
      <c r="R199" s="164">
        <v>103.485</v>
      </c>
      <c r="S199" s="163">
        <v>45.295799999999993</v>
      </c>
      <c r="T199" s="164">
        <v>201.31100000000001</v>
      </c>
      <c r="U199" s="164">
        <v>159.083</v>
      </c>
      <c r="V199" s="164">
        <v>150.66999999999999</v>
      </c>
      <c r="W199" s="164">
        <v>147.274</v>
      </c>
      <c r="X199" s="168">
        <v>2.2539324351231071E-2</v>
      </c>
      <c r="Y199" s="164">
        <v>125.586</v>
      </c>
      <c r="Z199" s="164">
        <v>73.512</v>
      </c>
      <c r="AA199" s="172">
        <v>71.789000000000001</v>
      </c>
      <c r="AB199" s="163">
        <v>496.91681</v>
      </c>
      <c r="AC199" s="163">
        <v>293.28681</v>
      </c>
      <c r="AE199" s="169">
        <v>-1.742999999999995</v>
      </c>
      <c r="AF199" s="169">
        <v>-4.7729999999999961</v>
      </c>
      <c r="AG199" s="177">
        <v>-1.4425883682637493</v>
      </c>
      <c r="AI199" s="165">
        <v>0.67400098358470673</v>
      </c>
      <c r="AJ199" s="165">
        <v>0.95405707253199601</v>
      </c>
    </row>
    <row r="200" spans="1:36">
      <c r="A200" s="160">
        <v>45658</v>
      </c>
      <c r="B200" s="161">
        <v>503.45600000000002</v>
      </c>
      <c r="C200" s="164">
        <v>2.847</v>
      </c>
      <c r="D200" s="164">
        <v>457.38900000000001</v>
      </c>
      <c r="E200" s="164">
        <v>418.45499999999998</v>
      </c>
      <c r="F200" s="164">
        <v>38.933999999999997</v>
      </c>
      <c r="G200" s="164">
        <v>6.4749999999999996</v>
      </c>
      <c r="H200" s="164">
        <v>36.744999999999997</v>
      </c>
      <c r="I200" s="174">
        <v>3750</v>
      </c>
      <c r="J200" s="164">
        <v>123.827</v>
      </c>
      <c r="K200" s="164">
        <v>191.89599999999999</v>
      </c>
      <c r="L200" s="164">
        <v>359.29899999999998</v>
      </c>
      <c r="M200" s="164">
        <v>1853.5889999999999</v>
      </c>
      <c r="N200" s="164">
        <v>1264.3430000000001</v>
      </c>
      <c r="O200" s="164">
        <v>483.32299999999998</v>
      </c>
      <c r="P200" s="164">
        <v>60.25</v>
      </c>
      <c r="Q200" s="164">
        <v>253.83799999999999</v>
      </c>
      <c r="R200" s="164">
        <v>104.688</v>
      </c>
      <c r="S200" s="163">
        <v>45.407400000000003</v>
      </c>
      <c r="T200" s="164">
        <v>204.25</v>
      </c>
      <c r="U200" s="164">
        <v>152.31700000000001</v>
      </c>
      <c r="V200" s="164">
        <v>145.80199999999999</v>
      </c>
      <c r="W200" s="164">
        <v>142.25899999999999</v>
      </c>
      <c r="X200" s="168">
        <v>2.430007818822788E-2</v>
      </c>
      <c r="Y200" s="164">
        <v>140.178</v>
      </c>
      <c r="Z200" s="164">
        <v>63.067</v>
      </c>
      <c r="AA200" s="176">
        <v>70.257021651381336</v>
      </c>
      <c r="AB200" s="163">
        <v>471.57180999999997</v>
      </c>
      <c r="AC200" s="163">
        <v>279.67580999999996</v>
      </c>
      <c r="AE200" s="169">
        <v>-5.0150000000000148</v>
      </c>
      <c r="AF200" s="169">
        <v>-10.445</v>
      </c>
      <c r="AG200" s="177">
        <v>-2.8277998224081218</v>
      </c>
      <c r="AI200" s="165">
        <v>0.66835337133025052</v>
      </c>
      <c r="AJ200" s="165">
        <v>0.93666936137418155</v>
      </c>
    </row>
    <row r="201" spans="1:36" s="156" customFormat="1" ht="12">
      <c r="AB201" s="159"/>
    </row>
    <row r="202" spans="1:36" s="156" customFormat="1" ht="12">
      <c r="AB202" s="159"/>
    </row>
    <row r="203" spans="1:36" s="156" customFormat="1" ht="12">
      <c r="AB203" s="159"/>
    </row>
    <row r="204" spans="1:36" s="156" customFormat="1" ht="12">
      <c r="AB204" s="159"/>
    </row>
    <row r="205" spans="1:36" s="156" customFormat="1" ht="12">
      <c r="AB205" s="159"/>
    </row>
    <row r="206" spans="1:36" s="156" customFormat="1" ht="12">
      <c r="AB206" s="159"/>
    </row>
  </sheetData>
  <mergeCells count="16">
    <mergeCell ref="U4:AA4"/>
    <mergeCell ref="C1:H1"/>
    <mergeCell ref="J1:T1"/>
    <mergeCell ref="U1:AA1"/>
    <mergeCell ref="B2:B3"/>
    <mergeCell ref="C2:C3"/>
    <mergeCell ref="D2:D3"/>
    <mergeCell ref="E2:E3"/>
    <mergeCell ref="F2:F3"/>
    <mergeCell ref="G2:G3"/>
    <mergeCell ref="H2:H3"/>
    <mergeCell ref="I2:I3"/>
    <mergeCell ref="J2:O2"/>
    <mergeCell ref="P2:T2"/>
    <mergeCell ref="C4:H4"/>
    <mergeCell ref="J4:T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15AC-DD28-4E5A-959D-AB903A961D39}">
  <dimension ref="A1"/>
  <sheetViews>
    <sheetView workbookViewId="0">
      <selection activeCell="J39" sqref="J39"/>
    </sheetView>
  </sheetViews>
  <sheetFormatPr defaultColWidth="8.85546875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21BA-AABB-44C8-9C15-E2F84884C6D4}">
  <dimension ref="A1:U74"/>
  <sheetViews>
    <sheetView workbookViewId="0">
      <pane xSplit="1" ySplit="1" topLeftCell="B2" activePane="bottomRight" state="frozen"/>
      <selection activeCell="J39" sqref="J39"/>
      <selection pane="topRight" activeCell="J39" sqref="J39"/>
      <selection pane="bottomLeft" activeCell="J39" sqref="J39"/>
      <selection pane="bottomRight" activeCell="J39" sqref="J39"/>
    </sheetView>
  </sheetViews>
  <sheetFormatPr defaultColWidth="8.85546875" defaultRowHeight="15"/>
  <cols>
    <col min="1" max="1" width="28.7109375" customWidth="1"/>
  </cols>
  <sheetData>
    <row r="1" spans="1:18">
      <c r="B1" s="60" t="str">
        <f>'Ethanol Balance Sheet'!W2</f>
        <v xml:space="preserve">14/15 </v>
      </c>
      <c r="C1" s="60" t="str">
        <f>'Ethanol Balance Sheet'!X2</f>
        <v xml:space="preserve">15/16 </v>
      </c>
      <c r="D1" s="60" t="str">
        <f>'Ethanol Balance Sheet'!Y2</f>
        <v xml:space="preserve">16/17 </v>
      </c>
      <c r="E1" s="60" t="str">
        <f>'Ethanol Balance Sheet'!Z2</f>
        <v xml:space="preserve">17/18 </v>
      </c>
      <c r="F1" s="60" t="str">
        <f>'Ethanol Balance Sheet'!AA2</f>
        <v xml:space="preserve">18/19 </v>
      </c>
      <c r="G1" s="60" t="str">
        <f>'Ethanol Balance Sheet'!AB2</f>
        <v>19/20</v>
      </c>
      <c r="H1" s="60" t="str">
        <f>'Ethanol Balance Sheet'!AC2</f>
        <v>20/21</v>
      </c>
      <c r="I1" s="60" t="str">
        <f>'Ethanol Balance Sheet'!AD2</f>
        <v>21/22</v>
      </c>
      <c r="J1" s="60" t="str">
        <f>'Ethanol Balance Sheet'!AE2</f>
        <v>22/23</v>
      </c>
      <c r="K1" s="60" t="str">
        <f>'Ethanol Balance Sheet'!AF2</f>
        <v>23/24</v>
      </c>
      <c r="L1" s="60" t="str">
        <f>'Ethanol Balance Sheet'!AG2</f>
        <v>24/25</v>
      </c>
      <c r="M1" s="60" t="str">
        <f>'Ethanol Balance Sheet'!AH2</f>
        <v>25/26</v>
      </c>
      <c r="N1" s="60" t="str">
        <f>'Ethanol Balance Sheet'!AI2</f>
        <v>26/27</v>
      </c>
      <c r="O1" s="60" t="str">
        <f>'Ethanol Balance Sheet'!AJ2</f>
        <v>27/28</v>
      </c>
      <c r="P1" s="60" t="str">
        <f>'Ethanol Balance Sheet'!AK2</f>
        <v>28/29</v>
      </c>
      <c r="Q1" s="60" t="str">
        <f>'Ethanol Balance Sheet'!AL2</f>
        <v>29/30</v>
      </c>
      <c r="R1" s="60" t="str">
        <f>'Ethanol Balance Sheet'!AM2</f>
        <v>30/31</v>
      </c>
    </row>
    <row r="2" spans="1:18">
      <c r="A2" t="s">
        <v>243</v>
      </c>
    </row>
    <row r="3" spans="1:18">
      <c r="A3" t="s">
        <v>4</v>
      </c>
    </row>
    <row r="4" spans="1:18">
      <c r="A4" t="s">
        <v>279</v>
      </c>
    </row>
    <row r="5" spans="1:18">
      <c r="A5" t="s">
        <v>280</v>
      </c>
    </row>
    <row r="6" spans="1:18">
      <c r="A6" t="s">
        <v>3</v>
      </c>
    </row>
    <row r="12" spans="1:18">
      <c r="A12" t="s">
        <v>281</v>
      </c>
    </row>
    <row r="13" spans="1:18">
      <c r="B13" s="60" t="str">
        <f>B1</f>
        <v xml:space="preserve">14/15 </v>
      </c>
      <c r="C13" s="60" t="str">
        <f t="shared" ref="C13:R13" si="0">C1</f>
        <v xml:space="preserve">15/16 </v>
      </c>
      <c r="D13" s="60" t="str">
        <f t="shared" si="0"/>
        <v xml:space="preserve">16/17 </v>
      </c>
      <c r="E13" s="60" t="str">
        <f t="shared" si="0"/>
        <v xml:space="preserve">17/18 </v>
      </c>
      <c r="F13" s="60" t="str">
        <f t="shared" si="0"/>
        <v xml:space="preserve">18/19 </v>
      </c>
      <c r="G13" s="60" t="str">
        <f t="shared" si="0"/>
        <v>19/20</v>
      </c>
      <c r="H13" s="60" t="str">
        <f t="shared" si="0"/>
        <v>20/21</v>
      </c>
      <c r="I13" s="60" t="str">
        <f t="shared" si="0"/>
        <v>21/22</v>
      </c>
      <c r="J13" s="60" t="str">
        <f t="shared" si="0"/>
        <v>22/23</v>
      </c>
      <c r="K13" s="60" t="str">
        <f t="shared" si="0"/>
        <v>23/24</v>
      </c>
      <c r="L13" s="60" t="str">
        <f t="shared" si="0"/>
        <v>24/25</v>
      </c>
      <c r="M13" s="60" t="str">
        <f t="shared" si="0"/>
        <v>25/26</v>
      </c>
      <c r="N13" s="60" t="str">
        <f t="shared" si="0"/>
        <v>26/27</v>
      </c>
      <c r="O13" s="60" t="str">
        <f t="shared" si="0"/>
        <v>27/28</v>
      </c>
      <c r="P13" s="60" t="str">
        <f t="shared" si="0"/>
        <v>28/29</v>
      </c>
      <c r="Q13" s="60" t="str">
        <f t="shared" si="0"/>
        <v>29/30</v>
      </c>
      <c r="R13" s="60" t="str">
        <f t="shared" si="0"/>
        <v>30/31</v>
      </c>
    </row>
    <row r="14" spans="1:18">
      <c r="A14" t="s">
        <v>19</v>
      </c>
      <c r="B14" s="183">
        <f>B30+B46</f>
        <v>0</v>
      </c>
      <c r="C14" s="183">
        <f t="shared" ref="C14:R25" si="1">C30+C46</f>
        <v>87.471000000000004</v>
      </c>
      <c r="D14" s="183">
        <f t="shared" si="1"/>
        <v>90.896000000000001</v>
      </c>
      <c r="E14" s="183">
        <f t="shared" si="1"/>
        <v>95.288000000000011</v>
      </c>
      <c r="F14" s="183">
        <f t="shared" si="1"/>
        <v>84.106999999999999</v>
      </c>
      <c r="G14" s="183">
        <f t="shared" si="1"/>
        <v>82.027000000000001</v>
      </c>
      <c r="H14" s="183">
        <f t="shared" si="1"/>
        <v>83.106999999999999</v>
      </c>
      <c r="I14" s="183">
        <f t="shared" si="1"/>
        <v>82.698999999999998</v>
      </c>
      <c r="J14" s="183">
        <f t="shared" si="1"/>
        <v>78.649000000000001</v>
      </c>
      <c r="K14" s="183">
        <f t="shared" si="1"/>
        <v>75.365000000000009</v>
      </c>
      <c r="L14" s="184">
        <f t="shared" si="1"/>
        <v>79.527876135257472</v>
      </c>
      <c r="M14" s="184">
        <f t="shared" si="1"/>
        <v>80.526331532840402</v>
      </c>
      <c r="N14" s="184">
        <f t="shared" si="1"/>
        <v>80.973996930961448</v>
      </c>
      <c r="O14" s="184">
        <f t="shared" si="1"/>
        <v>80.679765069524791</v>
      </c>
      <c r="P14" s="184">
        <f t="shared" si="1"/>
        <v>80.996140975961708</v>
      </c>
      <c r="Q14" s="184">
        <f t="shared" si="1"/>
        <v>82.209577838407938</v>
      </c>
      <c r="R14" s="184">
        <f t="shared" si="1"/>
        <v>82.766729717781516</v>
      </c>
    </row>
    <row r="15" spans="1:18">
      <c r="A15" t="s">
        <v>20</v>
      </c>
      <c r="B15" s="183">
        <f t="shared" ref="B15:Q25" si="2">B31+B47</f>
        <v>0</v>
      </c>
      <c r="C15" s="183">
        <f t="shared" si="2"/>
        <v>87.061000000000007</v>
      </c>
      <c r="D15" s="183">
        <f t="shared" si="2"/>
        <v>89.180999999999997</v>
      </c>
      <c r="E15" s="183">
        <f t="shared" si="2"/>
        <v>87.03</v>
      </c>
      <c r="F15" s="183">
        <f t="shared" si="2"/>
        <v>81.59</v>
      </c>
      <c r="G15" s="183">
        <f t="shared" si="2"/>
        <v>83.616</v>
      </c>
      <c r="H15" s="183">
        <f t="shared" si="2"/>
        <v>81.766000000000005</v>
      </c>
      <c r="I15" s="183">
        <f t="shared" si="2"/>
        <v>78.451999999999998</v>
      </c>
      <c r="J15" s="183">
        <f t="shared" si="2"/>
        <v>74.837999999999994</v>
      </c>
      <c r="K15" s="183">
        <f t="shared" si="2"/>
        <v>74.114000000000004</v>
      </c>
      <c r="L15" s="184">
        <f t="shared" si="2"/>
        <v>77.752878800148835</v>
      </c>
      <c r="M15" s="184">
        <f t="shared" si="2"/>
        <v>78.029311382476124</v>
      </c>
      <c r="N15" s="184">
        <f t="shared" si="2"/>
        <v>78.202310856438032</v>
      </c>
      <c r="O15" s="184">
        <f t="shared" si="2"/>
        <v>78.207717356265903</v>
      </c>
      <c r="P15" s="184">
        <f t="shared" si="2"/>
        <v>78.796461167537899</v>
      </c>
      <c r="Q15" s="184">
        <f t="shared" si="2"/>
        <v>79.814606083814311</v>
      </c>
      <c r="R15" s="184">
        <f t="shared" si="1"/>
        <v>80.24593415163217</v>
      </c>
    </row>
    <row r="16" spans="1:18">
      <c r="A16" t="s">
        <v>21</v>
      </c>
      <c r="B16" s="183">
        <f t="shared" si="2"/>
        <v>0</v>
      </c>
      <c r="C16" s="183">
        <f t="shared" si="1"/>
        <v>91.787999999999997</v>
      </c>
      <c r="D16" s="183">
        <f t="shared" si="1"/>
        <v>92.376000000000005</v>
      </c>
      <c r="E16" s="183">
        <f t="shared" si="1"/>
        <v>89.037000000000006</v>
      </c>
      <c r="F16" s="183">
        <f t="shared" si="1"/>
        <v>84.48</v>
      </c>
      <c r="G16" s="183">
        <f t="shared" si="1"/>
        <v>88.658000000000001</v>
      </c>
      <c r="H16" s="183">
        <f t="shared" si="1"/>
        <v>81.450999999999993</v>
      </c>
      <c r="I16" s="183">
        <f t="shared" si="1"/>
        <v>79.356999999999999</v>
      </c>
      <c r="J16" s="183">
        <f t="shared" si="1"/>
        <v>72.268000000000001</v>
      </c>
      <c r="K16" s="183">
        <f t="shared" si="1"/>
        <v>76.102000000000004</v>
      </c>
      <c r="L16" s="184">
        <f t="shared" si="1"/>
        <v>78.631496924388728</v>
      </c>
      <c r="M16" s="184">
        <f t="shared" si="1"/>
        <v>78.167324967001008</v>
      </c>
      <c r="N16" s="184">
        <f t="shared" si="1"/>
        <v>78.476899330326745</v>
      </c>
      <c r="O16" s="184">
        <f t="shared" si="1"/>
        <v>78.354324936541758</v>
      </c>
      <c r="P16" s="184">
        <f t="shared" si="1"/>
        <v>79.525555100251552</v>
      </c>
      <c r="Q16" s="184">
        <f t="shared" si="1"/>
        <v>80.313658631448959</v>
      </c>
      <c r="R16" s="184">
        <f t="shared" si="1"/>
        <v>80.667953131357024</v>
      </c>
    </row>
    <row r="17" spans="1:21">
      <c r="A17" t="s">
        <v>10</v>
      </c>
      <c r="B17" s="183">
        <f t="shared" si="2"/>
        <v>91.272000000000006</v>
      </c>
      <c r="C17" s="183">
        <f t="shared" si="1"/>
        <v>88.338999999999999</v>
      </c>
      <c r="D17" s="183">
        <f t="shared" si="1"/>
        <v>92.807999999999993</v>
      </c>
      <c r="E17" s="183">
        <f t="shared" si="1"/>
        <v>85.563999999999993</v>
      </c>
      <c r="F17" s="183">
        <f t="shared" si="1"/>
        <v>77.509999999999991</v>
      </c>
      <c r="G17" s="183">
        <f t="shared" si="1"/>
        <v>87.361000000000004</v>
      </c>
      <c r="H17" s="183">
        <f t="shared" si="1"/>
        <v>80.551999999999992</v>
      </c>
      <c r="I17" s="183">
        <f t="shared" si="1"/>
        <v>76.543999999999997</v>
      </c>
      <c r="J17" s="183">
        <f t="shared" si="1"/>
        <v>75.908999999999992</v>
      </c>
      <c r="K17" s="183">
        <f t="shared" si="1"/>
        <v>67.516000000000005</v>
      </c>
      <c r="L17" s="184">
        <f t="shared" si="1"/>
        <v>76.735235902371016</v>
      </c>
      <c r="M17" s="184">
        <f t="shared" si="1"/>
        <v>76.072154310265773</v>
      </c>
      <c r="N17" s="184">
        <f t="shared" si="1"/>
        <v>76.078237192934452</v>
      </c>
      <c r="O17" s="184">
        <f t="shared" si="1"/>
        <v>76.038510894127256</v>
      </c>
      <c r="P17" s="184">
        <f t="shared" si="1"/>
        <v>75.97765454494305</v>
      </c>
      <c r="Q17" s="184">
        <f t="shared" si="1"/>
        <v>77.775575392109005</v>
      </c>
      <c r="R17" s="184">
        <f t="shared" si="1"/>
        <v>77.997926061562879</v>
      </c>
    </row>
    <row r="18" spans="1:21">
      <c r="A18" t="s">
        <v>11</v>
      </c>
      <c r="B18" s="183">
        <f t="shared" si="2"/>
        <v>77.903999999999996</v>
      </c>
      <c r="C18" s="183">
        <f t="shared" si="1"/>
        <v>83.965000000000003</v>
      </c>
      <c r="D18" s="183">
        <f t="shared" si="1"/>
        <v>80.251999999999995</v>
      </c>
      <c r="E18" s="183">
        <f t="shared" si="1"/>
        <v>80.27000000000001</v>
      </c>
      <c r="F18" s="183">
        <f t="shared" si="1"/>
        <v>72.906000000000006</v>
      </c>
      <c r="G18" s="183">
        <f t="shared" si="1"/>
        <v>81.600999999999999</v>
      </c>
      <c r="H18" s="183">
        <f t="shared" si="1"/>
        <v>64.284999999999997</v>
      </c>
      <c r="I18" s="183">
        <f t="shared" si="1"/>
        <v>66.084999999999994</v>
      </c>
      <c r="J18" s="183">
        <f t="shared" si="1"/>
        <v>69.844999999999999</v>
      </c>
      <c r="K18" s="183">
        <f t="shared" si="1"/>
        <v>72.472000000000008</v>
      </c>
      <c r="L18" s="184">
        <f t="shared" si="1"/>
        <v>70.244043313485633</v>
      </c>
      <c r="M18" s="184">
        <f t="shared" si="1"/>
        <v>69.218964876509631</v>
      </c>
      <c r="N18" s="184">
        <f t="shared" si="1"/>
        <v>70.992449619526141</v>
      </c>
      <c r="O18" s="184">
        <f t="shared" si="1"/>
        <v>72.046178090068082</v>
      </c>
      <c r="P18" s="184">
        <f t="shared" si="1"/>
        <v>72.37869131155</v>
      </c>
      <c r="Q18" s="184">
        <f t="shared" si="1"/>
        <v>72.387165217380812</v>
      </c>
      <c r="R18" s="184">
        <f t="shared" si="1"/>
        <v>72.832964193373812</v>
      </c>
    </row>
    <row r="19" spans="1:21">
      <c r="A19" t="s">
        <v>12</v>
      </c>
      <c r="B19" s="183">
        <f t="shared" si="2"/>
        <v>90.44</v>
      </c>
      <c r="C19" s="183">
        <f t="shared" si="1"/>
        <v>91.599000000000004</v>
      </c>
      <c r="D19" s="183">
        <f t="shared" si="1"/>
        <v>91.210999999999999</v>
      </c>
      <c r="E19" s="183">
        <f t="shared" si="1"/>
        <v>87.391999999999996</v>
      </c>
      <c r="F19" s="183">
        <f t="shared" si="1"/>
        <v>81.721999999999994</v>
      </c>
      <c r="G19" s="183">
        <f t="shared" si="1"/>
        <v>83.242000000000004</v>
      </c>
      <c r="H19" s="183">
        <f t="shared" si="1"/>
        <v>77.691000000000003</v>
      </c>
      <c r="I19" s="183">
        <f t="shared" si="1"/>
        <v>76.575000000000003</v>
      </c>
      <c r="J19" s="183">
        <f t="shared" si="1"/>
        <v>77.569999999999993</v>
      </c>
      <c r="K19" s="183">
        <f t="shared" si="1"/>
        <v>76.56</v>
      </c>
      <c r="L19" s="184">
        <f t="shared" si="1"/>
        <v>77.720248127622753</v>
      </c>
      <c r="M19" s="184">
        <f t="shared" si="1"/>
        <v>77.935900759902211</v>
      </c>
      <c r="N19" s="184">
        <f t="shared" si="1"/>
        <v>78.848943928910757</v>
      </c>
      <c r="O19" s="184">
        <f t="shared" si="1"/>
        <v>79.37025419968964</v>
      </c>
      <c r="P19" s="184">
        <f t="shared" si="1"/>
        <v>79.610546522692218</v>
      </c>
      <c r="Q19" s="184">
        <f t="shared" si="1"/>
        <v>80.256602217519628</v>
      </c>
      <c r="R19" s="184">
        <f t="shared" si="1"/>
        <v>80.789051593648367</v>
      </c>
    </row>
    <row r="20" spans="1:21">
      <c r="A20" t="s">
        <v>13</v>
      </c>
      <c r="B20" s="183">
        <f t="shared" si="2"/>
        <v>87.599000000000004</v>
      </c>
      <c r="C20" s="183">
        <f t="shared" si="1"/>
        <v>85.927000000000007</v>
      </c>
      <c r="D20" s="183">
        <f t="shared" si="1"/>
        <v>91.924000000000007</v>
      </c>
      <c r="E20" s="183">
        <f t="shared" si="1"/>
        <v>83.474999999999994</v>
      </c>
      <c r="F20" s="183">
        <f t="shared" si="1"/>
        <v>83.477999999999994</v>
      </c>
      <c r="G20" s="183">
        <f t="shared" si="1"/>
        <v>69.165999999999997</v>
      </c>
      <c r="H20" s="183">
        <f t="shared" si="1"/>
        <v>80.822000000000003</v>
      </c>
      <c r="I20" s="183">
        <f t="shared" si="1"/>
        <v>73.13</v>
      </c>
      <c r="J20" s="183">
        <f t="shared" si="1"/>
        <v>72.766999999999996</v>
      </c>
      <c r="K20" s="183">
        <f t="shared" si="1"/>
        <v>71.561999999999998</v>
      </c>
      <c r="L20" s="184">
        <f t="shared" si="1"/>
        <v>73.07165757456093</v>
      </c>
      <c r="M20" s="184">
        <f t="shared" si="1"/>
        <v>75.007104243384475</v>
      </c>
      <c r="N20" s="184">
        <f t="shared" si="1"/>
        <v>74.597475225161247</v>
      </c>
      <c r="O20" s="184">
        <f t="shared" si="1"/>
        <v>74.95072985654177</v>
      </c>
      <c r="P20" s="184">
        <f t="shared" si="1"/>
        <v>75.245917139028734</v>
      </c>
      <c r="Q20" s="184">
        <f t="shared" si="1"/>
        <v>75.981493072604991</v>
      </c>
      <c r="R20" s="184">
        <f t="shared" si="1"/>
        <v>76.588842070304082</v>
      </c>
    </row>
    <row r="21" spans="1:21">
      <c r="A21" t="s">
        <v>14</v>
      </c>
      <c r="B21" s="183">
        <f t="shared" si="2"/>
        <v>95.346000000000004</v>
      </c>
      <c r="C21" s="183">
        <f t="shared" si="1"/>
        <v>90.765000000000001</v>
      </c>
      <c r="D21" s="183">
        <f t="shared" si="1"/>
        <v>93.412000000000006</v>
      </c>
      <c r="E21" s="183">
        <f t="shared" si="1"/>
        <v>84.915999999999997</v>
      </c>
      <c r="F21" s="183">
        <f t="shared" si="1"/>
        <v>87.87299999999999</v>
      </c>
      <c r="G21" s="183">
        <f t="shared" si="1"/>
        <v>81.935000000000002</v>
      </c>
      <c r="H21" s="183">
        <f t="shared" si="1"/>
        <v>81.155000000000001</v>
      </c>
      <c r="I21" s="183">
        <f t="shared" si="1"/>
        <v>78.888999999999996</v>
      </c>
      <c r="J21" s="183">
        <f t="shared" si="1"/>
        <v>74.106999999999999</v>
      </c>
      <c r="K21" s="183">
        <f t="shared" si="1"/>
        <v>79.121000000000009</v>
      </c>
      <c r="L21" s="184">
        <f t="shared" si="1"/>
        <v>78.4624902078844</v>
      </c>
      <c r="M21" s="184">
        <f t="shared" si="1"/>
        <v>79.118282164301036</v>
      </c>
      <c r="N21" s="184">
        <f t="shared" si="1"/>
        <v>79.528327365301152</v>
      </c>
      <c r="O21" s="184">
        <f t="shared" si="1"/>
        <v>79.715540710678027</v>
      </c>
      <c r="P21" s="184">
        <f t="shared" si="1"/>
        <v>80.703406677931497</v>
      </c>
      <c r="Q21" s="184">
        <f t="shared" si="1"/>
        <v>81.023469775645268</v>
      </c>
      <c r="R21" s="184">
        <f t="shared" si="1"/>
        <v>81.552445565522049</v>
      </c>
    </row>
    <row r="22" spans="1:21">
      <c r="A22" t="s">
        <v>15</v>
      </c>
      <c r="B22" s="183">
        <f t="shared" si="2"/>
        <v>88.418999999999997</v>
      </c>
      <c r="C22" s="183">
        <f t="shared" si="1"/>
        <v>87.787000000000006</v>
      </c>
      <c r="D22" s="183">
        <f t="shared" si="1"/>
        <v>90.043999999999997</v>
      </c>
      <c r="E22" s="183">
        <f t="shared" si="1"/>
        <v>86.584000000000003</v>
      </c>
      <c r="F22" s="183">
        <f t="shared" si="1"/>
        <v>84.224999999999994</v>
      </c>
      <c r="G22" s="183">
        <f t="shared" si="1"/>
        <v>81.266000000000005</v>
      </c>
      <c r="H22" s="183">
        <f t="shared" si="1"/>
        <v>81.176000000000002</v>
      </c>
      <c r="I22" s="183">
        <f t="shared" si="1"/>
        <v>77.89</v>
      </c>
      <c r="J22" s="183">
        <f t="shared" si="1"/>
        <v>73.180000000000007</v>
      </c>
      <c r="K22" s="183">
        <f t="shared" si="1"/>
        <v>77.756</v>
      </c>
      <c r="L22" s="184">
        <f t="shared" si="1"/>
        <v>77.56246423332702</v>
      </c>
      <c r="M22" s="184">
        <f t="shared" si="1"/>
        <v>78.205466348183791</v>
      </c>
      <c r="N22" s="184">
        <f t="shared" si="1"/>
        <v>78.488629839480538</v>
      </c>
      <c r="O22" s="184">
        <f t="shared" si="1"/>
        <v>78.667173443557857</v>
      </c>
      <c r="P22" s="184">
        <f t="shared" si="1"/>
        <v>79.664974373544453</v>
      </c>
      <c r="Q22" s="184">
        <f t="shared" si="1"/>
        <v>80.091930756037613</v>
      </c>
      <c r="R22" s="184">
        <f t="shared" si="1"/>
        <v>80.618888928945751</v>
      </c>
    </row>
    <row r="23" spans="1:21">
      <c r="A23" t="s">
        <v>16</v>
      </c>
      <c r="B23" s="183">
        <f t="shared" si="2"/>
        <v>91.116</v>
      </c>
      <c r="C23" s="183">
        <f t="shared" si="1"/>
        <v>92.481999999999999</v>
      </c>
      <c r="D23" s="183">
        <f t="shared" si="1"/>
        <v>88.015999999999991</v>
      </c>
      <c r="E23" s="183">
        <f t="shared" si="1"/>
        <v>88.49199999999999</v>
      </c>
      <c r="F23" s="183">
        <f t="shared" si="1"/>
        <v>87.682999999999993</v>
      </c>
      <c r="G23" s="183">
        <f t="shared" si="1"/>
        <v>85.68</v>
      </c>
      <c r="H23" s="183">
        <f t="shared" si="1"/>
        <v>81.03</v>
      </c>
      <c r="I23" s="183">
        <f t="shared" si="1"/>
        <v>75.593000000000004</v>
      </c>
      <c r="J23" s="183">
        <f t="shared" si="1"/>
        <v>77.075999999999993</v>
      </c>
      <c r="K23" s="183">
        <f t="shared" si="1"/>
        <v>79.978999999999999</v>
      </c>
      <c r="L23" s="184">
        <f t="shared" si="1"/>
        <v>79.210786310879001</v>
      </c>
      <c r="M23" s="184">
        <f t="shared" si="1"/>
        <v>79.309370396839171</v>
      </c>
      <c r="N23" s="184">
        <f t="shared" si="1"/>
        <v>79.829622082703267</v>
      </c>
      <c r="O23" s="184">
        <f t="shared" si="1"/>
        <v>80.752538505806342</v>
      </c>
      <c r="P23" s="184">
        <f t="shared" si="1"/>
        <v>81.368136727415703</v>
      </c>
      <c r="Q23" s="184">
        <f t="shared" si="1"/>
        <v>81.676266089323576</v>
      </c>
      <c r="R23" s="184">
        <f t="shared" si="1"/>
        <v>82.189691396514419</v>
      </c>
    </row>
    <row r="24" spans="1:21">
      <c r="A24" t="s">
        <v>17</v>
      </c>
      <c r="B24" s="183">
        <f t="shared" si="2"/>
        <v>90.006</v>
      </c>
      <c r="C24" s="183">
        <f t="shared" si="1"/>
        <v>90.621000000000009</v>
      </c>
      <c r="D24" s="183">
        <f t="shared" si="1"/>
        <v>101.434</v>
      </c>
      <c r="E24" s="183">
        <f t="shared" si="1"/>
        <v>87.247</v>
      </c>
      <c r="F24" s="183">
        <f t="shared" si="1"/>
        <v>87.789999999999992</v>
      </c>
      <c r="G24" s="183">
        <f t="shared" si="1"/>
        <v>78.558999999999997</v>
      </c>
      <c r="H24" s="183">
        <f t="shared" si="1"/>
        <v>82.425000000000011</v>
      </c>
      <c r="I24" s="183">
        <f t="shared" si="1"/>
        <v>69.302999999999997</v>
      </c>
      <c r="J24" s="183">
        <f t="shared" si="1"/>
        <v>73.313000000000002</v>
      </c>
      <c r="K24" s="183">
        <f>K40+K56</f>
        <v>81.015999999999991</v>
      </c>
      <c r="L24" s="184">
        <f t="shared" si="1"/>
        <v>76.296069383692895</v>
      </c>
      <c r="M24" s="184">
        <f t="shared" si="1"/>
        <v>77.174752471777765</v>
      </c>
      <c r="N24" s="184">
        <f t="shared" si="1"/>
        <v>76.959347399745695</v>
      </c>
      <c r="O24" s="184">
        <f t="shared" si="1"/>
        <v>78.578982988775735</v>
      </c>
      <c r="P24" s="184">
        <f t="shared" si="1"/>
        <v>79.529430724327227</v>
      </c>
      <c r="Q24" s="184">
        <f t="shared" si="1"/>
        <v>79.252616117826108</v>
      </c>
      <c r="R24" s="184">
        <f t="shared" si="1"/>
        <v>79.86873777480821</v>
      </c>
    </row>
    <row r="25" spans="1:21">
      <c r="A25" t="s">
        <v>18</v>
      </c>
      <c r="B25" s="183">
        <f t="shared" si="2"/>
        <v>85.614000000000004</v>
      </c>
      <c r="C25" s="183">
        <f t="shared" si="1"/>
        <v>87.782999999999987</v>
      </c>
      <c r="D25" s="183">
        <f t="shared" si="1"/>
        <v>88.953000000000003</v>
      </c>
      <c r="E25" s="183">
        <f t="shared" si="1"/>
        <v>79.89500000000001</v>
      </c>
      <c r="F25" s="183">
        <f t="shared" si="1"/>
        <v>79.85499999999999</v>
      </c>
      <c r="G25" s="183">
        <f t="shared" si="1"/>
        <v>78.8</v>
      </c>
      <c r="H25" s="183">
        <f t="shared" si="1"/>
        <v>75.094999999999999</v>
      </c>
      <c r="I25" s="183">
        <f t="shared" si="1"/>
        <v>68.698999999999998</v>
      </c>
      <c r="J25" s="183">
        <f t="shared" si="1"/>
        <v>72.622</v>
      </c>
      <c r="K25" s="184">
        <f t="shared" si="1"/>
        <v>68.436999999999955</v>
      </c>
      <c r="L25" s="184">
        <f t="shared" si="1"/>
        <v>54.784753086381272</v>
      </c>
      <c r="M25" s="184">
        <f t="shared" si="1"/>
        <v>51.235036546518586</v>
      </c>
      <c r="N25" s="184">
        <f t="shared" si="1"/>
        <v>47.023760228510469</v>
      </c>
      <c r="O25" s="184">
        <f t="shared" si="1"/>
        <v>42.638283948422838</v>
      </c>
      <c r="P25" s="184">
        <f t="shared" si="1"/>
        <v>36.203084734816059</v>
      </c>
      <c r="Q25" s="184">
        <f t="shared" si="1"/>
        <v>29.21703880788175</v>
      </c>
      <c r="R25" s="184">
        <f t="shared" si="1"/>
        <v>23.880835414549608</v>
      </c>
    </row>
    <row r="26" spans="1:21">
      <c r="A26" t="s">
        <v>22</v>
      </c>
      <c r="B26" s="183">
        <f>SUM(B14:B25)</f>
        <v>797.71600000000001</v>
      </c>
      <c r="C26" s="183">
        <f t="shared" ref="C26:R26" si="3">SUM(C14:C25)</f>
        <v>1065.588</v>
      </c>
      <c r="D26" s="183">
        <f t="shared" si="3"/>
        <v>1090.5069999999998</v>
      </c>
      <c r="E26" s="183">
        <f t="shared" si="3"/>
        <v>1035.19</v>
      </c>
      <c r="F26" s="183">
        <f t="shared" si="3"/>
        <v>993.21899999999994</v>
      </c>
      <c r="G26" s="183">
        <f t="shared" si="3"/>
        <v>981.91099999999983</v>
      </c>
      <c r="H26" s="183">
        <f t="shared" si="3"/>
        <v>950.55500000000006</v>
      </c>
      <c r="I26" s="183">
        <f t="shared" si="3"/>
        <v>903.21599999999989</v>
      </c>
      <c r="J26" s="183">
        <f t="shared" si="3"/>
        <v>892.14400000000001</v>
      </c>
      <c r="K26" s="184">
        <f t="shared" si="3"/>
        <v>900</v>
      </c>
      <c r="L26" s="184">
        <f t="shared" si="3"/>
        <v>900</v>
      </c>
      <c r="M26" s="184">
        <f t="shared" si="3"/>
        <v>900</v>
      </c>
      <c r="N26" s="184">
        <f t="shared" si="3"/>
        <v>899.99999999999989</v>
      </c>
      <c r="O26" s="184">
        <f t="shared" si="3"/>
        <v>900</v>
      </c>
      <c r="P26" s="184">
        <f t="shared" si="3"/>
        <v>900.00000000000023</v>
      </c>
      <c r="Q26" s="184">
        <f t="shared" si="3"/>
        <v>899.99999999999989</v>
      </c>
      <c r="R26" s="184">
        <f t="shared" si="3"/>
        <v>899.99999999999977</v>
      </c>
    </row>
    <row r="28" spans="1:21">
      <c r="A28" t="s">
        <v>43</v>
      </c>
    </row>
    <row r="29" spans="1:21">
      <c r="B29" s="60" t="str">
        <f>'Ethanol Balance Sheet'!W2</f>
        <v xml:space="preserve">14/15 </v>
      </c>
      <c r="C29" s="60" t="str">
        <f>'Ethanol Balance Sheet'!X2</f>
        <v xml:space="preserve">15/16 </v>
      </c>
      <c r="D29" s="60" t="str">
        <f>'Ethanol Balance Sheet'!Y2</f>
        <v xml:space="preserve">16/17 </v>
      </c>
      <c r="E29" s="60" t="str">
        <f>'Ethanol Balance Sheet'!Z2</f>
        <v xml:space="preserve">17/18 </v>
      </c>
      <c r="F29" s="60" t="str">
        <f>'Ethanol Balance Sheet'!AA2</f>
        <v xml:space="preserve">18/19 </v>
      </c>
      <c r="G29" s="60" t="str">
        <f>'Ethanol Balance Sheet'!AB2</f>
        <v>19/20</v>
      </c>
      <c r="H29" s="60" t="str">
        <f>'Ethanol Balance Sheet'!AC2</f>
        <v>20/21</v>
      </c>
      <c r="I29" s="60" t="str">
        <f>'Ethanol Balance Sheet'!AD2</f>
        <v>21/22</v>
      </c>
      <c r="J29" s="60" t="str">
        <f>'Ethanol Balance Sheet'!AE2</f>
        <v>22/23</v>
      </c>
      <c r="K29" s="60" t="str">
        <f>'Ethanol Balance Sheet'!AF2</f>
        <v>23/24</v>
      </c>
      <c r="L29" s="60" t="str">
        <f>'Ethanol Balance Sheet'!AG2</f>
        <v>24/25</v>
      </c>
      <c r="M29" s="60" t="str">
        <f>'Ethanol Balance Sheet'!AH2</f>
        <v>25/26</v>
      </c>
      <c r="N29" s="60" t="str">
        <f>'Ethanol Balance Sheet'!AI2</f>
        <v>26/27</v>
      </c>
      <c r="O29" s="60" t="str">
        <f>'Ethanol Balance Sheet'!AJ2</f>
        <v>27/28</v>
      </c>
      <c r="P29" s="60" t="str">
        <f>'Ethanol Balance Sheet'!AK2</f>
        <v>28/29</v>
      </c>
      <c r="Q29" s="60" t="str">
        <f>'Ethanol Balance Sheet'!AL2</f>
        <v>29/30</v>
      </c>
      <c r="R29" s="60" t="str">
        <f>'Ethanol Balance Sheet'!AM2</f>
        <v>30/31</v>
      </c>
      <c r="S29" s="60"/>
      <c r="T29" s="60"/>
      <c r="U29" s="60"/>
    </row>
    <row r="30" spans="1:21">
      <c r="A30" t="s">
        <v>19</v>
      </c>
      <c r="B30" s="183"/>
      <c r="C30" s="183">
        <f>'NASS Data'!$F14</f>
        <v>45.085000000000001</v>
      </c>
      <c r="D30" s="183">
        <f>'NASS Data'!$F26</f>
        <v>48.328000000000003</v>
      </c>
      <c r="E30" s="183">
        <f>'NASS Data'!$F38</f>
        <v>51.082000000000001</v>
      </c>
      <c r="F30" s="183">
        <f>'NASS Data'!$F50</f>
        <v>43.238</v>
      </c>
      <c r="G30" s="183">
        <f>'NASS Data'!$F62</f>
        <v>42.45</v>
      </c>
      <c r="H30" s="183">
        <f>'NASS Data'!$F74</f>
        <v>44.820999999999998</v>
      </c>
      <c r="I30" s="183">
        <f>'NASS Data'!$F86</f>
        <v>40.951000000000001</v>
      </c>
      <c r="J30" s="183">
        <f>'NASS Data'!$F98</f>
        <v>34.171999999999997</v>
      </c>
      <c r="K30" s="183">
        <f>'NASS Data'!$F110</f>
        <v>37.036000000000001</v>
      </c>
      <c r="L30" s="184">
        <f t="shared" ref="L30:L40" si="4">$J$42*(SUM(G30:K30)/SUM(G$42:K$42))</f>
        <v>37.607843065945708</v>
      </c>
      <c r="M30" s="184">
        <f t="shared" ref="M30:M40" si="5">$J$42*(SUM(H30:L30)/SUM(H$42:L$42))</f>
        <v>38.534179308378114</v>
      </c>
      <c r="N30" s="184">
        <f t="shared" ref="N30:R40" si="6">$J$42*(SUM(I30:M30)/SUM(I$42:M$42))</f>
        <v>38.449091797531111</v>
      </c>
      <c r="O30" s="184">
        <f t="shared" si="6"/>
        <v>37.972369592881385</v>
      </c>
      <c r="P30" s="184">
        <f t="shared" si="6"/>
        <v>39.082305439830826</v>
      </c>
      <c r="Q30" s="184">
        <f t="shared" si="6"/>
        <v>39.9979135504122</v>
      </c>
      <c r="R30" s="184">
        <f t="shared" si="6"/>
        <v>40.496739186048991</v>
      </c>
    </row>
    <row r="31" spans="1:21">
      <c r="A31" t="s">
        <v>20</v>
      </c>
      <c r="B31" s="183"/>
      <c r="C31" s="183">
        <f>'NASS Data'!F15</f>
        <v>46.125999999999998</v>
      </c>
      <c r="D31" s="183">
        <f>'NASS Data'!$F27</f>
        <v>44.180999999999997</v>
      </c>
      <c r="E31" s="183">
        <f>'NASS Data'!$F39</f>
        <v>46.542000000000002</v>
      </c>
      <c r="F31" s="183">
        <f>'NASS Data'!$F51</f>
        <v>41.341999999999999</v>
      </c>
      <c r="G31" s="183">
        <f>'NASS Data'!$F63</f>
        <v>43.183</v>
      </c>
      <c r="H31" s="183">
        <f>'NASS Data'!$F75</f>
        <v>42.645000000000003</v>
      </c>
      <c r="I31" s="183">
        <f>'NASS Data'!$F87</f>
        <v>37.659999999999997</v>
      </c>
      <c r="J31" s="183">
        <f>'NASS Data'!$F99</f>
        <v>34.677999999999997</v>
      </c>
      <c r="K31" s="183">
        <f>'NASS Data'!$F111</f>
        <v>35.783000000000001</v>
      </c>
      <c r="L31" s="184">
        <f t="shared" si="4"/>
        <v>36.574254399022735</v>
      </c>
      <c r="M31" s="184">
        <f t="shared" si="5"/>
        <v>37.098941233664831</v>
      </c>
      <c r="N31" s="184">
        <f t="shared" si="6"/>
        <v>37.120466092023968</v>
      </c>
      <c r="O31" s="184">
        <f t="shared" si="6"/>
        <v>37.043605057650119</v>
      </c>
      <c r="P31" s="184">
        <f t="shared" si="6"/>
        <v>37.849804276029374</v>
      </c>
      <c r="Q31" s="184">
        <f t="shared" si="6"/>
        <v>38.754284382919153</v>
      </c>
      <c r="R31" s="184">
        <f t="shared" si="6"/>
        <v>39.209272990783212</v>
      </c>
    </row>
    <row r="32" spans="1:21">
      <c r="A32" t="s">
        <v>21</v>
      </c>
      <c r="B32" s="183"/>
      <c r="C32" s="183">
        <f>'NASS Data'!F16</f>
        <v>50.064</v>
      </c>
      <c r="D32" s="183">
        <f>'NASS Data'!$F28</f>
        <v>49.103999999999999</v>
      </c>
      <c r="E32" s="183">
        <f>'NASS Data'!$F40</f>
        <v>47.783999999999999</v>
      </c>
      <c r="F32" s="183">
        <f>'NASS Data'!$F52</f>
        <v>43.615000000000002</v>
      </c>
      <c r="G32" s="183">
        <f>'NASS Data'!$F64</f>
        <v>47.7</v>
      </c>
      <c r="H32" s="183">
        <f>'NASS Data'!$F76</f>
        <v>43.503</v>
      </c>
      <c r="I32" s="183">
        <f>'NASS Data'!$F88</f>
        <v>38.706000000000003</v>
      </c>
      <c r="J32" s="183">
        <f>'NASS Data'!$F100</f>
        <v>33.969000000000001</v>
      </c>
      <c r="K32" s="183">
        <f>'NASS Data'!$F112</f>
        <v>39.1</v>
      </c>
      <c r="L32" s="184">
        <f t="shared" si="4"/>
        <v>38.276913051394104</v>
      </c>
      <c r="M32" s="184">
        <f t="shared" si="5"/>
        <v>38.329628449667744</v>
      </c>
      <c r="N32" s="184">
        <f t="shared" si="6"/>
        <v>38.465532957841198</v>
      </c>
      <c r="O32" s="184">
        <f t="shared" si="6"/>
        <v>38.451003637979063</v>
      </c>
      <c r="P32" s="184">
        <f t="shared" si="6"/>
        <v>39.705561552498786</v>
      </c>
      <c r="Q32" s="184">
        <f t="shared" si="6"/>
        <v>40.328266309623167</v>
      </c>
      <c r="R32" s="184">
        <f t="shared" si="6"/>
        <v>40.756399119765007</v>
      </c>
    </row>
    <row r="33" spans="1:18">
      <c r="A33" t="s">
        <v>10</v>
      </c>
      <c r="B33" s="183">
        <f>'NASS Data'!F5</f>
        <v>47.883000000000003</v>
      </c>
      <c r="C33" s="183">
        <f>'NASS Data'!F17</f>
        <v>47.008000000000003</v>
      </c>
      <c r="D33" s="183">
        <f>'NASS Data'!$F29</f>
        <v>49.372</v>
      </c>
      <c r="E33" s="183">
        <f>'NASS Data'!$F41</f>
        <v>44.655000000000001</v>
      </c>
      <c r="F33" s="183">
        <f>'NASS Data'!$F53</f>
        <v>38.561999999999998</v>
      </c>
      <c r="G33" s="183">
        <f>'NASS Data'!$F65</f>
        <v>46.899000000000001</v>
      </c>
      <c r="H33" s="183">
        <f>'NASS Data'!$F77</f>
        <v>41.27</v>
      </c>
      <c r="I33" s="183">
        <f>'NASS Data'!$F89</f>
        <v>35.707999999999998</v>
      </c>
      <c r="J33" s="183">
        <f>'NASS Data'!$F101</f>
        <v>37.07</v>
      </c>
      <c r="K33" s="183">
        <f>'NASS Data'!$F113</f>
        <v>33.112000000000002</v>
      </c>
      <c r="L33" s="184">
        <f t="shared" si="4"/>
        <v>36.59499783149154</v>
      </c>
      <c r="M33" s="184">
        <f t="shared" si="5"/>
        <v>36.388953819944611</v>
      </c>
      <c r="N33" s="184">
        <f t="shared" si="6"/>
        <v>36.524182930676488</v>
      </c>
      <c r="O33" s="184">
        <f t="shared" si="6"/>
        <v>36.723857554215257</v>
      </c>
      <c r="P33" s="184">
        <f t="shared" si="6"/>
        <v>36.96833208769646</v>
      </c>
      <c r="Q33" s="184">
        <f t="shared" si="6"/>
        <v>38.235281667985568</v>
      </c>
      <c r="R33" s="184">
        <f t="shared" si="6"/>
        <v>38.577621206790646</v>
      </c>
    </row>
    <row r="34" spans="1:18">
      <c r="A34" t="s">
        <v>11</v>
      </c>
      <c r="B34" s="183">
        <f>'NASS Data'!F6</f>
        <v>40.32</v>
      </c>
      <c r="C34" s="183">
        <f>'NASS Data'!F18</f>
        <v>43.406999999999996</v>
      </c>
      <c r="D34" s="183">
        <f>'NASS Data'!$F30</f>
        <v>41.113999999999997</v>
      </c>
      <c r="E34" s="183">
        <f>'NASS Data'!$F42</f>
        <v>40.304000000000002</v>
      </c>
      <c r="F34" s="183">
        <f>'NASS Data'!$F54</f>
        <v>35.621000000000002</v>
      </c>
      <c r="G34" s="183">
        <f>'NASS Data'!$F66</f>
        <v>43.404000000000003</v>
      </c>
      <c r="H34" s="183">
        <f>'NASS Data'!$F78</f>
        <v>30.263000000000002</v>
      </c>
      <c r="I34" s="183">
        <f>'NASS Data'!$F90</f>
        <v>27.620999999999999</v>
      </c>
      <c r="J34" s="183">
        <f>'NASS Data'!$F102</f>
        <v>34.000999999999998</v>
      </c>
      <c r="K34" s="183">
        <f>'NASS Data'!$F114</f>
        <v>33.606999999999999</v>
      </c>
      <c r="L34" s="184">
        <f t="shared" si="4"/>
        <v>31.849843365922705</v>
      </c>
      <c r="M34" s="184">
        <f t="shared" si="5"/>
        <v>31.158363798289539</v>
      </c>
      <c r="N34" s="184">
        <f t="shared" si="6"/>
        <v>32.310376371442111</v>
      </c>
      <c r="O34" s="184">
        <f t="shared" si="6"/>
        <v>33.297836074713111</v>
      </c>
      <c r="P34" s="184">
        <f t="shared" si="6"/>
        <v>33.439253677363723</v>
      </c>
      <c r="Q34" s="184">
        <f t="shared" si="6"/>
        <v>33.822234432699155</v>
      </c>
      <c r="R34" s="184">
        <f t="shared" si="6"/>
        <v>34.233887241268405</v>
      </c>
    </row>
    <row r="35" spans="1:18">
      <c r="A35" t="s">
        <v>12</v>
      </c>
      <c r="B35" s="183">
        <f>'NASS Data'!F7</f>
        <v>46.091999999999999</v>
      </c>
      <c r="C35" s="183">
        <f>'NASS Data'!F19</f>
        <v>47.463000000000001</v>
      </c>
      <c r="D35" s="183">
        <f>'NASS Data'!$F31</f>
        <v>46.65</v>
      </c>
      <c r="E35" s="183">
        <f>'NASS Data'!$F43</f>
        <v>43.996000000000002</v>
      </c>
      <c r="F35" s="183">
        <f>'NASS Data'!$F55</f>
        <v>39.116999999999997</v>
      </c>
      <c r="G35" s="183">
        <f>'NASS Data'!$F67</f>
        <v>40.234000000000002</v>
      </c>
      <c r="H35" s="183">
        <f>'NASS Data'!$F79</f>
        <v>35.531999999999996</v>
      </c>
      <c r="I35" s="183">
        <f>'NASS Data'!$F91</f>
        <v>33.606999999999999</v>
      </c>
      <c r="J35" s="183">
        <f>'NASS Data'!$F103</f>
        <v>37.012999999999998</v>
      </c>
      <c r="K35" s="183">
        <f>'NASS Data'!$F115</f>
        <v>36.488</v>
      </c>
      <c r="L35" s="184">
        <f t="shared" si="4"/>
        <v>34.48576790273156</v>
      </c>
      <c r="M35" s="184">
        <f t="shared" si="5"/>
        <v>35.07616916327553</v>
      </c>
      <c r="N35" s="184">
        <f t="shared" si="6"/>
        <v>36.074146292267812</v>
      </c>
      <c r="O35" s="184">
        <f t="shared" si="6"/>
        <v>36.610828675853988</v>
      </c>
      <c r="P35" s="184">
        <f t="shared" si="6"/>
        <v>36.842781879864646</v>
      </c>
      <c r="Q35" s="184">
        <f t="shared" si="6"/>
        <v>37.377362292554807</v>
      </c>
      <c r="R35" s="184">
        <f t="shared" si="6"/>
        <v>37.98085972866884</v>
      </c>
    </row>
    <row r="36" spans="1:18">
      <c r="A36" t="s">
        <v>13</v>
      </c>
      <c r="B36" s="183">
        <f>'NASS Data'!F8</f>
        <v>42.691000000000003</v>
      </c>
      <c r="C36" s="183">
        <f>'NASS Data'!F20</f>
        <v>42.34</v>
      </c>
      <c r="D36" s="183">
        <f>'NASS Data'!$F32</f>
        <v>47.143999999999998</v>
      </c>
      <c r="E36" s="183">
        <f>'NASS Data'!$F44</f>
        <v>39.591000000000001</v>
      </c>
      <c r="F36" s="183">
        <f>'NASS Data'!$F56</f>
        <v>40.747999999999998</v>
      </c>
      <c r="G36" s="183">
        <f>'NASS Data'!$F68</f>
        <v>31.077999999999999</v>
      </c>
      <c r="H36" s="183">
        <f>'NASS Data'!$F80</f>
        <v>37.305</v>
      </c>
      <c r="I36" s="183">
        <f>'NASS Data'!$F92</f>
        <v>28.995999999999999</v>
      </c>
      <c r="J36" s="183">
        <f>'NASS Data'!$F104</f>
        <v>33.237000000000002</v>
      </c>
      <c r="K36" s="183">
        <f>'NASS Data'!$F116</f>
        <v>32.75</v>
      </c>
      <c r="L36" s="184">
        <f t="shared" si="4"/>
        <v>30.807014442718174</v>
      </c>
      <c r="M36" s="184">
        <f t="shared" si="5"/>
        <v>32.297662751255892</v>
      </c>
      <c r="N36" s="184">
        <f t="shared" si="6"/>
        <v>32.279843921433731</v>
      </c>
      <c r="O36" s="184">
        <f t="shared" si="6"/>
        <v>32.980022907385589</v>
      </c>
      <c r="P36" s="184">
        <f t="shared" si="6"/>
        <v>33.21068019420953</v>
      </c>
      <c r="Q36" s="184">
        <f t="shared" si="6"/>
        <v>33.721961108270143</v>
      </c>
      <c r="R36" s="184">
        <f t="shared" si="6"/>
        <v>34.330332339470822</v>
      </c>
    </row>
    <row r="37" spans="1:18">
      <c r="A37" t="s">
        <v>14</v>
      </c>
      <c r="B37" s="183">
        <f>'NASS Data'!F9</f>
        <v>47.720999999999997</v>
      </c>
      <c r="C37" s="183">
        <f>'NASS Data'!F21</f>
        <v>46.21</v>
      </c>
      <c r="D37" s="183">
        <f>'NASS Data'!$F33</f>
        <v>46.95</v>
      </c>
      <c r="E37" s="183">
        <f>'NASS Data'!$F45</f>
        <v>40.08</v>
      </c>
      <c r="F37" s="183">
        <f>'NASS Data'!$F57</f>
        <v>41.204999999999998</v>
      </c>
      <c r="G37" s="183">
        <f>'NASS Data'!$F69</f>
        <v>44.317</v>
      </c>
      <c r="H37" s="183">
        <f>'NASS Data'!$F81</f>
        <v>36.662999999999997</v>
      </c>
      <c r="I37" s="183">
        <f>'NASS Data'!$F93</f>
        <v>33.872999999999998</v>
      </c>
      <c r="J37" s="183">
        <f>'NASS Data'!$F105</f>
        <v>32.557000000000002</v>
      </c>
      <c r="K37" s="183">
        <f>'NASS Data'!$F117</f>
        <v>35.295999999999999</v>
      </c>
      <c r="L37" s="184">
        <f t="shared" si="4"/>
        <v>34.454087024051923</v>
      </c>
      <c r="M37" s="184">
        <f t="shared" si="5"/>
        <v>34.228070996918468</v>
      </c>
      <c r="N37" s="184">
        <f t="shared" si="6"/>
        <v>34.795556753651994</v>
      </c>
      <c r="O37" s="184">
        <f t="shared" si="6"/>
        <v>35.015415724839961</v>
      </c>
      <c r="P37" s="184">
        <f t="shared" si="6"/>
        <v>35.823303657991644</v>
      </c>
      <c r="Q37" s="184">
        <f t="shared" si="6"/>
        <v>36.381147181916837</v>
      </c>
      <c r="R37" s="184">
        <f t="shared" si="6"/>
        <v>36.783339089814426</v>
      </c>
    </row>
    <row r="38" spans="1:18">
      <c r="A38" t="s">
        <v>15</v>
      </c>
      <c r="B38" s="183">
        <f>'NASS Data'!F10</f>
        <v>45.567999999999998</v>
      </c>
      <c r="C38" s="183">
        <f>'NASS Data'!F22</f>
        <v>44.761000000000003</v>
      </c>
      <c r="D38" s="183">
        <f>'NASS Data'!$F34</f>
        <v>46.043999999999997</v>
      </c>
      <c r="E38" s="183">
        <f>'NASS Data'!$F46</f>
        <v>41.277000000000001</v>
      </c>
      <c r="F38" s="183">
        <f>'NASS Data'!$F58</f>
        <v>40.667999999999999</v>
      </c>
      <c r="G38" s="183">
        <f>'NASS Data'!$F70</f>
        <v>41.551000000000002</v>
      </c>
      <c r="H38" s="183">
        <f>'NASS Data'!$F82</f>
        <v>39.295000000000002</v>
      </c>
      <c r="I38" s="183">
        <f>'NASS Data'!$F94</f>
        <v>36.344999999999999</v>
      </c>
      <c r="J38" s="183">
        <f>'NASS Data'!$F106</f>
        <v>33.789000000000001</v>
      </c>
      <c r="K38" s="183">
        <f>'NASS Data'!$F118</f>
        <v>36.276000000000003</v>
      </c>
      <c r="L38" s="184">
        <f t="shared" si="4"/>
        <v>35.312110821625282</v>
      </c>
      <c r="M38" s="184">
        <f t="shared" si="5"/>
        <v>35.846770776533667</v>
      </c>
      <c r="N38" s="184">
        <f t="shared" si="6"/>
        <v>36.257701327719964</v>
      </c>
      <c r="O38" s="184">
        <f t="shared" si="6"/>
        <v>36.272488665136983</v>
      </c>
      <c r="P38" s="184">
        <f t="shared" si="6"/>
        <v>37.096355732426623</v>
      </c>
      <c r="Q38" s="184">
        <f t="shared" si="6"/>
        <v>37.731274573107385</v>
      </c>
      <c r="R38" s="184">
        <f t="shared" si="6"/>
        <v>38.236172191769832</v>
      </c>
    </row>
    <row r="39" spans="1:18">
      <c r="A39" t="s">
        <v>16</v>
      </c>
      <c r="B39" s="183">
        <f>'NASS Data'!F11</f>
        <v>46.976999999999997</v>
      </c>
      <c r="C39" s="183">
        <f>'NASS Data'!F23</f>
        <v>47.917999999999999</v>
      </c>
      <c r="D39" s="183">
        <f>'NASS Data'!$F35</f>
        <v>42.481000000000002</v>
      </c>
      <c r="E39" s="183">
        <f>'NASS Data'!$F47</f>
        <v>43.238999999999997</v>
      </c>
      <c r="F39" s="183">
        <f>'NASS Data'!$F59</f>
        <v>43.454000000000001</v>
      </c>
      <c r="G39" s="183">
        <f>'NASS Data'!$F71</f>
        <v>44.991</v>
      </c>
      <c r="H39" s="183">
        <f>'NASS Data'!$F83</f>
        <v>37.659999999999997</v>
      </c>
      <c r="I39" s="183">
        <f>'NASS Data'!$F95</f>
        <v>32.112000000000002</v>
      </c>
      <c r="J39" s="183">
        <f>'NASS Data'!$F107</f>
        <v>36.874000000000002</v>
      </c>
      <c r="K39" s="183">
        <f>'NASS Data'!$F119</f>
        <v>37.082000000000001</v>
      </c>
      <c r="L39" s="184">
        <f t="shared" si="4"/>
        <v>35.587998473460395</v>
      </c>
      <c r="M39" s="184">
        <f t="shared" si="5"/>
        <v>35.509899946295484</v>
      </c>
      <c r="N39" s="184">
        <f t="shared" si="6"/>
        <v>36.175416393608039</v>
      </c>
      <c r="O39" s="184">
        <f t="shared" si="6"/>
        <v>37.038424826893802</v>
      </c>
      <c r="P39" s="184">
        <f t="shared" si="6"/>
        <v>37.390848312068236</v>
      </c>
      <c r="Q39" s="184">
        <f t="shared" si="6"/>
        <v>37.922692875060072</v>
      </c>
      <c r="R39" s="184">
        <f t="shared" si="6"/>
        <v>38.409961106881937</v>
      </c>
    </row>
    <row r="40" spans="1:18">
      <c r="A40" t="s">
        <v>17</v>
      </c>
      <c r="B40" s="183">
        <f>'NASS Data'!F12</f>
        <v>47.496000000000002</v>
      </c>
      <c r="C40" s="183">
        <f>'NASS Data'!F24</f>
        <v>46.951000000000001</v>
      </c>
      <c r="D40" s="183">
        <f>'NASS Data'!$F36</f>
        <v>50.273000000000003</v>
      </c>
      <c r="E40" s="183">
        <f>'NASS Data'!$F48</f>
        <v>42.331000000000003</v>
      </c>
      <c r="F40" s="183">
        <f>'NASS Data'!$F60</f>
        <v>43.884</v>
      </c>
      <c r="G40" s="183">
        <f>'NASS Data'!$F72</f>
        <v>39.808999999999997</v>
      </c>
      <c r="H40" s="183">
        <f>'NASS Data'!$F84</f>
        <v>38.706000000000003</v>
      </c>
      <c r="I40" s="183">
        <f>'NASS Data'!$F96</f>
        <v>28.28</v>
      </c>
      <c r="J40" s="183">
        <f>'NASS Data'!$F108</f>
        <v>35.786000000000001</v>
      </c>
      <c r="K40" s="183">
        <f>'NASS Data'!$F120</f>
        <v>38.67</v>
      </c>
      <c r="L40" s="184">
        <f t="shared" si="4"/>
        <v>34.179707985487269</v>
      </c>
      <c r="M40" s="184">
        <f t="shared" si="5"/>
        <v>34.778320574029415</v>
      </c>
      <c r="N40" s="184">
        <f t="shared" si="6"/>
        <v>35.058118017276065</v>
      </c>
      <c r="O40" s="184">
        <f t="shared" si="6"/>
        <v>36.474933381977678</v>
      </c>
      <c r="P40" s="184">
        <f t="shared" si="6"/>
        <v>36.930628242464273</v>
      </c>
      <c r="Q40" s="184">
        <f t="shared" si="6"/>
        <v>37.029241164409193</v>
      </c>
      <c r="R40" s="184">
        <f t="shared" si="6"/>
        <v>37.623960110349039</v>
      </c>
    </row>
    <row r="41" spans="1:18">
      <c r="A41" t="s">
        <v>18</v>
      </c>
      <c r="B41" s="183">
        <f>'NASS Data'!F13</f>
        <v>43.707999999999998</v>
      </c>
      <c r="C41" s="183">
        <f>'NASS Data'!F25</f>
        <v>46.747999999999998</v>
      </c>
      <c r="D41" s="183">
        <f>'NASS Data'!$F37</f>
        <v>45.56</v>
      </c>
      <c r="E41" s="183">
        <f>'NASS Data'!$F49</f>
        <v>38.322000000000003</v>
      </c>
      <c r="F41" s="183">
        <f>'NASS Data'!$F61</f>
        <v>40.171999999999997</v>
      </c>
      <c r="G41" s="183">
        <f>'NASS Data'!$F73</f>
        <v>40.046999999999997</v>
      </c>
      <c r="H41" s="183">
        <f>'NASS Data'!$F85</f>
        <v>35.923999999999999</v>
      </c>
      <c r="I41" s="183">
        <f>'NASS Data'!$F97</f>
        <v>27.978999999999999</v>
      </c>
      <c r="J41" s="183">
        <f>'NASS Data'!$F109</f>
        <v>34.268999999999998</v>
      </c>
      <c r="K41" s="184">
        <f>K42-SUM(K30:K40)</f>
        <v>29.799999999999955</v>
      </c>
      <c r="L41" s="184">
        <f t="shared" ref="L41:R41" si="7">L42-SUM(L30:L40)</f>
        <v>14.269461636148606</v>
      </c>
      <c r="M41" s="184">
        <f t="shared" si="7"/>
        <v>10.753039181746658</v>
      </c>
      <c r="N41" s="184">
        <f t="shared" si="7"/>
        <v>6.4895671445274843</v>
      </c>
      <c r="O41" s="184">
        <f t="shared" si="7"/>
        <v>2.1192139004730848</v>
      </c>
      <c r="P41" s="184">
        <f t="shared" si="7"/>
        <v>-4.3398550524440793</v>
      </c>
      <c r="Q41" s="184">
        <f t="shared" si="7"/>
        <v>-11.301659538957722</v>
      </c>
      <c r="R41" s="184">
        <f t="shared" si="7"/>
        <v>-16.638544311611156</v>
      </c>
    </row>
    <row r="42" spans="1:18">
      <c r="A42" t="s">
        <v>22</v>
      </c>
      <c r="B42" s="183">
        <f>SUM(B30:B41)</f>
        <v>408.45600000000002</v>
      </c>
      <c r="C42" s="183">
        <f t="shared" ref="C42:J42" si="8">SUM(C30:C41)</f>
        <v>554.08100000000013</v>
      </c>
      <c r="D42" s="183">
        <f t="shared" si="8"/>
        <v>557.20100000000002</v>
      </c>
      <c r="E42" s="183">
        <f t="shared" si="8"/>
        <v>519.20299999999997</v>
      </c>
      <c r="F42" s="183">
        <f t="shared" si="8"/>
        <v>491.62599999999998</v>
      </c>
      <c r="G42" s="183">
        <f t="shared" si="8"/>
        <v>505.66300000000001</v>
      </c>
      <c r="H42" s="183">
        <f t="shared" si="8"/>
        <v>463.58699999999999</v>
      </c>
      <c r="I42" s="183">
        <f t="shared" si="8"/>
        <v>401.83800000000002</v>
      </c>
      <c r="J42" s="183">
        <f t="shared" si="8"/>
        <v>417.41500000000002</v>
      </c>
      <c r="K42" s="185">
        <v>425</v>
      </c>
      <c r="L42" s="185">
        <v>400</v>
      </c>
      <c r="M42" s="185">
        <v>400</v>
      </c>
      <c r="N42" s="185">
        <v>400</v>
      </c>
      <c r="O42" s="185">
        <v>400</v>
      </c>
      <c r="P42" s="185">
        <v>400</v>
      </c>
      <c r="Q42" s="185">
        <v>400</v>
      </c>
      <c r="R42" s="185">
        <v>400</v>
      </c>
    </row>
    <row r="44" spans="1:18">
      <c r="A44" t="s">
        <v>44</v>
      </c>
    </row>
    <row r="45" spans="1:18">
      <c r="B45" s="60" t="str">
        <f>B29</f>
        <v xml:space="preserve">14/15 </v>
      </c>
      <c r="C45" s="60" t="str">
        <f t="shared" ref="C45:R45" si="9">C29</f>
        <v xml:space="preserve">15/16 </v>
      </c>
      <c r="D45" s="60" t="str">
        <f t="shared" si="9"/>
        <v xml:space="preserve">16/17 </v>
      </c>
      <c r="E45" s="60" t="str">
        <f t="shared" si="9"/>
        <v xml:space="preserve">17/18 </v>
      </c>
      <c r="F45" s="60" t="str">
        <f t="shared" si="9"/>
        <v xml:space="preserve">18/19 </v>
      </c>
      <c r="G45" s="60" t="str">
        <f t="shared" si="9"/>
        <v>19/20</v>
      </c>
      <c r="H45" s="60" t="str">
        <f t="shared" si="9"/>
        <v>20/21</v>
      </c>
      <c r="I45" s="60" t="str">
        <f t="shared" si="9"/>
        <v>21/22</v>
      </c>
      <c r="J45" s="60" t="str">
        <f t="shared" si="9"/>
        <v>22/23</v>
      </c>
      <c r="K45" s="60" t="str">
        <f t="shared" si="9"/>
        <v>23/24</v>
      </c>
      <c r="L45" s="60" t="str">
        <f t="shared" si="9"/>
        <v>24/25</v>
      </c>
      <c r="M45" s="60" t="str">
        <f t="shared" si="9"/>
        <v>25/26</v>
      </c>
      <c r="N45" s="60" t="str">
        <f t="shared" si="9"/>
        <v>26/27</v>
      </c>
      <c r="O45" s="60" t="str">
        <f t="shared" si="9"/>
        <v>27/28</v>
      </c>
      <c r="P45" s="60" t="str">
        <f t="shared" si="9"/>
        <v>28/29</v>
      </c>
      <c r="Q45" s="60" t="str">
        <f t="shared" si="9"/>
        <v>29/30</v>
      </c>
      <c r="R45" s="60" t="str">
        <f t="shared" si="9"/>
        <v>30/31</v>
      </c>
    </row>
    <row r="46" spans="1:18">
      <c r="A46" t="s">
        <v>19</v>
      </c>
      <c r="B46" s="183"/>
      <c r="C46" s="183">
        <f>'NASS Data'!$H14</f>
        <v>42.386000000000003</v>
      </c>
      <c r="D46" s="183">
        <f>'NASS Data'!$H26</f>
        <v>42.567999999999998</v>
      </c>
      <c r="E46" s="183">
        <f>'NASS Data'!$H38</f>
        <v>44.206000000000003</v>
      </c>
      <c r="F46" s="183">
        <f>'NASS Data'!$H50</f>
        <v>40.869</v>
      </c>
      <c r="G46" s="183">
        <f>'NASS Data'!$H62</f>
        <v>39.576999999999998</v>
      </c>
      <c r="H46" s="183">
        <f>'NASS Data'!$H74</f>
        <v>38.286000000000001</v>
      </c>
      <c r="I46" s="183">
        <f>'NASS Data'!$H86</f>
        <v>41.747999999999998</v>
      </c>
      <c r="J46" s="183">
        <f>'NASS Data'!$H98</f>
        <v>44.476999999999997</v>
      </c>
      <c r="K46" s="183">
        <f>'NASS Data'!$H110</f>
        <v>38.329000000000001</v>
      </c>
      <c r="L46" s="184">
        <f t="shared" ref="L46:L56" si="10">L$58*(SUM(G46:K46)/SUM(G$58:K$58))</f>
        <v>41.920033069311764</v>
      </c>
      <c r="M46" s="184">
        <f t="shared" ref="M46:M56" si="11">M$58*(SUM(H46:L46)/SUM(H$58:L$58))</f>
        <v>41.992152224462288</v>
      </c>
      <c r="N46" s="184">
        <f t="shared" ref="N46:R56" si="12">N$58*(SUM(I46:M46)/SUM(I$58:M$58))</f>
        <v>42.524905133430337</v>
      </c>
      <c r="O46" s="184">
        <f t="shared" si="12"/>
        <v>42.707395476643413</v>
      </c>
      <c r="P46" s="184">
        <f t="shared" si="12"/>
        <v>41.913835536130875</v>
      </c>
      <c r="Q46" s="184">
        <f t="shared" si="12"/>
        <v>42.211664287995731</v>
      </c>
      <c r="R46" s="184">
        <f t="shared" si="12"/>
        <v>42.269990531732525</v>
      </c>
    </row>
    <row r="47" spans="1:18">
      <c r="A47" t="s">
        <v>20</v>
      </c>
      <c r="B47" s="183"/>
      <c r="C47" s="183">
        <f>'NASS Data'!$H15</f>
        <v>40.935000000000002</v>
      </c>
      <c r="D47" s="183">
        <f>'NASS Data'!$H27</f>
        <v>45</v>
      </c>
      <c r="E47" s="183">
        <f>'NASS Data'!$H39</f>
        <v>40.488</v>
      </c>
      <c r="F47" s="183">
        <f>'NASS Data'!$H51</f>
        <v>40.247999999999998</v>
      </c>
      <c r="G47" s="183">
        <f>'NASS Data'!$H63</f>
        <v>40.433</v>
      </c>
      <c r="H47" s="183">
        <f>'NASS Data'!$H75</f>
        <v>39.121000000000002</v>
      </c>
      <c r="I47" s="183">
        <f>'NASS Data'!$H87</f>
        <v>40.792000000000002</v>
      </c>
      <c r="J47" s="183">
        <f>'NASS Data'!$H99</f>
        <v>40.159999999999997</v>
      </c>
      <c r="K47" s="183">
        <f>'NASS Data'!$H111</f>
        <v>38.331000000000003</v>
      </c>
      <c r="L47" s="184">
        <f t="shared" si="10"/>
        <v>41.178624401126108</v>
      </c>
      <c r="M47" s="184">
        <f t="shared" si="11"/>
        <v>40.930370148811285</v>
      </c>
      <c r="N47" s="184">
        <f t="shared" si="12"/>
        <v>41.081844764414072</v>
      </c>
      <c r="O47" s="184">
        <f t="shared" si="12"/>
        <v>41.164112298615777</v>
      </c>
      <c r="P47" s="184">
        <f t="shared" si="12"/>
        <v>40.946656891508532</v>
      </c>
      <c r="Q47" s="184">
        <f t="shared" si="12"/>
        <v>41.060321700895152</v>
      </c>
      <c r="R47" s="184">
        <f t="shared" si="12"/>
        <v>41.036661160848958</v>
      </c>
    </row>
    <row r="48" spans="1:18">
      <c r="A48" t="s">
        <v>21</v>
      </c>
      <c r="B48" s="183"/>
      <c r="C48" s="183">
        <f>'NASS Data'!$H16</f>
        <v>41.723999999999997</v>
      </c>
      <c r="D48" s="183">
        <f>'NASS Data'!$H28</f>
        <v>43.271999999999998</v>
      </c>
      <c r="E48" s="183">
        <f>'NASS Data'!$H40</f>
        <v>41.253</v>
      </c>
      <c r="F48" s="183">
        <f>'NASS Data'!$H52</f>
        <v>40.865000000000002</v>
      </c>
      <c r="G48" s="183">
        <f>'NASS Data'!$H64</f>
        <v>40.957999999999998</v>
      </c>
      <c r="H48" s="183">
        <f>'NASS Data'!$H76</f>
        <v>37.948</v>
      </c>
      <c r="I48" s="183">
        <f>'NASS Data'!$H88</f>
        <v>40.651000000000003</v>
      </c>
      <c r="J48" s="183">
        <f>'NASS Data'!$H100</f>
        <v>38.298999999999999</v>
      </c>
      <c r="K48" s="183">
        <f>'NASS Data'!$H112</f>
        <v>37.002000000000002</v>
      </c>
      <c r="L48" s="184">
        <f t="shared" si="10"/>
        <v>40.354583872994624</v>
      </c>
      <c r="M48" s="184">
        <f t="shared" si="11"/>
        <v>39.837696517333271</v>
      </c>
      <c r="N48" s="184">
        <f t="shared" si="12"/>
        <v>40.011366372485547</v>
      </c>
      <c r="O48" s="184">
        <f t="shared" si="12"/>
        <v>39.903321298562702</v>
      </c>
      <c r="P48" s="184">
        <f t="shared" si="12"/>
        <v>39.819993547752759</v>
      </c>
      <c r="Q48" s="184">
        <f t="shared" si="12"/>
        <v>39.985392321825785</v>
      </c>
      <c r="R48" s="184">
        <f t="shared" si="12"/>
        <v>39.911554011592017</v>
      </c>
    </row>
    <row r="49" spans="1:18">
      <c r="A49" t="s">
        <v>10</v>
      </c>
      <c r="B49" s="183">
        <f>'NASS Data'!$H5</f>
        <v>43.389000000000003</v>
      </c>
      <c r="C49" s="183">
        <f>'NASS Data'!$H17</f>
        <v>41.331000000000003</v>
      </c>
      <c r="D49" s="183">
        <f>'NASS Data'!$H29</f>
        <v>43.436</v>
      </c>
      <c r="E49" s="183">
        <f>'NASS Data'!$H41</f>
        <v>40.908999999999999</v>
      </c>
      <c r="F49" s="183">
        <f>'NASS Data'!$H53</f>
        <v>38.948</v>
      </c>
      <c r="G49" s="183">
        <f>'NASS Data'!$H65</f>
        <v>40.462000000000003</v>
      </c>
      <c r="H49" s="183">
        <f>'NASS Data'!$H77</f>
        <v>39.281999999999996</v>
      </c>
      <c r="I49" s="183">
        <f>'NASS Data'!$H89</f>
        <v>40.835999999999999</v>
      </c>
      <c r="J49" s="183">
        <f>'NASS Data'!$H101</f>
        <v>38.838999999999999</v>
      </c>
      <c r="K49" s="183">
        <f>'NASS Data'!$H113</f>
        <v>34.404000000000003</v>
      </c>
      <c r="L49" s="184">
        <f t="shared" si="10"/>
        <v>40.140238070879484</v>
      </c>
      <c r="M49" s="184">
        <f t="shared" si="11"/>
        <v>39.683200490321155</v>
      </c>
      <c r="N49" s="184">
        <f t="shared" si="12"/>
        <v>39.554054262257964</v>
      </c>
      <c r="O49" s="184">
        <f t="shared" si="12"/>
        <v>39.314653339912006</v>
      </c>
      <c r="P49" s="184">
        <f t="shared" si="12"/>
        <v>39.009322457246597</v>
      </c>
      <c r="Q49" s="184">
        <f t="shared" si="12"/>
        <v>39.540293724123444</v>
      </c>
      <c r="R49" s="184">
        <f t="shared" si="12"/>
        <v>39.420304854772233</v>
      </c>
    </row>
    <row r="50" spans="1:18">
      <c r="A50" t="s">
        <v>11</v>
      </c>
      <c r="B50" s="183">
        <f>'NASS Data'!$H6</f>
        <v>37.584000000000003</v>
      </c>
      <c r="C50" s="183">
        <f>'NASS Data'!$H18</f>
        <v>40.558</v>
      </c>
      <c r="D50" s="183">
        <f>'NASS Data'!$H30</f>
        <v>39.137999999999998</v>
      </c>
      <c r="E50" s="183">
        <f>'NASS Data'!$H42</f>
        <v>39.966000000000001</v>
      </c>
      <c r="F50" s="183">
        <f>'NASS Data'!$H54</f>
        <v>37.284999999999997</v>
      </c>
      <c r="G50" s="183">
        <f>'NASS Data'!$H66</f>
        <v>38.197000000000003</v>
      </c>
      <c r="H50" s="183">
        <f>'NASS Data'!$H78</f>
        <v>34.021999999999998</v>
      </c>
      <c r="I50" s="183">
        <f>'NASS Data'!$H90</f>
        <v>38.463999999999999</v>
      </c>
      <c r="J50" s="183">
        <f>'NASS Data'!$H102</f>
        <v>35.844000000000001</v>
      </c>
      <c r="K50" s="183">
        <f>'NASS Data'!$H114</f>
        <v>38.865000000000002</v>
      </c>
      <c r="L50" s="184">
        <f t="shared" si="10"/>
        <v>38.394199947562932</v>
      </c>
      <c r="M50" s="184">
        <f t="shared" si="11"/>
        <v>38.060601078220095</v>
      </c>
      <c r="N50" s="184">
        <f t="shared" si="12"/>
        <v>38.682073248084031</v>
      </c>
      <c r="O50" s="184">
        <f t="shared" si="12"/>
        <v>38.748342015354972</v>
      </c>
      <c r="P50" s="184">
        <f t="shared" si="12"/>
        <v>38.939437634186277</v>
      </c>
      <c r="Q50" s="184">
        <f t="shared" si="12"/>
        <v>38.564930784681664</v>
      </c>
      <c r="R50" s="184">
        <f t="shared" si="12"/>
        <v>38.599076952105406</v>
      </c>
    </row>
    <row r="51" spans="1:18">
      <c r="A51" t="s">
        <v>12</v>
      </c>
      <c r="B51" s="183">
        <f>'NASS Data'!$H7</f>
        <v>44.347999999999999</v>
      </c>
      <c r="C51" s="183">
        <f>'NASS Data'!$H19</f>
        <v>44.136000000000003</v>
      </c>
      <c r="D51" s="183">
        <f>'NASS Data'!$H31</f>
        <v>44.561</v>
      </c>
      <c r="E51" s="183">
        <f>'NASS Data'!$H43</f>
        <v>43.396000000000001</v>
      </c>
      <c r="F51" s="183">
        <f>'NASS Data'!$H55</f>
        <v>42.604999999999997</v>
      </c>
      <c r="G51" s="183">
        <f>'NASS Data'!$H67</f>
        <v>43.008000000000003</v>
      </c>
      <c r="H51" s="183">
        <f>'NASS Data'!$H79</f>
        <v>42.158999999999999</v>
      </c>
      <c r="I51" s="183">
        <f>'NASS Data'!$H91</f>
        <v>42.968000000000004</v>
      </c>
      <c r="J51" s="183">
        <f>'NASS Data'!$H103</f>
        <v>40.557000000000002</v>
      </c>
      <c r="K51" s="183">
        <f>'NASS Data'!$H115</f>
        <v>40.072000000000003</v>
      </c>
      <c r="L51" s="184">
        <f t="shared" si="10"/>
        <v>43.234480224891193</v>
      </c>
      <c r="M51" s="184">
        <f t="shared" si="11"/>
        <v>42.859731596626688</v>
      </c>
      <c r="N51" s="184">
        <f t="shared" si="12"/>
        <v>42.774797636642937</v>
      </c>
      <c r="O51" s="184">
        <f t="shared" si="12"/>
        <v>42.75942552383566</v>
      </c>
      <c r="P51" s="184">
        <f t="shared" si="12"/>
        <v>42.767764642827572</v>
      </c>
      <c r="Q51" s="184">
        <f t="shared" si="12"/>
        <v>42.879239924964814</v>
      </c>
      <c r="R51" s="184">
        <f t="shared" si="12"/>
        <v>42.808191864979534</v>
      </c>
    </row>
    <row r="52" spans="1:18">
      <c r="A52" t="s">
        <v>13</v>
      </c>
      <c r="B52" s="183">
        <f>'NASS Data'!$H8</f>
        <v>44.908000000000001</v>
      </c>
      <c r="C52" s="183">
        <f>'NASS Data'!$H20</f>
        <v>43.587000000000003</v>
      </c>
      <c r="D52" s="183">
        <f>'NASS Data'!$H32</f>
        <v>44.78</v>
      </c>
      <c r="E52" s="183">
        <f>'NASS Data'!$H44</f>
        <v>43.884</v>
      </c>
      <c r="F52" s="183">
        <f>'NASS Data'!$H56</f>
        <v>42.73</v>
      </c>
      <c r="G52" s="183">
        <f>'NASS Data'!$H68</f>
        <v>38.088000000000001</v>
      </c>
      <c r="H52" s="183">
        <f>'NASS Data'!$H80</f>
        <v>43.517000000000003</v>
      </c>
      <c r="I52" s="183">
        <f>'NASS Data'!$H92</f>
        <v>44.134</v>
      </c>
      <c r="J52" s="183">
        <f>'NASS Data'!$H104</f>
        <v>39.53</v>
      </c>
      <c r="K52" s="183">
        <f>'NASS Data'!$H116</f>
        <v>38.811999999999998</v>
      </c>
      <c r="L52" s="184">
        <f t="shared" si="10"/>
        <v>42.264643131842753</v>
      </c>
      <c r="M52" s="184">
        <f t="shared" si="11"/>
        <v>42.709441492128576</v>
      </c>
      <c r="N52" s="184">
        <f t="shared" si="12"/>
        <v>42.317631303727524</v>
      </c>
      <c r="O52" s="184">
        <f t="shared" si="12"/>
        <v>41.970706949156181</v>
      </c>
      <c r="P52" s="184">
        <f t="shared" si="12"/>
        <v>42.035236944819196</v>
      </c>
      <c r="Q52" s="184">
        <f t="shared" si="12"/>
        <v>42.259531964334847</v>
      </c>
      <c r="R52" s="184">
        <f t="shared" si="12"/>
        <v>42.258509730833261</v>
      </c>
    </row>
    <row r="53" spans="1:18">
      <c r="A53" t="s">
        <v>14</v>
      </c>
      <c r="B53" s="183">
        <f>'NASS Data'!$H9</f>
        <v>47.625</v>
      </c>
      <c r="C53" s="183">
        <f>'NASS Data'!$H21</f>
        <v>44.555</v>
      </c>
      <c r="D53" s="183">
        <f>'NASS Data'!$H33</f>
        <v>46.462000000000003</v>
      </c>
      <c r="E53" s="183">
        <f>'NASS Data'!$H45</f>
        <v>44.835999999999999</v>
      </c>
      <c r="F53" s="183">
        <f>'NASS Data'!$H57</f>
        <v>46.667999999999999</v>
      </c>
      <c r="G53" s="183">
        <f>'NASS Data'!$H69</f>
        <v>37.618000000000002</v>
      </c>
      <c r="H53" s="183">
        <f>'NASS Data'!$H81</f>
        <v>44.491999999999997</v>
      </c>
      <c r="I53" s="183">
        <f>'NASS Data'!$H93</f>
        <v>45.015999999999998</v>
      </c>
      <c r="J53" s="183">
        <f>'NASS Data'!$H105</f>
        <v>41.55</v>
      </c>
      <c r="K53" s="183">
        <f>'NASS Data'!$H117</f>
        <v>43.825000000000003</v>
      </c>
      <c r="L53" s="184">
        <f t="shared" si="10"/>
        <v>44.008403183832478</v>
      </c>
      <c r="M53" s="184">
        <f t="shared" si="11"/>
        <v>44.890211167382567</v>
      </c>
      <c r="N53" s="184">
        <f t="shared" si="12"/>
        <v>44.732770611649158</v>
      </c>
      <c r="O53" s="184">
        <f t="shared" si="12"/>
        <v>44.700124985838066</v>
      </c>
      <c r="P53" s="184">
        <f t="shared" si="12"/>
        <v>44.880103019939853</v>
      </c>
      <c r="Q53" s="184">
        <f t="shared" si="12"/>
        <v>44.64232259372843</v>
      </c>
      <c r="R53" s="184">
        <f t="shared" si="12"/>
        <v>44.769106475707616</v>
      </c>
    </row>
    <row r="54" spans="1:18">
      <c r="A54" t="s">
        <v>15</v>
      </c>
      <c r="B54" s="183">
        <f>'NASS Data'!$H10</f>
        <v>42.850999999999999</v>
      </c>
      <c r="C54" s="183">
        <f>'NASS Data'!$H22</f>
        <v>43.026000000000003</v>
      </c>
      <c r="D54" s="183">
        <f>'NASS Data'!$H34</f>
        <v>44</v>
      </c>
      <c r="E54" s="183">
        <f>'NASS Data'!$H46</f>
        <v>45.307000000000002</v>
      </c>
      <c r="F54" s="183">
        <f>'NASS Data'!$H58</f>
        <v>43.557000000000002</v>
      </c>
      <c r="G54" s="183">
        <f>'NASS Data'!$H70</f>
        <v>39.715000000000003</v>
      </c>
      <c r="H54" s="183">
        <f>'NASS Data'!$H82</f>
        <v>41.881</v>
      </c>
      <c r="I54" s="183">
        <f>'NASS Data'!$H94</f>
        <v>41.545000000000002</v>
      </c>
      <c r="J54" s="183">
        <f>'NASS Data'!$H106</f>
        <v>39.390999999999998</v>
      </c>
      <c r="K54" s="183">
        <f>'NASS Data'!$H118</f>
        <v>41.48</v>
      </c>
      <c r="L54" s="184">
        <f t="shared" si="10"/>
        <v>42.250353411701738</v>
      </c>
      <c r="M54" s="184">
        <f t="shared" si="11"/>
        <v>42.358695571650124</v>
      </c>
      <c r="N54" s="184">
        <f t="shared" si="12"/>
        <v>42.230928511760574</v>
      </c>
      <c r="O54" s="184">
        <f t="shared" si="12"/>
        <v>42.394684778420881</v>
      </c>
      <c r="P54" s="184">
        <f t="shared" si="12"/>
        <v>42.568618641117837</v>
      </c>
      <c r="Q54" s="184">
        <f t="shared" si="12"/>
        <v>42.360656182930235</v>
      </c>
      <c r="R54" s="184">
        <f t="shared" si="12"/>
        <v>42.382716737175926</v>
      </c>
    </row>
    <row r="55" spans="1:18">
      <c r="A55" t="s">
        <v>16</v>
      </c>
      <c r="B55" s="183">
        <f>'NASS Data'!$H11</f>
        <v>44.139000000000003</v>
      </c>
      <c r="C55" s="183">
        <f>'NASS Data'!$H23</f>
        <v>44.564</v>
      </c>
      <c r="D55" s="183">
        <f>'NASS Data'!$H35</f>
        <v>45.534999999999997</v>
      </c>
      <c r="E55" s="183">
        <f>'NASS Data'!$H47</f>
        <v>45.253</v>
      </c>
      <c r="F55" s="183">
        <f>'NASS Data'!$H59</f>
        <v>44.228999999999999</v>
      </c>
      <c r="G55" s="183">
        <f>'NASS Data'!$H71</f>
        <v>40.689</v>
      </c>
      <c r="H55" s="183">
        <f>'NASS Data'!$H83</f>
        <v>43.37</v>
      </c>
      <c r="I55" s="183">
        <f>'NASS Data'!$H95</f>
        <v>43.481000000000002</v>
      </c>
      <c r="J55" s="183">
        <f>'NASS Data'!$H107</f>
        <v>40.201999999999998</v>
      </c>
      <c r="K55" s="183">
        <f>'NASS Data'!$H119</f>
        <v>42.896999999999998</v>
      </c>
      <c r="L55" s="184">
        <f t="shared" si="10"/>
        <v>43.622787837418599</v>
      </c>
      <c r="M55" s="184">
        <f t="shared" si="11"/>
        <v>43.799470450543687</v>
      </c>
      <c r="N55" s="184">
        <f t="shared" si="12"/>
        <v>43.654205689095228</v>
      </c>
      <c r="O55" s="184">
        <f t="shared" si="12"/>
        <v>43.71411367891254</v>
      </c>
      <c r="P55" s="184">
        <f t="shared" si="12"/>
        <v>43.977288415347473</v>
      </c>
      <c r="Q55" s="184">
        <f t="shared" si="12"/>
        <v>43.753573214263497</v>
      </c>
      <c r="R55" s="184">
        <f t="shared" si="12"/>
        <v>43.779730289632482</v>
      </c>
    </row>
    <row r="56" spans="1:18">
      <c r="A56" t="s">
        <v>17</v>
      </c>
      <c r="B56" s="183">
        <f>'NASS Data'!$H12</f>
        <v>42.51</v>
      </c>
      <c r="C56" s="183">
        <f>'NASS Data'!$H24</f>
        <v>43.67</v>
      </c>
      <c r="D56" s="183">
        <f>'NASS Data'!$H36</f>
        <v>51.161000000000001</v>
      </c>
      <c r="E56" s="183">
        <f>'NASS Data'!$H48</f>
        <v>44.915999999999997</v>
      </c>
      <c r="F56" s="183">
        <f>'NASS Data'!$H60</f>
        <v>43.905999999999999</v>
      </c>
      <c r="G56" s="183">
        <f>'NASS Data'!$H72</f>
        <v>38.75</v>
      </c>
      <c r="H56" s="183">
        <f>'NASS Data'!$H84</f>
        <v>43.719000000000001</v>
      </c>
      <c r="I56" s="183">
        <f>'NASS Data'!$H96</f>
        <v>41.023000000000003</v>
      </c>
      <c r="J56" s="183">
        <f>'NASS Data'!$H108</f>
        <v>37.527000000000001</v>
      </c>
      <c r="K56" s="183">
        <f>'NASS Data'!$H120</f>
        <v>42.345999999999997</v>
      </c>
      <c r="L56" s="184">
        <f t="shared" si="10"/>
        <v>42.116361398205619</v>
      </c>
      <c r="M56" s="184">
        <f t="shared" si="11"/>
        <v>42.39643189774835</v>
      </c>
      <c r="N56" s="184">
        <f t="shared" si="12"/>
        <v>41.90122938246963</v>
      </c>
      <c r="O56" s="184">
        <f t="shared" si="12"/>
        <v>42.104049606798057</v>
      </c>
      <c r="P56" s="184">
        <f t="shared" si="12"/>
        <v>42.598802481862954</v>
      </c>
      <c r="Q56" s="184">
        <f t="shared" si="12"/>
        <v>42.223374953416915</v>
      </c>
      <c r="R56" s="184">
        <f t="shared" si="12"/>
        <v>42.244777664459178</v>
      </c>
    </row>
    <row r="57" spans="1:18">
      <c r="A57" t="s">
        <v>18</v>
      </c>
      <c r="B57" s="183">
        <f>'NASS Data'!$H13</f>
        <v>41.905999999999999</v>
      </c>
      <c r="C57" s="183">
        <f>'NASS Data'!$H25</f>
        <v>41.034999999999997</v>
      </c>
      <c r="D57" s="183">
        <f>'NASS Data'!$H37</f>
        <v>43.393000000000001</v>
      </c>
      <c r="E57" s="183">
        <f>'NASS Data'!$H49</f>
        <v>41.573</v>
      </c>
      <c r="F57" s="183">
        <f>'NASS Data'!$H61</f>
        <v>39.683</v>
      </c>
      <c r="G57" s="183">
        <f>'NASS Data'!$H73</f>
        <v>38.753</v>
      </c>
      <c r="H57" s="183">
        <f>'NASS Data'!$H85</f>
        <v>39.170999999999999</v>
      </c>
      <c r="I57" s="183">
        <f>'NASS Data'!$H97</f>
        <v>40.72</v>
      </c>
      <c r="J57" s="183">
        <f>'NASS Data'!$H109</f>
        <v>38.353000000000002</v>
      </c>
      <c r="K57" s="184">
        <f>K58-SUM(K46:K56)</f>
        <v>38.637</v>
      </c>
      <c r="L57" s="184">
        <f t="shared" ref="L57:R57" si="13">L58-SUM(L46:L56)</f>
        <v>40.515291450232667</v>
      </c>
      <c r="M57" s="184">
        <f t="shared" si="13"/>
        <v>40.481997364771928</v>
      </c>
      <c r="N57" s="184">
        <f t="shared" si="13"/>
        <v>40.534193083982984</v>
      </c>
      <c r="O57" s="184">
        <f t="shared" si="13"/>
        <v>40.519070047949754</v>
      </c>
      <c r="P57" s="184">
        <f t="shared" si="13"/>
        <v>40.542939787260138</v>
      </c>
      <c r="Q57" s="184">
        <f t="shared" si="13"/>
        <v>40.518698346839471</v>
      </c>
      <c r="R57" s="184">
        <f t="shared" si="13"/>
        <v>40.519379726160764</v>
      </c>
    </row>
    <row r="58" spans="1:18">
      <c r="A58" t="s">
        <v>22</v>
      </c>
      <c r="B58" s="183">
        <f>SUM(B46:B57)</f>
        <v>389.26000000000005</v>
      </c>
      <c r="C58" s="183">
        <f t="shared" ref="C58:J58" si="14">SUM(C46:C57)</f>
        <v>511.50700000000006</v>
      </c>
      <c r="D58" s="183">
        <f t="shared" si="14"/>
        <v>533.30599999999993</v>
      </c>
      <c r="E58" s="183">
        <f t="shared" si="14"/>
        <v>515.98700000000008</v>
      </c>
      <c r="F58" s="183">
        <f t="shared" si="14"/>
        <v>501.59300000000002</v>
      </c>
      <c r="G58" s="183">
        <f t="shared" si="14"/>
        <v>476.24800000000005</v>
      </c>
      <c r="H58" s="183">
        <f t="shared" si="14"/>
        <v>486.96799999999996</v>
      </c>
      <c r="I58" s="183">
        <f t="shared" si="14"/>
        <v>501.37800000000004</v>
      </c>
      <c r="J58" s="183">
        <f t="shared" si="14"/>
        <v>474.72900000000004</v>
      </c>
      <c r="K58" s="184">
        <f>500-25</f>
        <v>475</v>
      </c>
      <c r="L58" s="184">
        <v>500</v>
      </c>
      <c r="M58" s="184">
        <v>500</v>
      </c>
      <c r="N58" s="184">
        <v>500</v>
      </c>
      <c r="O58" s="184">
        <v>500</v>
      </c>
      <c r="P58" s="184">
        <v>500</v>
      </c>
      <c r="Q58" s="184">
        <v>500</v>
      </c>
      <c r="R58" s="184">
        <v>500</v>
      </c>
    </row>
    <row r="60" spans="1:18">
      <c r="A60" t="s">
        <v>282</v>
      </c>
    </row>
    <row r="61" spans="1:18">
      <c r="B61" s="60" t="str">
        <f>B1</f>
        <v xml:space="preserve">14/15 </v>
      </c>
      <c r="C61" s="60" t="str">
        <f t="shared" ref="C61:R61" si="15">C1</f>
        <v xml:space="preserve">15/16 </v>
      </c>
      <c r="D61" s="60" t="str">
        <f t="shared" si="15"/>
        <v xml:space="preserve">16/17 </v>
      </c>
      <c r="E61" s="60" t="str">
        <f t="shared" si="15"/>
        <v xml:space="preserve">17/18 </v>
      </c>
      <c r="F61" s="60" t="str">
        <f t="shared" si="15"/>
        <v xml:space="preserve">18/19 </v>
      </c>
      <c r="G61" s="60" t="str">
        <f t="shared" si="15"/>
        <v>19/20</v>
      </c>
      <c r="H61" s="60" t="str">
        <f t="shared" si="15"/>
        <v>20/21</v>
      </c>
      <c r="I61" s="60" t="str">
        <f t="shared" si="15"/>
        <v>21/22</v>
      </c>
      <c r="J61" s="60" t="str">
        <f t="shared" si="15"/>
        <v>22/23</v>
      </c>
      <c r="K61" s="60" t="str">
        <f t="shared" si="15"/>
        <v>23/24</v>
      </c>
      <c r="L61" s="60" t="str">
        <f t="shared" si="15"/>
        <v>24/25</v>
      </c>
      <c r="M61" s="60" t="str">
        <f t="shared" si="15"/>
        <v>25/26</v>
      </c>
      <c r="N61" s="60" t="str">
        <f t="shared" si="15"/>
        <v>26/27</v>
      </c>
      <c r="O61" s="60" t="str">
        <f t="shared" si="15"/>
        <v>27/28</v>
      </c>
      <c r="P61" s="60" t="str">
        <f t="shared" si="15"/>
        <v>28/29</v>
      </c>
      <c r="Q61" s="60" t="str">
        <f t="shared" si="15"/>
        <v>29/30</v>
      </c>
      <c r="R61" s="60" t="str">
        <f t="shared" si="15"/>
        <v>30/31</v>
      </c>
    </row>
    <row r="62" spans="1:18">
      <c r="A62" t="str">
        <f>A46</f>
        <v>Oct</v>
      </c>
      <c r="B62" s="183"/>
      <c r="C62" s="183">
        <f>'NASS Data'!$E14</f>
        <v>395.298</v>
      </c>
      <c r="D62" s="183">
        <f>'NASS Data'!$E26</f>
        <v>407.49099999999999</v>
      </c>
      <c r="E62" s="183">
        <f>'NASS Data'!$E38</f>
        <v>419.00900000000001</v>
      </c>
      <c r="F62" s="183">
        <f>'NASS Data'!$E50</f>
        <v>418.64499999999998</v>
      </c>
      <c r="G62" s="183">
        <f>'NASS Data'!$E62</f>
        <v>390.64699999999999</v>
      </c>
      <c r="H62" s="183">
        <f>'NASS Data'!$E74</f>
        <v>389.346</v>
      </c>
      <c r="I62" s="183">
        <f>'NASS Data'!$E86</f>
        <v>427.00099999999998</v>
      </c>
      <c r="J62" s="183">
        <f>'NASS Data'!$E98</f>
        <v>414.44400000000002</v>
      </c>
      <c r="K62" s="183">
        <f>'NASS Data'!$E110</f>
        <v>422.99400000000003</v>
      </c>
      <c r="L62" s="184">
        <f t="shared" ref="L62:R72" si="16">L$74*(SUM(G62:K62)/SUM(G$74:K$74))</f>
        <v>417.8150472566723</v>
      </c>
      <c r="M62" s="184">
        <f t="shared" si="16"/>
        <v>414.40341988813736</v>
      </c>
      <c r="N62" s="184">
        <f t="shared" si="16"/>
        <v>416.65667782932832</v>
      </c>
      <c r="O62" s="184">
        <f t="shared" si="16"/>
        <v>415.45341076840339</v>
      </c>
      <c r="P62" s="184">
        <f t="shared" si="16"/>
        <v>414.89813095702152</v>
      </c>
      <c r="Q62" s="184">
        <f t="shared" si="16"/>
        <v>415.84533733991265</v>
      </c>
      <c r="R62" s="184">
        <f t="shared" si="16"/>
        <v>415.45139535656068</v>
      </c>
    </row>
    <row r="63" spans="1:18">
      <c r="A63" t="str">
        <f t="shared" ref="A63:A74" si="17">A47</f>
        <v>Nov</v>
      </c>
      <c r="B63" s="183"/>
      <c r="C63" s="183">
        <f>'NASS Data'!$E15</f>
        <v>387.77699999999999</v>
      </c>
      <c r="D63" s="183">
        <f>'NASS Data'!$E27</f>
        <v>407.858</v>
      </c>
      <c r="E63" s="183">
        <f>'NASS Data'!$E39</f>
        <v>429.12299999999999</v>
      </c>
      <c r="F63" s="183">
        <f>'NASS Data'!$E51</f>
        <v>413.19099999999997</v>
      </c>
      <c r="G63" s="183">
        <f>'NASS Data'!$E63</f>
        <v>413.47699999999998</v>
      </c>
      <c r="H63" s="183">
        <f>'NASS Data'!$E75</f>
        <v>389.01600000000002</v>
      </c>
      <c r="I63" s="183">
        <f>'NASS Data'!$E87</f>
        <v>429.20699999999999</v>
      </c>
      <c r="J63" s="183">
        <f>'NASS Data'!$E99</f>
        <v>415.85700000000003</v>
      </c>
      <c r="K63" s="183">
        <f>'NASS Data'!$E111</f>
        <v>421.50200000000001</v>
      </c>
      <c r="L63" s="184">
        <f t="shared" si="16"/>
        <v>422.84800074634086</v>
      </c>
      <c r="M63" s="184">
        <f t="shared" si="16"/>
        <v>415.7696855857771</v>
      </c>
      <c r="N63" s="184">
        <f t="shared" si="16"/>
        <v>418.35104432299613</v>
      </c>
      <c r="O63" s="184">
        <f t="shared" si="16"/>
        <v>417.0493777808714</v>
      </c>
      <c r="P63" s="184">
        <f t="shared" si="16"/>
        <v>416.52756253748072</v>
      </c>
      <c r="Q63" s="184">
        <f t="shared" si="16"/>
        <v>418.10913419469324</v>
      </c>
      <c r="R63" s="184">
        <f t="shared" si="16"/>
        <v>417.16136088436366</v>
      </c>
    </row>
    <row r="64" spans="1:18">
      <c r="A64" t="str">
        <f t="shared" si="17"/>
        <v>Dec</v>
      </c>
      <c r="B64" s="183"/>
      <c r="C64" s="183">
        <f>'NASS Data'!$E16</f>
        <v>401.24200000000002</v>
      </c>
      <c r="D64" s="183">
        <f>'NASS Data'!$E28</f>
        <v>424.89299999999997</v>
      </c>
      <c r="E64" s="183">
        <f>'NASS Data'!$E40</f>
        <v>439.92899999999997</v>
      </c>
      <c r="F64" s="183">
        <f>'NASS Data'!$E52</f>
        <v>418.029</v>
      </c>
      <c r="G64" s="183">
        <f>'NASS Data'!$E64</f>
        <v>431.51400000000001</v>
      </c>
      <c r="H64" s="183">
        <f>'NASS Data'!$E76</f>
        <v>388.22800000000001</v>
      </c>
      <c r="I64" s="183">
        <f>'NASS Data'!$E88</f>
        <v>439.17200000000003</v>
      </c>
      <c r="J64" s="183">
        <f>'NASS Data'!$E100</f>
        <v>391.81900000000002</v>
      </c>
      <c r="K64" s="183">
        <f>'NASS Data'!$E112</f>
        <v>444.899</v>
      </c>
      <c r="L64" s="184">
        <f t="shared" si="16"/>
        <v>428.27865300122227</v>
      </c>
      <c r="M64" s="184">
        <f t="shared" si="16"/>
        <v>418.56357838688791</v>
      </c>
      <c r="N64" s="184">
        <f t="shared" si="16"/>
        <v>421.8383657373638</v>
      </c>
      <c r="O64" s="184">
        <f t="shared" si="16"/>
        <v>419.25395059217374</v>
      </c>
      <c r="P64" s="184">
        <f t="shared" si="16"/>
        <v>423.94437321436851</v>
      </c>
      <c r="Q64" s="184">
        <f t="shared" si="16"/>
        <v>422.37578418640328</v>
      </c>
      <c r="R64" s="184">
        <f t="shared" si="16"/>
        <v>421.19521042343945</v>
      </c>
    </row>
    <row r="65" spans="1:18">
      <c r="A65" t="str">
        <f t="shared" si="17"/>
        <v>Jan</v>
      </c>
      <c r="B65" s="183">
        <f>'NASS Data'!$E5</f>
        <v>396.00700000000001</v>
      </c>
      <c r="C65" s="183">
        <f>'NASS Data'!$E17</f>
        <v>397.02800000000002</v>
      </c>
      <c r="D65" s="183">
        <f>'NASS Data'!$E29</f>
        <v>424.26900000000001</v>
      </c>
      <c r="E65" s="183">
        <f>'NASS Data'!$E41</f>
        <v>431.47399999999999</v>
      </c>
      <c r="F65" s="183">
        <f>'NASS Data'!$E53</f>
        <v>405.45400000000001</v>
      </c>
      <c r="G65" s="183">
        <f>'NASS Data'!$E65</f>
        <v>422.56400000000002</v>
      </c>
      <c r="H65" s="183">
        <f>'NASS Data'!$E77</f>
        <v>373.56299999999999</v>
      </c>
      <c r="I65" s="183">
        <f>'NASS Data'!$E89</f>
        <v>427.80399999999997</v>
      </c>
      <c r="J65" s="183">
        <f>'NASS Data'!$E101</f>
        <v>403.89100000000002</v>
      </c>
      <c r="K65" s="183">
        <f>'NASS Data'!$E113</f>
        <v>407.964</v>
      </c>
      <c r="L65" s="184">
        <f t="shared" si="16"/>
        <v>416.04808758348133</v>
      </c>
      <c r="M65" s="184">
        <f t="shared" si="16"/>
        <v>405.93572358955561</v>
      </c>
      <c r="N65" s="184">
        <f t="shared" si="16"/>
        <v>409.69841666309071</v>
      </c>
      <c r="O65" s="184">
        <f t="shared" si="16"/>
        <v>406.93532194911774</v>
      </c>
      <c r="P65" s="184">
        <f t="shared" si="16"/>
        <v>406.80002116632954</v>
      </c>
      <c r="Q65" s="184">
        <f t="shared" si="16"/>
        <v>409.08351419031499</v>
      </c>
      <c r="R65" s="184">
        <f t="shared" si="16"/>
        <v>407.69059951168174</v>
      </c>
    </row>
    <row r="66" spans="1:18">
      <c r="A66" t="str">
        <f t="shared" si="17"/>
        <v>Feb</v>
      </c>
      <c r="B66" s="183">
        <f>'NASS Data'!$E6</f>
        <v>353.76299999999998</v>
      </c>
      <c r="C66" s="183">
        <f>'NASS Data'!$E18</f>
        <v>377.53</v>
      </c>
      <c r="D66" s="183">
        <f>'NASS Data'!$E30</f>
        <v>382.38299999999998</v>
      </c>
      <c r="E66" s="183">
        <f>'NASS Data'!$E42</f>
        <v>393.31799999999998</v>
      </c>
      <c r="F66" s="183">
        <f>'NASS Data'!$E54</f>
        <v>367.27300000000002</v>
      </c>
      <c r="G66" s="183">
        <f>'NASS Data'!$E66</f>
        <v>389.34500000000003</v>
      </c>
      <c r="H66" s="183">
        <f>'NASS Data'!$E78</f>
        <v>300.49</v>
      </c>
      <c r="I66" s="183">
        <f>'NASS Data'!$E90</f>
        <v>378.45400000000001</v>
      </c>
      <c r="J66" s="183">
        <f>'NASS Data'!$E102</f>
        <v>364.75200000000001</v>
      </c>
      <c r="K66" s="183">
        <f>'NASS Data'!$E114</f>
        <v>411.87700000000001</v>
      </c>
      <c r="L66" s="184">
        <f t="shared" si="16"/>
        <v>377.04090982467767</v>
      </c>
      <c r="M66" s="184">
        <f t="shared" si="16"/>
        <v>366.59656991783316</v>
      </c>
      <c r="N66" s="184">
        <f t="shared" si="16"/>
        <v>377.32179891708722</v>
      </c>
      <c r="O66" s="184">
        <f t="shared" si="16"/>
        <v>377.87209676668459</v>
      </c>
      <c r="P66" s="184">
        <f t="shared" si="16"/>
        <v>379.79244347612587</v>
      </c>
      <c r="Q66" s="184">
        <f t="shared" si="16"/>
        <v>375.72476378048168</v>
      </c>
      <c r="R66" s="184">
        <f t="shared" si="16"/>
        <v>375.46153457164246</v>
      </c>
    </row>
    <row r="67" spans="1:18">
      <c r="A67" t="str">
        <f t="shared" si="17"/>
        <v>Mar</v>
      </c>
      <c r="B67" s="183">
        <f>'NASS Data'!$E7</f>
        <v>391.73599999999999</v>
      </c>
      <c r="C67" s="183">
        <f>'NASS Data'!$E19</f>
        <v>390.91800000000001</v>
      </c>
      <c r="D67" s="183">
        <f>'NASS Data'!$E31</f>
        <v>413.733</v>
      </c>
      <c r="E67" s="183">
        <f>'NASS Data'!$E43</f>
        <v>428.916</v>
      </c>
      <c r="F67" s="183">
        <f>'NASS Data'!$E55</f>
        <v>400.93700000000001</v>
      </c>
      <c r="G67" s="183">
        <f>'NASS Data'!$E67</f>
        <v>370.08</v>
      </c>
      <c r="H67" s="183">
        <f>'NASS Data'!$E79</f>
        <v>383.54399999999998</v>
      </c>
      <c r="I67" s="183">
        <f>'NASS Data'!$E91</f>
        <v>419.66699999999997</v>
      </c>
      <c r="J67" s="183">
        <f>'NASS Data'!$E103</f>
        <v>399.12299999999999</v>
      </c>
      <c r="K67" s="183">
        <f>'NASS Data'!$E115</f>
        <v>435.58800000000002</v>
      </c>
      <c r="L67" s="184">
        <f t="shared" si="16"/>
        <v>410.36994652866542</v>
      </c>
      <c r="M67" s="184">
        <f t="shared" si="16"/>
        <v>409.74086127042835</v>
      </c>
      <c r="N67" s="184">
        <f t="shared" si="16"/>
        <v>412.25122767847728</v>
      </c>
      <c r="O67" s="184">
        <f t="shared" si="16"/>
        <v>411.62207359202506</v>
      </c>
      <c r="P67" s="184">
        <f t="shared" si="16"/>
        <v>413.35757086014513</v>
      </c>
      <c r="Q67" s="184">
        <f t="shared" si="16"/>
        <v>411.46833598594822</v>
      </c>
      <c r="R67" s="184">
        <f t="shared" si="16"/>
        <v>411.68801387740479</v>
      </c>
    </row>
    <row r="68" spans="1:18">
      <c r="A68" t="str">
        <f t="shared" si="17"/>
        <v>Apr</v>
      </c>
      <c r="B68" s="183">
        <f>'NASS Data'!$E8</f>
        <v>365.02800000000002</v>
      </c>
      <c r="C68" s="183">
        <f>'NASS Data'!$E20</f>
        <v>358.39100000000002</v>
      </c>
      <c r="D68" s="183">
        <f>'NASS Data'!$E32</f>
        <v>393.64499999999998</v>
      </c>
      <c r="E68" s="183">
        <f>'NASS Data'!$E44</f>
        <v>405.73200000000003</v>
      </c>
      <c r="F68" s="183">
        <f>'NASS Data'!$E56</f>
        <v>399.72899999999998</v>
      </c>
      <c r="G68" s="183">
        <f>'NASS Data'!$E68</f>
        <v>213.905</v>
      </c>
      <c r="H68" s="183">
        <f>'NASS Data'!$E80</f>
        <v>411.55900000000003</v>
      </c>
      <c r="I68" s="183">
        <f>'NASS Data'!$E92</f>
        <v>386.96600000000001</v>
      </c>
      <c r="J68" s="183">
        <f>'NASS Data'!$E104</f>
        <v>380.822</v>
      </c>
      <c r="K68" s="183">
        <f>'NASS Data'!$E116</f>
        <v>389.81700000000001</v>
      </c>
      <c r="L68" s="184">
        <f t="shared" si="16"/>
        <v>364.40099670564126</v>
      </c>
      <c r="M68" s="184">
        <f t="shared" si="16"/>
        <v>386.79085196580638</v>
      </c>
      <c r="N68" s="184">
        <f t="shared" si="16"/>
        <v>379.32421775197236</v>
      </c>
      <c r="O68" s="184">
        <f t="shared" si="16"/>
        <v>378.58236125671891</v>
      </c>
      <c r="P68" s="184">
        <f t="shared" si="16"/>
        <v>377.4483534528145</v>
      </c>
      <c r="Q68" s="184">
        <f t="shared" si="16"/>
        <v>377.30935622659069</v>
      </c>
      <c r="R68" s="184">
        <f t="shared" si="16"/>
        <v>379.89102813078051</v>
      </c>
    </row>
    <row r="69" spans="1:18">
      <c r="A69" t="str">
        <f t="shared" si="17"/>
        <v>May</v>
      </c>
      <c r="B69" s="183">
        <f>'NASS Data'!$E9</f>
        <v>401.26299999999998</v>
      </c>
      <c r="C69" s="183">
        <f>'NASS Data'!$E21</f>
        <v>379.47399999999999</v>
      </c>
      <c r="D69" s="183">
        <f>'NASS Data'!$E33</f>
        <v>405.50299999999999</v>
      </c>
      <c r="E69" s="183">
        <f>'NASS Data'!$E45</f>
        <v>430.32400000000001</v>
      </c>
      <c r="F69" s="183">
        <f>'NASS Data'!$E57</f>
        <v>418.28</v>
      </c>
      <c r="G69" s="183">
        <f>'NASS Data'!$E69</f>
        <v>255.61699999999999</v>
      </c>
      <c r="H69" s="183">
        <f>'NASS Data'!$E81</f>
        <v>402.74299999999999</v>
      </c>
      <c r="I69" s="183">
        <f>'NASS Data'!$E93</f>
        <v>412.72699999999998</v>
      </c>
      <c r="J69" s="183">
        <f>'NASS Data'!$E105</f>
        <v>406.45400000000001</v>
      </c>
      <c r="K69" s="183">
        <f>'NASS Data'!$E117</f>
        <v>420.10300000000001</v>
      </c>
      <c r="L69" s="184">
        <f t="shared" si="16"/>
        <v>387.81638006856707</v>
      </c>
      <c r="M69" s="184">
        <f t="shared" si="16"/>
        <v>406.05040516949202</v>
      </c>
      <c r="N69" s="184">
        <f t="shared" si="16"/>
        <v>404.0363602438984</v>
      </c>
      <c r="O69" s="184">
        <f t="shared" si="16"/>
        <v>403.136448826623</v>
      </c>
      <c r="P69" s="184">
        <f t="shared" si="16"/>
        <v>401.74350747527109</v>
      </c>
      <c r="Q69" s="184">
        <f t="shared" si="16"/>
        <v>400.55662035677034</v>
      </c>
      <c r="R69" s="184">
        <f t="shared" si="16"/>
        <v>403.10466841441098</v>
      </c>
    </row>
    <row r="70" spans="1:18">
      <c r="A70" t="str">
        <f t="shared" si="17"/>
        <v>Jun</v>
      </c>
      <c r="B70" s="183">
        <f>'NASS Data'!$E10</f>
        <v>395.70400000000001</v>
      </c>
      <c r="C70" s="183">
        <f>'NASS Data'!$E22</f>
        <v>382.79700000000003</v>
      </c>
      <c r="D70" s="183">
        <f>'NASS Data'!$E34</f>
        <v>388.298</v>
      </c>
      <c r="E70" s="183">
        <f>'NASS Data'!$E46</f>
        <v>421.46300000000002</v>
      </c>
      <c r="F70" s="183">
        <f>'NASS Data'!$E58</f>
        <v>415.76299999999998</v>
      </c>
      <c r="G70" s="183">
        <f>'NASS Data'!$E70</f>
        <v>337.66500000000002</v>
      </c>
      <c r="H70" s="183">
        <f>'NASS Data'!$E82</f>
        <v>411.04199999999997</v>
      </c>
      <c r="I70" s="183">
        <f>'NASS Data'!$E94</f>
        <v>407.83100000000002</v>
      </c>
      <c r="J70" s="183">
        <f>'NASS Data'!$E106</f>
        <v>408.28300000000002</v>
      </c>
      <c r="K70" s="183">
        <f>'NASS Data'!$E118</f>
        <v>409.86</v>
      </c>
      <c r="L70" s="184">
        <f t="shared" si="16"/>
        <v>403.56022373542038</v>
      </c>
      <c r="M70" s="184">
        <f t="shared" si="16"/>
        <v>408.19740604765803</v>
      </c>
      <c r="N70" s="184">
        <f t="shared" si="16"/>
        <v>404.94668512990836</v>
      </c>
      <c r="O70" s="184">
        <f t="shared" si="16"/>
        <v>405.20487512147042</v>
      </c>
      <c r="P70" s="184">
        <f t="shared" si="16"/>
        <v>403.85576113389828</v>
      </c>
      <c r="Q70" s="184">
        <f t="shared" si="16"/>
        <v>405.15299023367112</v>
      </c>
      <c r="R70" s="184">
        <f t="shared" si="16"/>
        <v>405.47154353332121</v>
      </c>
    </row>
    <row r="71" spans="1:18">
      <c r="A71" t="str">
        <f t="shared" si="17"/>
        <v>Jul</v>
      </c>
      <c r="B71" s="183">
        <f>'NASS Data'!$E11</f>
        <v>401.423</v>
      </c>
      <c r="C71" s="183">
        <f>'NASS Data'!$E23</f>
        <v>408.50400000000002</v>
      </c>
      <c r="D71" s="183">
        <f>'NASS Data'!$E35</f>
        <v>412.30500000000001</v>
      </c>
      <c r="E71" s="183">
        <f>'NASS Data'!$E47</f>
        <v>438.08100000000002</v>
      </c>
      <c r="F71" s="183">
        <f>'NASS Data'!$E59</f>
        <v>407.32799999999997</v>
      </c>
      <c r="G71" s="183">
        <f>'NASS Data'!$E71</f>
        <v>379.06299999999999</v>
      </c>
      <c r="H71" s="183">
        <f>'NASS Data'!$E83</f>
        <v>429.39100000000002</v>
      </c>
      <c r="I71" s="183">
        <f>'NASS Data'!$E95</f>
        <v>413.62900000000002</v>
      </c>
      <c r="J71" s="183">
        <f>'NASS Data'!$E107</f>
        <v>418.36700000000002</v>
      </c>
      <c r="K71" s="183">
        <f>'NASS Data'!$E119</f>
        <v>446.78800000000001</v>
      </c>
      <c r="L71" s="184">
        <f t="shared" si="16"/>
        <v>426.56319388755526</v>
      </c>
      <c r="M71" s="184">
        <f t="shared" si="16"/>
        <v>427.03359139440153</v>
      </c>
      <c r="N71" s="184">
        <f t="shared" si="16"/>
        <v>423.75576735124878</v>
      </c>
      <c r="O71" s="184">
        <f t="shared" si="16"/>
        <v>426.64356138616176</v>
      </c>
      <c r="P71" s="184">
        <f t="shared" si="16"/>
        <v>427.51241610630871</v>
      </c>
      <c r="Q71" s="184">
        <f t="shared" si="16"/>
        <v>426.30170602513516</v>
      </c>
      <c r="R71" s="184">
        <f t="shared" si="16"/>
        <v>426.24940845265121</v>
      </c>
    </row>
    <row r="72" spans="1:18">
      <c r="A72" t="str">
        <f t="shared" si="17"/>
        <v>Aug</v>
      </c>
      <c r="B72" s="183">
        <f>'NASS Data'!$E12</f>
        <v>398.22199999999998</v>
      </c>
      <c r="C72" s="183">
        <f>'NASS Data'!$E24</f>
        <v>411.40600000000001</v>
      </c>
      <c r="D72" s="183">
        <f>'NASS Data'!$E36</f>
        <v>431.26799999999997</v>
      </c>
      <c r="E72" s="183">
        <f>'NASS Data'!$E48</f>
        <v>441.04300000000001</v>
      </c>
      <c r="F72" s="183">
        <f>'NASS Data'!$E60</f>
        <v>410.74900000000002</v>
      </c>
      <c r="G72" s="183">
        <f>'NASS Data'!$E72</f>
        <v>371.3</v>
      </c>
      <c r="H72" s="183">
        <f>'NASS Data'!$E84</f>
        <v>439.31200000000001</v>
      </c>
      <c r="I72" s="183">
        <f>'NASS Data'!$E96</f>
        <v>402.322</v>
      </c>
      <c r="J72" s="183">
        <f>'NASS Data'!$E108</f>
        <v>405.91</v>
      </c>
      <c r="K72" s="183">
        <f>'NASS Data'!$E120</f>
        <v>434.02699999999999</v>
      </c>
      <c r="L72" s="184">
        <f t="shared" si="16"/>
        <v>419.53970289882585</v>
      </c>
      <c r="M72" s="184">
        <f t="shared" si="16"/>
        <v>420.30673922694729</v>
      </c>
      <c r="N72" s="184">
        <f t="shared" si="16"/>
        <v>413.76483760500321</v>
      </c>
      <c r="O72" s="184">
        <f t="shared" si="16"/>
        <v>416.89416352369113</v>
      </c>
      <c r="P72" s="184">
        <f t="shared" si="16"/>
        <v>418.31894876164625</v>
      </c>
      <c r="Q72" s="184">
        <f t="shared" si="16"/>
        <v>417.76487840322278</v>
      </c>
      <c r="R72" s="184">
        <f t="shared" si="16"/>
        <v>417.40991350410218</v>
      </c>
    </row>
    <row r="73" spans="1:18">
      <c r="A73" t="str">
        <f t="shared" si="17"/>
        <v>Sep</v>
      </c>
      <c r="B73" s="183">
        <f>'NASS Data'!$E13</f>
        <v>382.20800000000003</v>
      </c>
      <c r="C73" s="183">
        <f>'NASS Data'!$E25</f>
        <v>388.47199999999998</v>
      </c>
      <c r="D73" s="183">
        <f>'NASS Data'!$E37</f>
        <v>399.97399999999999</v>
      </c>
      <c r="E73" s="183">
        <f>'NASS Data'!$E49</f>
        <v>410.96600000000001</v>
      </c>
      <c r="F73" s="183">
        <f>'NASS Data'!$E61</f>
        <v>365.51299999999998</v>
      </c>
      <c r="G73" s="183">
        <f>'NASS Data'!$E73</f>
        <v>361.48500000000001</v>
      </c>
      <c r="H73" s="183">
        <f>'NASS Data'!$E85</f>
        <v>371.20699999999999</v>
      </c>
      <c r="I73" s="183">
        <f>'NASS Data'!$E97</f>
        <v>355.29399999999998</v>
      </c>
      <c r="J73" s="183">
        <f>'NASS Data'!$E109</f>
        <v>395.88200000000001</v>
      </c>
      <c r="K73" s="184">
        <f>K74-SUM(K62:K72)</f>
        <v>354.58100000000013</v>
      </c>
      <c r="L73" s="184">
        <f t="shared" ref="L73:R73" si="18">L74-SUM(L62:L72)</f>
        <v>375.71885776293038</v>
      </c>
      <c r="M73" s="184">
        <f t="shared" si="18"/>
        <v>370.61116755707553</v>
      </c>
      <c r="N73" s="184">
        <f t="shared" si="18"/>
        <v>368.05460076962572</v>
      </c>
      <c r="O73" s="184">
        <f t="shared" si="18"/>
        <v>371.35235843605915</v>
      </c>
      <c r="P73" s="184">
        <f t="shared" si="18"/>
        <v>365.80091085859021</v>
      </c>
      <c r="Q73" s="184">
        <f t="shared" si="18"/>
        <v>370.3075790768562</v>
      </c>
      <c r="R73" s="184">
        <f t="shared" si="18"/>
        <v>369.22532333964136</v>
      </c>
    </row>
    <row r="74" spans="1:18">
      <c r="A74" t="str">
        <f t="shared" si="17"/>
        <v xml:space="preserve">  Total</v>
      </c>
      <c r="B74" s="183">
        <f>SUM(B62:B73)</f>
        <v>3485.3539999999998</v>
      </c>
      <c r="C74" s="183">
        <f t="shared" ref="C74:J74" si="19">SUM(C62:C73)</f>
        <v>4678.8370000000004</v>
      </c>
      <c r="D74" s="183">
        <f t="shared" si="19"/>
        <v>4891.62</v>
      </c>
      <c r="E74" s="183">
        <f t="shared" si="19"/>
        <v>5089.3780000000006</v>
      </c>
      <c r="F74" s="183">
        <f t="shared" si="19"/>
        <v>4840.8909999999996</v>
      </c>
      <c r="G74" s="183">
        <f t="shared" si="19"/>
        <v>4336.6620000000003</v>
      </c>
      <c r="H74" s="183">
        <f t="shared" si="19"/>
        <v>4689.4410000000007</v>
      </c>
      <c r="I74" s="183">
        <f t="shared" si="19"/>
        <v>4900.0740000000005</v>
      </c>
      <c r="J74" s="183">
        <f t="shared" si="19"/>
        <v>4805.6040000000003</v>
      </c>
      <c r="K74" s="184">
        <f>4850+150</f>
        <v>5000</v>
      </c>
      <c r="L74" s="184">
        <v>4850</v>
      </c>
      <c r="M74" s="184">
        <v>4850</v>
      </c>
      <c r="N74" s="184">
        <v>4850</v>
      </c>
      <c r="O74" s="184">
        <v>4850</v>
      </c>
      <c r="P74" s="184">
        <v>4850</v>
      </c>
      <c r="Q74" s="184">
        <v>4850</v>
      </c>
      <c r="R74" s="184">
        <v>4850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90C2-DA5F-4CD4-8DDA-936D7717B0CA}">
  <dimension ref="A1:V548"/>
  <sheetViews>
    <sheetView workbookViewId="0">
      <pane xSplit="1" ySplit="4" topLeftCell="B527" activePane="bottomRight" state="frozen"/>
      <selection activeCell="J39" sqref="J39"/>
      <selection pane="topRight" activeCell="J39" sqref="J39"/>
      <selection pane="bottomLeft" activeCell="J39" sqref="J39"/>
      <selection pane="bottomRight" activeCell="J39" sqref="J39"/>
    </sheetView>
  </sheetViews>
  <sheetFormatPr defaultColWidth="8.85546875" defaultRowHeight="15"/>
  <cols>
    <col min="1" max="1" width="15.140625" customWidth="1"/>
    <col min="2" max="22" width="14.28515625" customWidth="1"/>
  </cols>
  <sheetData>
    <row r="1" spans="1:22" ht="22.5">
      <c r="A1" s="186" t="s">
        <v>283</v>
      </c>
    </row>
    <row r="2" spans="1:22" s="188" customFormat="1" ht="102">
      <c r="A2" s="187" t="s">
        <v>284</v>
      </c>
      <c r="B2" s="188" t="s">
        <v>285</v>
      </c>
      <c r="C2" s="188" t="s">
        <v>286</v>
      </c>
      <c r="D2" s="188" t="s">
        <v>287</v>
      </c>
      <c r="E2" s="188" t="s">
        <v>288</v>
      </c>
      <c r="F2" s="188" t="s">
        <v>289</v>
      </c>
      <c r="G2" s="188" t="s">
        <v>290</v>
      </c>
      <c r="H2" s="188" t="s">
        <v>291</v>
      </c>
      <c r="I2" s="188" t="s">
        <v>292</v>
      </c>
      <c r="J2" s="188" t="s">
        <v>293</v>
      </c>
      <c r="K2" s="188" t="s">
        <v>294</v>
      </c>
      <c r="L2" s="188" t="s">
        <v>295</v>
      </c>
      <c r="M2" s="188" t="s">
        <v>296</v>
      </c>
      <c r="N2" s="188" t="s">
        <v>201</v>
      </c>
      <c r="O2" s="188" t="s">
        <v>297</v>
      </c>
      <c r="P2" s="188" t="s">
        <v>298</v>
      </c>
      <c r="Q2" s="188" t="s">
        <v>299</v>
      </c>
      <c r="R2" s="188" t="s">
        <v>300</v>
      </c>
      <c r="S2" s="188" t="s">
        <v>301</v>
      </c>
      <c r="T2" s="188" t="s">
        <v>302</v>
      </c>
      <c r="U2" s="188" t="s">
        <v>303</v>
      </c>
      <c r="V2" s="188" t="s">
        <v>304</v>
      </c>
    </row>
    <row r="3" spans="1:22" s="189" customFormat="1" ht="14.25">
      <c r="A3" s="187" t="s">
        <v>305</v>
      </c>
      <c r="B3" s="189" t="s">
        <v>124</v>
      </c>
      <c r="C3" s="189" t="s">
        <v>306</v>
      </c>
      <c r="D3" s="189" t="s">
        <v>307</v>
      </c>
      <c r="E3" s="189" t="s">
        <v>308</v>
      </c>
      <c r="F3" s="189" t="s">
        <v>309</v>
      </c>
      <c r="G3" s="189" t="s">
        <v>310</v>
      </c>
      <c r="I3" s="189" t="s">
        <v>311</v>
      </c>
      <c r="J3" s="189" t="s">
        <v>312</v>
      </c>
      <c r="L3" s="189" t="s">
        <v>313</v>
      </c>
      <c r="M3" s="189" t="s">
        <v>314</v>
      </c>
      <c r="R3" s="189" t="s">
        <v>315</v>
      </c>
      <c r="S3" s="189" t="s">
        <v>316</v>
      </c>
    </row>
    <row r="4" spans="1:22" s="188" customFormat="1" ht="38.25">
      <c r="A4" s="187" t="s">
        <v>317</v>
      </c>
      <c r="B4" s="188" t="s">
        <v>318</v>
      </c>
      <c r="C4" s="188" t="s">
        <v>319</v>
      </c>
      <c r="D4" s="188" t="s">
        <v>320</v>
      </c>
      <c r="E4" s="188" t="s">
        <v>321</v>
      </c>
      <c r="F4" s="188" t="s">
        <v>322</v>
      </c>
      <c r="G4" s="188" t="s">
        <v>323</v>
      </c>
      <c r="I4" s="188" t="s">
        <v>324</v>
      </c>
      <c r="J4" s="188" t="s">
        <v>325</v>
      </c>
      <c r="L4" s="188" t="s">
        <v>326</v>
      </c>
      <c r="M4" s="188" t="s">
        <v>327</v>
      </c>
      <c r="N4"/>
      <c r="O4"/>
      <c r="P4"/>
      <c r="Q4"/>
      <c r="R4" s="188" t="s">
        <v>328</v>
      </c>
      <c r="S4" s="188" t="s">
        <v>329</v>
      </c>
    </row>
    <row r="5" spans="1:22" s="191" customFormat="1">
      <c r="A5" s="190">
        <v>40333</v>
      </c>
      <c r="B5" s="191">
        <v>839</v>
      </c>
      <c r="C5" s="191">
        <v>18309</v>
      </c>
      <c r="D5" s="191">
        <v>9223</v>
      </c>
      <c r="E5" s="191">
        <v>9037</v>
      </c>
      <c r="F5" s="191">
        <v>2908</v>
      </c>
      <c r="G5" s="191">
        <v>2866</v>
      </c>
      <c r="H5" s="192">
        <f>G5/F5</f>
        <v>0.9855570839064649</v>
      </c>
      <c r="I5" s="191">
        <v>6129</v>
      </c>
      <c r="J5" s="191">
        <v>4656</v>
      </c>
      <c r="K5" s="192">
        <f>J5/I5</f>
        <v>0.75966715614292701</v>
      </c>
      <c r="L5" s="191">
        <v>4654</v>
      </c>
      <c r="M5" s="191">
        <v>9194</v>
      </c>
      <c r="N5" s="192">
        <f>S5/M5</f>
        <v>8.1901239939090709E-2</v>
      </c>
      <c r="O5" s="192">
        <f>(J5+G5)/E5</f>
        <v>0.83235587031094393</v>
      </c>
      <c r="P5" s="191">
        <f>B5*42*365/1000</f>
        <v>12861.87</v>
      </c>
      <c r="Q5"/>
      <c r="R5" s="191">
        <v>0</v>
      </c>
      <c r="S5" s="191">
        <v>753</v>
      </c>
      <c r="V5" s="192">
        <f>S5/(G5+J5)</f>
        <v>0.10010635469290083</v>
      </c>
    </row>
    <row r="6" spans="1:22" s="191" customFormat="1">
      <c r="A6" s="190">
        <v>40340</v>
      </c>
      <c r="B6" s="191">
        <v>839</v>
      </c>
      <c r="C6" s="191">
        <v>18551</v>
      </c>
      <c r="D6" s="191">
        <v>9385</v>
      </c>
      <c r="E6" s="191">
        <v>9198</v>
      </c>
      <c r="F6" s="191">
        <v>2990</v>
      </c>
      <c r="G6" s="191">
        <v>2960</v>
      </c>
      <c r="H6" s="192">
        <f t="shared" ref="H6:H69" si="0">G6/F6</f>
        <v>0.98996655518394649</v>
      </c>
      <c r="I6" s="191">
        <v>6208</v>
      </c>
      <c r="J6" s="191">
        <v>4683</v>
      </c>
      <c r="K6" s="192">
        <f t="shared" ref="K6:K69" si="1">J6/I6</f>
        <v>0.75434922680412375</v>
      </c>
      <c r="L6" s="191">
        <v>4681</v>
      </c>
      <c r="M6" s="191">
        <v>9338</v>
      </c>
      <c r="N6" s="192">
        <f t="shared" ref="N6:N69" si="2">S6/M6</f>
        <v>8.1173698864853289E-2</v>
      </c>
      <c r="O6" s="192">
        <f t="shared" ref="O6:O69" si="3">(J6+G6)/E6</f>
        <v>0.83094150902370079</v>
      </c>
      <c r="P6" s="191">
        <f t="shared" ref="P6:P69" si="4">B6*42*365/1000</f>
        <v>12861.87</v>
      </c>
      <c r="Q6"/>
      <c r="R6" s="191">
        <v>0</v>
      </c>
      <c r="S6" s="191">
        <v>758</v>
      </c>
      <c r="T6" s="191">
        <f t="shared" ref="T6:T69" si="5">U6-S6</f>
        <v>46.428571428571104</v>
      </c>
      <c r="U6" s="191">
        <f>C5/7+B6+R6-C6/7</f>
        <v>804.4285714285711</v>
      </c>
      <c r="V6" s="192">
        <f t="shared" ref="V6:V69" si="6">S6/(G6+J6)</f>
        <v>9.9175716341750625E-2</v>
      </c>
    </row>
    <row r="7" spans="1:22" s="191" customFormat="1">
      <c r="A7" s="190">
        <v>40347</v>
      </c>
      <c r="B7" s="191">
        <v>846</v>
      </c>
      <c r="C7" s="191">
        <v>19368</v>
      </c>
      <c r="D7" s="191">
        <v>9262</v>
      </c>
      <c r="E7" s="191">
        <v>9283</v>
      </c>
      <c r="F7" s="191">
        <v>3003</v>
      </c>
      <c r="G7" s="191">
        <v>2969</v>
      </c>
      <c r="H7" s="192">
        <f t="shared" si="0"/>
        <v>0.98867798867798873</v>
      </c>
      <c r="I7" s="191">
        <v>6280</v>
      </c>
      <c r="J7" s="191">
        <v>4772</v>
      </c>
      <c r="K7" s="192">
        <f t="shared" si="1"/>
        <v>0.75987261146496821</v>
      </c>
      <c r="L7" s="191">
        <v>4770</v>
      </c>
      <c r="M7" s="191">
        <v>9241</v>
      </c>
      <c r="N7" s="192">
        <f t="shared" si="2"/>
        <v>8.4298236121631856E-2</v>
      </c>
      <c r="O7" s="192">
        <f t="shared" si="3"/>
        <v>0.83388990628029735</v>
      </c>
      <c r="P7" s="191">
        <f t="shared" si="4"/>
        <v>12969.18</v>
      </c>
      <c r="Q7"/>
      <c r="R7" s="191">
        <v>0</v>
      </c>
      <c r="S7" s="191">
        <v>779</v>
      </c>
      <c r="T7" s="191">
        <f t="shared" si="5"/>
        <v>-49.714285714285325</v>
      </c>
      <c r="U7" s="191">
        <f t="shared" ref="U7:U70" si="7">C6/7+B7+R7-C7/7</f>
        <v>729.28571428571468</v>
      </c>
      <c r="V7" s="192">
        <f t="shared" si="6"/>
        <v>0.10063299315333936</v>
      </c>
    </row>
    <row r="8" spans="1:22" s="191" customFormat="1">
      <c r="A8" s="190">
        <v>40354</v>
      </c>
      <c r="B8" s="191">
        <v>832</v>
      </c>
      <c r="C8" s="191">
        <v>19499</v>
      </c>
      <c r="D8" s="191">
        <v>9374</v>
      </c>
      <c r="E8" s="191">
        <v>9380</v>
      </c>
      <c r="F8" s="191">
        <v>3014</v>
      </c>
      <c r="G8" s="191">
        <v>2980</v>
      </c>
      <c r="H8" s="192">
        <f t="shared" si="0"/>
        <v>0.98871930988719314</v>
      </c>
      <c r="I8" s="191">
        <v>6366</v>
      </c>
      <c r="J8" s="191">
        <v>4816</v>
      </c>
      <c r="K8" s="192">
        <f t="shared" si="1"/>
        <v>0.7565190072258875</v>
      </c>
      <c r="L8" s="191">
        <v>4814</v>
      </c>
      <c r="M8" s="191">
        <v>9462</v>
      </c>
      <c r="N8" s="192">
        <f t="shared" si="2"/>
        <v>8.2752060875079261E-2</v>
      </c>
      <c r="O8" s="192">
        <f t="shared" si="3"/>
        <v>0.83113006396588485</v>
      </c>
      <c r="P8" s="191">
        <f t="shared" si="4"/>
        <v>12754.56</v>
      </c>
      <c r="Q8"/>
      <c r="R8" s="191">
        <v>0</v>
      </c>
      <c r="S8" s="191">
        <v>783</v>
      </c>
      <c r="T8" s="191">
        <f t="shared" si="5"/>
        <v>30.285714285714221</v>
      </c>
      <c r="U8" s="191">
        <f t="shared" si="7"/>
        <v>813.28571428571422</v>
      </c>
      <c r="V8" s="192">
        <f t="shared" si="6"/>
        <v>0.10043612108773731</v>
      </c>
    </row>
    <row r="9" spans="1:22" s="191" customFormat="1">
      <c r="A9" s="190">
        <v>40361</v>
      </c>
      <c r="B9" s="191">
        <v>855</v>
      </c>
      <c r="C9" s="191">
        <v>19921</v>
      </c>
      <c r="D9" s="191">
        <v>9367</v>
      </c>
      <c r="E9" s="191">
        <v>9408</v>
      </c>
      <c r="F9" s="191">
        <v>3034</v>
      </c>
      <c r="G9" s="191">
        <v>3024</v>
      </c>
      <c r="H9" s="192">
        <f t="shared" si="0"/>
        <v>0.99670402109426504</v>
      </c>
      <c r="I9" s="191">
        <v>6373</v>
      </c>
      <c r="J9" s="191">
        <v>5017</v>
      </c>
      <c r="K9" s="192">
        <f t="shared" si="1"/>
        <v>0.78722736544798366</v>
      </c>
      <c r="L9" s="191">
        <v>5015</v>
      </c>
      <c r="M9" s="191">
        <v>9449</v>
      </c>
      <c r="N9" s="192">
        <f t="shared" si="2"/>
        <v>8.5617525664091435E-2</v>
      </c>
      <c r="O9" s="192">
        <f t="shared" si="3"/>
        <v>0.85469812925170063</v>
      </c>
      <c r="P9" s="191">
        <f t="shared" si="4"/>
        <v>13107.15</v>
      </c>
      <c r="Q9"/>
      <c r="R9" s="191">
        <v>0</v>
      </c>
      <c r="S9" s="191">
        <v>809</v>
      </c>
      <c r="T9" s="191">
        <f t="shared" si="5"/>
        <v>-14.285714285714221</v>
      </c>
      <c r="U9" s="191">
        <f t="shared" si="7"/>
        <v>794.71428571428578</v>
      </c>
      <c r="V9" s="192">
        <f t="shared" si="6"/>
        <v>0.10060937694316627</v>
      </c>
    </row>
    <row r="10" spans="1:22" s="191" customFormat="1">
      <c r="A10" s="190">
        <v>40368</v>
      </c>
      <c r="B10" s="191">
        <v>821</v>
      </c>
      <c r="C10" s="191">
        <v>19674</v>
      </c>
      <c r="D10" s="191">
        <v>9508</v>
      </c>
      <c r="E10" s="191">
        <v>9455</v>
      </c>
      <c r="F10" s="191">
        <v>2974</v>
      </c>
      <c r="G10" s="191">
        <v>2941</v>
      </c>
      <c r="H10" s="192">
        <f t="shared" si="0"/>
        <v>0.98890383322125086</v>
      </c>
      <c r="I10" s="191">
        <v>6482</v>
      </c>
      <c r="J10" s="191">
        <v>4875</v>
      </c>
      <c r="K10" s="192">
        <f t="shared" si="1"/>
        <v>0.75208269052761489</v>
      </c>
      <c r="L10" s="191">
        <v>4875</v>
      </c>
      <c r="M10" s="191">
        <v>9080</v>
      </c>
      <c r="N10" s="192">
        <f t="shared" si="2"/>
        <v>8.5792951541850224E-2</v>
      </c>
      <c r="O10" s="192">
        <f t="shared" si="3"/>
        <v>0.82665256478053939</v>
      </c>
      <c r="P10" s="191">
        <f t="shared" si="4"/>
        <v>12585.93</v>
      </c>
      <c r="Q10"/>
      <c r="R10" s="191">
        <v>0</v>
      </c>
      <c r="S10" s="191">
        <v>779</v>
      </c>
      <c r="T10" s="191">
        <f t="shared" si="5"/>
        <v>77.285714285714221</v>
      </c>
      <c r="U10" s="191">
        <f t="shared" si="7"/>
        <v>856.28571428571422</v>
      </c>
      <c r="V10" s="192">
        <f t="shared" si="6"/>
        <v>9.9667349027635618E-2</v>
      </c>
    </row>
    <row r="11" spans="1:22" s="191" customFormat="1">
      <c r="A11" s="190">
        <v>40375</v>
      </c>
      <c r="B11" s="191">
        <v>836</v>
      </c>
      <c r="C11" s="191">
        <v>19877</v>
      </c>
      <c r="D11" s="191">
        <v>9315</v>
      </c>
      <c r="E11" s="191">
        <v>9212</v>
      </c>
      <c r="F11" s="191">
        <v>2931</v>
      </c>
      <c r="G11" s="191">
        <v>2900</v>
      </c>
      <c r="H11" s="192">
        <f t="shared" si="0"/>
        <v>0.98942340498123504</v>
      </c>
      <c r="I11" s="191">
        <v>6281</v>
      </c>
      <c r="J11" s="191">
        <v>4840</v>
      </c>
      <c r="K11" s="192">
        <f t="shared" si="1"/>
        <v>0.77057793345008752</v>
      </c>
      <c r="L11" s="191">
        <v>4839</v>
      </c>
      <c r="M11" s="191">
        <v>9435</v>
      </c>
      <c r="N11" s="192">
        <f t="shared" si="2"/>
        <v>8.2352941176470587E-2</v>
      </c>
      <c r="O11" s="192">
        <f t="shared" si="3"/>
        <v>0.8402084237950499</v>
      </c>
      <c r="P11" s="191">
        <f t="shared" si="4"/>
        <v>12815.88</v>
      </c>
      <c r="Q11"/>
      <c r="R11" s="191">
        <v>0</v>
      </c>
      <c r="S11" s="191">
        <v>777</v>
      </c>
      <c r="T11" s="191">
        <f t="shared" si="5"/>
        <v>30</v>
      </c>
      <c r="U11" s="191">
        <f t="shared" si="7"/>
        <v>807</v>
      </c>
      <c r="V11" s="192">
        <f t="shared" si="6"/>
        <v>0.1003875968992248</v>
      </c>
    </row>
    <row r="12" spans="1:22" s="191" customFormat="1">
      <c r="A12" s="190">
        <v>40382</v>
      </c>
      <c r="B12" s="191">
        <v>816</v>
      </c>
      <c r="C12" s="191">
        <v>19523</v>
      </c>
      <c r="D12" s="191">
        <v>9648</v>
      </c>
      <c r="E12" s="191">
        <v>9468</v>
      </c>
      <c r="F12" s="191">
        <v>3086</v>
      </c>
      <c r="G12" s="191">
        <v>3046</v>
      </c>
      <c r="H12" s="192">
        <f t="shared" si="0"/>
        <v>0.98703823720025918</v>
      </c>
      <c r="I12" s="191">
        <v>6382</v>
      </c>
      <c r="J12" s="191">
        <v>4937</v>
      </c>
      <c r="K12" s="192">
        <f t="shared" si="1"/>
        <v>0.77358194923221557</v>
      </c>
      <c r="L12" s="191">
        <v>4936</v>
      </c>
      <c r="M12" s="191">
        <v>9632</v>
      </c>
      <c r="N12" s="192">
        <f t="shared" si="2"/>
        <v>8.2952657807308969E-2</v>
      </c>
      <c r="O12" s="192">
        <f t="shared" si="3"/>
        <v>0.84315589353612164</v>
      </c>
      <c r="P12" s="191">
        <f t="shared" si="4"/>
        <v>12509.28</v>
      </c>
      <c r="Q12"/>
      <c r="R12" s="191">
        <v>0</v>
      </c>
      <c r="S12" s="191">
        <v>799</v>
      </c>
      <c r="T12" s="191">
        <f t="shared" si="5"/>
        <v>67.571428571428442</v>
      </c>
      <c r="U12" s="191">
        <f t="shared" si="7"/>
        <v>866.57142857142844</v>
      </c>
      <c r="V12" s="192">
        <f t="shared" si="6"/>
        <v>0.1000876863334586</v>
      </c>
    </row>
    <row r="13" spans="1:22" s="191" customFormat="1">
      <c r="A13" s="190">
        <v>40389</v>
      </c>
      <c r="B13" s="191">
        <v>873</v>
      </c>
      <c r="C13" s="191">
        <v>19541</v>
      </c>
      <c r="D13" s="191">
        <v>9415</v>
      </c>
      <c r="E13" s="191">
        <v>9393</v>
      </c>
      <c r="F13" s="191">
        <v>3060</v>
      </c>
      <c r="G13" s="191">
        <v>3034</v>
      </c>
      <c r="H13" s="192">
        <f t="shared" si="0"/>
        <v>0.99150326797385624</v>
      </c>
      <c r="I13" s="191">
        <v>6333</v>
      </c>
      <c r="J13" s="191">
        <v>4877</v>
      </c>
      <c r="K13" s="192">
        <f t="shared" si="1"/>
        <v>0.77009316279804196</v>
      </c>
      <c r="L13" s="191">
        <v>4875</v>
      </c>
      <c r="M13" s="191">
        <v>9477</v>
      </c>
      <c r="N13" s="192">
        <f t="shared" si="2"/>
        <v>8.399282473356548E-2</v>
      </c>
      <c r="O13" s="192">
        <f t="shared" si="3"/>
        <v>0.84222293197061637</v>
      </c>
      <c r="P13" s="191">
        <f t="shared" si="4"/>
        <v>13383.09</v>
      </c>
      <c r="Q13"/>
      <c r="R13" s="191">
        <v>0</v>
      </c>
      <c r="S13" s="191">
        <v>796</v>
      </c>
      <c r="T13" s="191">
        <f t="shared" si="5"/>
        <v>74.428571428571558</v>
      </c>
      <c r="U13" s="191">
        <f t="shared" si="7"/>
        <v>870.42857142857156</v>
      </c>
      <c r="V13" s="192">
        <f t="shared" si="6"/>
        <v>0.10061939072177981</v>
      </c>
    </row>
    <row r="14" spans="1:22" s="191" customFormat="1">
      <c r="A14" s="190">
        <v>40396</v>
      </c>
      <c r="B14" s="191">
        <v>866</v>
      </c>
      <c r="C14" s="191">
        <v>19343</v>
      </c>
      <c r="D14" s="191">
        <v>9291</v>
      </c>
      <c r="E14" s="191">
        <v>9296</v>
      </c>
      <c r="F14" s="191">
        <v>3021</v>
      </c>
      <c r="G14" s="191">
        <v>2986</v>
      </c>
      <c r="H14" s="192">
        <f t="shared" si="0"/>
        <v>0.98841443230718307</v>
      </c>
      <c r="I14" s="191">
        <v>6276</v>
      </c>
      <c r="J14" s="191">
        <v>4871</v>
      </c>
      <c r="K14" s="192">
        <f t="shared" si="1"/>
        <v>0.77613129381771828</v>
      </c>
      <c r="L14" s="191">
        <v>4869</v>
      </c>
      <c r="M14" s="191">
        <v>9236</v>
      </c>
      <c r="N14" s="192">
        <f t="shared" si="2"/>
        <v>8.5534863577306192E-2</v>
      </c>
      <c r="O14" s="192">
        <f t="shared" si="3"/>
        <v>0.84520223752151458</v>
      </c>
      <c r="P14" s="191">
        <f t="shared" si="4"/>
        <v>13275.78</v>
      </c>
      <c r="Q14"/>
      <c r="R14" s="191">
        <v>0</v>
      </c>
      <c r="S14" s="191">
        <v>790</v>
      </c>
      <c r="T14" s="191">
        <f t="shared" si="5"/>
        <v>104.28571428571422</v>
      </c>
      <c r="U14" s="191">
        <f t="shared" si="7"/>
        <v>894.28571428571422</v>
      </c>
      <c r="V14" s="192">
        <f t="shared" si="6"/>
        <v>0.10054728267786688</v>
      </c>
    </row>
    <row r="15" spans="1:22" s="191" customFormat="1">
      <c r="A15" s="190">
        <v>40403</v>
      </c>
      <c r="B15" s="191">
        <v>860</v>
      </c>
      <c r="C15" s="191">
        <v>19205</v>
      </c>
      <c r="D15" s="191">
        <v>9446</v>
      </c>
      <c r="E15" s="191">
        <v>9139</v>
      </c>
      <c r="F15" s="191">
        <v>3018</v>
      </c>
      <c r="G15" s="191">
        <v>2981</v>
      </c>
      <c r="H15" s="192">
        <f t="shared" si="0"/>
        <v>0.98774022531477801</v>
      </c>
      <c r="I15" s="191">
        <v>6121</v>
      </c>
      <c r="J15" s="191">
        <v>4928</v>
      </c>
      <c r="K15" s="192">
        <f t="shared" si="1"/>
        <v>0.80509720633883353</v>
      </c>
      <c r="L15" s="191">
        <v>4926</v>
      </c>
      <c r="M15" s="191">
        <v>9459</v>
      </c>
      <c r="N15" s="192">
        <f t="shared" si="2"/>
        <v>8.3941220002114389E-2</v>
      </c>
      <c r="O15" s="192">
        <f t="shared" si="3"/>
        <v>0.86541197067512854</v>
      </c>
      <c r="P15" s="191">
        <f t="shared" si="4"/>
        <v>13183.8</v>
      </c>
      <c r="Q15"/>
      <c r="R15" s="191">
        <v>0</v>
      </c>
      <c r="S15" s="191">
        <v>794</v>
      </c>
      <c r="T15" s="191">
        <f t="shared" si="5"/>
        <v>85.714285714285779</v>
      </c>
      <c r="U15" s="191">
        <f t="shared" si="7"/>
        <v>879.71428571428578</v>
      </c>
      <c r="V15" s="192">
        <f t="shared" si="6"/>
        <v>0.10039195852825894</v>
      </c>
    </row>
    <row r="16" spans="1:22" s="191" customFormat="1">
      <c r="A16" s="190">
        <v>40410</v>
      </c>
      <c r="B16" s="191">
        <v>835</v>
      </c>
      <c r="C16" s="191">
        <v>17858</v>
      </c>
      <c r="D16" s="191">
        <v>9619</v>
      </c>
      <c r="E16" s="191">
        <v>9428</v>
      </c>
      <c r="F16" s="191">
        <v>3075</v>
      </c>
      <c r="G16" s="191">
        <v>3046</v>
      </c>
      <c r="H16" s="192">
        <f t="shared" si="0"/>
        <v>0.99056910569105694</v>
      </c>
      <c r="I16" s="191">
        <v>6353</v>
      </c>
      <c r="J16" s="191">
        <v>5035</v>
      </c>
      <c r="K16" s="192">
        <f t="shared" si="1"/>
        <v>0.79253895797261131</v>
      </c>
      <c r="L16" s="191">
        <v>5033</v>
      </c>
      <c r="M16" s="191">
        <v>9375</v>
      </c>
      <c r="N16" s="192">
        <f t="shared" si="2"/>
        <v>8.6400000000000005E-2</v>
      </c>
      <c r="O16" s="192">
        <f t="shared" si="3"/>
        <v>0.85712770470937638</v>
      </c>
      <c r="P16" s="191">
        <f t="shared" si="4"/>
        <v>12800.55</v>
      </c>
      <c r="Q16"/>
      <c r="R16" s="191">
        <v>0</v>
      </c>
      <c r="S16" s="191">
        <v>810</v>
      </c>
      <c r="T16" s="191">
        <f t="shared" si="5"/>
        <v>217.4285714285711</v>
      </c>
      <c r="U16" s="191">
        <f t="shared" si="7"/>
        <v>1027.4285714285711</v>
      </c>
      <c r="V16" s="192">
        <f t="shared" si="6"/>
        <v>0.10023511941591387</v>
      </c>
    </row>
    <row r="17" spans="1:22" s="191" customFormat="1">
      <c r="A17" s="190">
        <v>40417</v>
      </c>
      <c r="B17" s="191">
        <v>856</v>
      </c>
      <c r="C17" s="191">
        <v>17562</v>
      </c>
      <c r="D17" s="191">
        <v>9306</v>
      </c>
      <c r="E17" s="191">
        <v>9287</v>
      </c>
      <c r="F17" s="191">
        <v>3040</v>
      </c>
      <c r="G17" s="191">
        <v>2999</v>
      </c>
      <c r="H17" s="192">
        <f t="shared" si="0"/>
        <v>0.98651315789473681</v>
      </c>
      <c r="I17" s="191">
        <v>6247</v>
      </c>
      <c r="J17" s="191">
        <v>4980</v>
      </c>
      <c r="K17" s="192">
        <f t="shared" si="1"/>
        <v>0.79718264767088198</v>
      </c>
      <c r="L17" s="191">
        <v>4979</v>
      </c>
      <c r="M17" s="191">
        <v>9386</v>
      </c>
      <c r="N17" s="192">
        <f t="shared" si="2"/>
        <v>8.5126784572767955E-2</v>
      </c>
      <c r="O17" s="192">
        <f t="shared" si="3"/>
        <v>0.85915796274362011</v>
      </c>
      <c r="P17" s="191">
        <f t="shared" si="4"/>
        <v>13122.48</v>
      </c>
      <c r="Q17"/>
      <c r="R17" s="191">
        <v>0</v>
      </c>
      <c r="S17" s="191">
        <v>799</v>
      </c>
      <c r="T17" s="191">
        <f t="shared" si="5"/>
        <v>99.285714285714675</v>
      </c>
      <c r="U17" s="191">
        <f t="shared" si="7"/>
        <v>898.28571428571468</v>
      </c>
      <c r="V17" s="192">
        <f t="shared" si="6"/>
        <v>0.10013786188745456</v>
      </c>
    </row>
    <row r="18" spans="1:22" s="191" customFormat="1">
      <c r="A18" s="190">
        <v>40424</v>
      </c>
      <c r="B18" s="191">
        <v>875</v>
      </c>
      <c r="C18" s="191">
        <v>17735</v>
      </c>
      <c r="D18" s="191">
        <v>9495</v>
      </c>
      <c r="E18" s="191">
        <v>9220</v>
      </c>
      <c r="F18" s="191">
        <v>3019</v>
      </c>
      <c r="G18" s="191">
        <v>2990</v>
      </c>
      <c r="H18" s="192">
        <f t="shared" si="0"/>
        <v>0.99039417025505139</v>
      </c>
      <c r="I18" s="191">
        <v>6201</v>
      </c>
      <c r="J18" s="191">
        <v>4877</v>
      </c>
      <c r="K18" s="192">
        <f t="shared" si="1"/>
        <v>0.78648605063699406</v>
      </c>
      <c r="L18" s="191">
        <v>4876</v>
      </c>
      <c r="M18" s="191">
        <v>9263</v>
      </c>
      <c r="N18" s="192">
        <f t="shared" si="2"/>
        <v>8.5609413796826087E-2</v>
      </c>
      <c r="O18" s="192">
        <f t="shared" si="3"/>
        <v>0.85325379609544472</v>
      </c>
      <c r="P18" s="191">
        <f t="shared" si="4"/>
        <v>13413.75</v>
      </c>
      <c r="Q18"/>
      <c r="R18" s="191">
        <v>0</v>
      </c>
      <c r="S18" s="191">
        <v>793</v>
      </c>
      <c r="T18" s="191">
        <f t="shared" si="5"/>
        <v>57.285714285714221</v>
      </c>
      <c r="U18" s="191">
        <f t="shared" si="7"/>
        <v>850.28571428571422</v>
      </c>
      <c r="V18" s="192">
        <f t="shared" si="6"/>
        <v>0.10080081352485064</v>
      </c>
    </row>
    <row r="19" spans="1:22" s="191" customFormat="1">
      <c r="A19" s="190">
        <v>40431</v>
      </c>
      <c r="B19" s="191">
        <v>872</v>
      </c>
      <c r="C19" s="191">
        <v>17868</v>
      </c>
      <c r="D19" s="191">
        <v>9175</v>
      </c>
      <c r="E19" s="191">
        <v>8872</v>
      </c>
      <c r="F19" s="191">
        <v>2917</v>
      </c>
      <c r="G19" s="191">
        <v>2895</v>
      </c>
      <c r="H19" s="192">
        <f t="shared" si="0"/>
        <v>0.99245800479945145</v>
      </c>
      <c r="I19" s="191">
        <v>5955</v>
      </c>
      <c r="J19" s="191">
        <v>4782</v>
      </c>
      <c r="K19" s="192">
        <f t="shared" si="1"/>
        <v>0.8030226700251889</v>
      </c>
      <c r="L19" s="191">
        <v>4780</v>
      </c>
      <c r="M19" s="191">
        <v>9019</v>
      </c>
      <c r="N19" s="192">
        <f t="shared" si="2"/>
        <v>8.6373212107772476E-2</v>
      </c>
      <c r="O19" s="192">
        <f t="shared" si="3"/>
        <v>0.86530658250676284</v>
      </c>
      <c r="P19" s="191">
        <f t="shared" si="4"/>
        <v>13367.76</v>
      </c>
      <c r="Q19"/>
      <c r="R19" s="191">
        <v>0</v>
      </c>
      <c r="S19" s="191">
        <v>779</v>
      </c>
      <c r="T19" s="191">
        <f t="shared" si="5"/>
        <v>74</v>
      </c>
      <c r="U19" s="191">
        <f t="shared" si="7"/>
        <v>853</v>
      </c>
      <c r="V19" s="192">
        <f t="shared" si="6"/>
        <v>0.10147192913898659</v>
      </c>
    </row>
    <row r="20" spans="1:22" s="191" customFormat="1">
      <c r="A20" s="190">
        <v>40438</v>
      </c>
      <c r="B20" s="191">
        <v>850</v>
      </c>
      <c r="C20" s="191">
        <v>17506</v>
      </c>
      <c r="D20" s="191">
        <v>9020</v>
      </c>
      <c r="E20" s="191">
        <v>8941</v>
      </c>
      <c r="F20" s="191">
        <v>2975</v>
      </c>
      <c r="G20" s="191">
        <v>2899</v>
      </c>
      <c r="H20" s="192">
        <f t="shared" si="0"/>
        <v>0.97445378151260509</v>
      </c>
      <c r="I20" s="191">
        <v>5965</v>
      </c>
      <c r="J20" s="191">
        <v>4679</v>
      </c>
      <c r="K20" s="192">
        <f t="shared" si="1"/>
        <v>0.78440905280804696</v>
      </c>
      <c r="L20" s="191">
        <v>4678</v>
      </c>
      <c r="M20" s="191">
        <v>8847</v>
      </c>
      <c r="N20" s="192">
        <f t="shared" si="2"/>
        <v>8.6809087826381831E-2</v>
      </c>
      <c r="O20" s="192">
        <f t="shared" si="3"/>
        <v>0.84755620176714019</v>
      </c>
      <c r="P20" s="191">
        <f t="shared" si="4"/>
        <v>13030.5</v>
      </c>
      <c r="Q20"/>
      <c r="R20" s="191">
        <v>0</v>
      </c>
      <c r="S20" s="191">
        <v>768</v>
      </c>
      <c r="T20" s="191">
        <f t="shared" si="5"/>
        <v>133.71428571428578</v>
      </c>
      <c r="U20" s="191">
        <f t="shared" si="7"/>
        <v>901.71428571428578</v>
      </c>
      <c r="V20" s="192">
        <f t="shared" si="6"/>
        <v>0.10134600158353127</v>
      </c>
    </row>
    <row r="21" spans="1:22" s="191" customFormat="1">
      <c r="A21" s="190">
        <v>40445</v>
      </c>
      <c r="B21" s="191">
        <v>825</v>
      </c>
      <c r="C21" s="191">
        <v>17164</v>
      </c>
      <c r="D21" s="191">
        <v>9159</v>
      </c>
      <c r="E21" s="191">
        <v>9205</v>
      </c>
      <c r="F21" s="191">
        <v>3070</v>
      </c>
      <c r="G21" s="191">
        <v>2977</v>
      </c>
      <c r="H21" s="192">
        <f t="shared" si="0"/>
        <v>0.96970684039087951</v>
      </c>
      <c r="I21" s="191">
        <v>6135</v>
      </c>
      <c r="J21" s="191">
        <v>4921</v>
      </c>
      <c r="K21" s="192">
        <f t="shared" si="1"/>
        <v>0.802118989405053</v>
      </c>
      <c r="L21" s="191">
        <v>4919</v>
      </c>
      <c r="M21" s="191">
        <v>9383</v>
      </c>
      <c r="N21" s="192">
        <f t="shared" si="2"/>
        <v>8.5473729084514546E-2</v>
      </c>
      <c r="O21" s="192">
        <f t="shared" si="3"/>
        <v>0.85801195002715913</v>
      </c>
      <c r="P21" s="191">
        <f t="shared" si="4"/>
        <v>12647.25</v>
      </c>
      <c r="Q21"/>
      <c r="R21" s="191">
        <v>0</v>
      </c>
      <c r="S21" s="191">
        <v>802</v>
      </c>
      <c r="T21" s="191">
        <f t="shared" si="5"/>
        <v>71.857142857142662</v>
      </c>
      <c r="U21" s="191">
        <f t="shared" si="7"/>
        <v>873.85714285714266</v>
      </c>
      <c r="V21" s="192">
        <f t="shared" si="6"/>
        <v>0.10154469485945809</v>
      </c>
    </row>
    <row r="22" spans="1:22" s="191" customFormat="1">
      <c r="A22" s="190">
        <v>40452</v>
      </c>
      <c r="B22" s="191">
        <v>863</v>
      </c>
      <c r="C22" s="191">
        <v>16898</v>
      </c>
      <c r="D22" s="191">
        <v>8769</v>
      </c>
      <c r="E22" s="191">
        <v>9100</v>
      </c>
      <c r="F22" s="191">
        <v>3057</v>
      </c>
      <c r="G22" s="191">
        <v>2993</v>
      </c>
      <c r="H22" s="192">
        <f t="shared" si="0"/>
        <v>0.97906444226365719</v>
      </c>
      <c r="I22" s="191">
        <v>6044</v>
      </c>
      <c r="J22" s="191">
        <v>4887</v>
      </c>
      <c r="K22" s="192">
        <f t="shared" si="1"/>
        <v>0.80857048312375912</v>
      </c>
      <c r="L22" s="191">
        <v>4887</v>
      </c>
      <c r="M22" s="191">
        <v>8989</v>
      </c>
      <c r="N22" s="192">
        <f t="shared" si="2"/>
        <v>8.8218934252975861E-2</v>
      </c>
      <c r="O22" s="192">
        <f t="shared" si="3"/>
        <v>0.86593406593406597</v>
      </c>
      <c r="P22" s="191">
        <f t="shared" si="4"/>
        <v>13229.79</v>
      </c>
      <c r="Q22"/>
      <c r="R22" s="191">
        <v>0</v>
      </c>
      <c r="S22" s="191">
        <v>793</v>
      </c>
      <c r="T22" s="191">
        <f t="shared" si="5"/>
        <v>108</v>
      </c>
      <c r="U22" s="191">
        <f t="shared" si="7"/>
        <v>901</v>
      </c>
      <c r="V22" s="192">
        <f t="shared" si="6"/>
        <v>0.10063451776649746</v>
      </c>
    </row>
    <row r="23" spans="1:22" s="191" customFormat="1">
      <c r="A23" s="190">
        <v>40459</v>
      </c>
      <c r="B23" s="191">
        <v>877</v>
      </c>
      <c r="C23" s="191">
        <v>16365</v>
      </c>
      <c r="D23" s="191">
        <v>8727</v>
      </c>
      <c r="E23" s="191">
        <v>9108</v>
      </c>
      <c r="F23" s="191">
        <v>3106</v>
      </c>
      <c r="G23" s="191">
        <v>3089</v>
      </c>
      <c r="H23" s="192">
        <f t="shared" si="0"/>
        <v>0.99452672247263363</v>
      </c>
      <c r="I23" s="191">
        <v>6003</v>
      </c>
      <c r="J23" s="191">
        <v>5016</v>
      </c>
      <c r="K23" s="192">
        <f t="shared" si="1"/>
        <v>0.83558220889555224</v>
      </c>
      <c r="L23" s="191">
        <v>5015</v>
      </c>
      <c r="M23" s="191">
        <v>8812</v>
      </c>
      <c r="N23" s="192">
        <f t="shared" si="2"/>
        <v>9.2487517022242394E-2</v>
      </c>
      <c r="O23" s="192">
        <f t="shared" si="3"/>
        <v>0.88987703118137895</v>
      </c>
      <c r="P23" s="191">
        <f t="shared" si="4"/>
        <v>13444.41</v>
      </c>
      <c r="Q23"/>
      <c r="R23" s="191">
        <v>0</v>
      </c>
      <c r="S23" s="191">
        <v>815</v>
      </c>
      <c r="T23" s="191">
        <f t="shared" si="5"/>
        <v>138.14285714285734</v>
      </c>
      <c r="U23" s="191">
        <f t="shared" si="7"/>
        <v>953.14285714285734</v>
      </c>
      <c r="V23" s="192">
        <f t="shared" si="6"/>
        <v>0.10055521283158544</v>
      </c>
    </row>
    <row r="24" spans="1:22" s="191" customFormat="1">
      <c r="A24" s="190">
        <v>40466</v>
      </c>
      <c r="B24" s="191">
        <v>881</v>
      </c>
      <c r="C24" s="191">
        <v>16034</v>
      </c>
      <c r="D24" s="191">
        <v>9046</v>
      </c>
      <c r="E24" s="191">
        <v>9330</v>
      </c>
      <c r="F24" s="191">
        <v>3096</v>
      </c>
      <c r="G24" s="191">
        <v>3095</v>
      </c>
      <c r="H24" s="192">
        <f t="shared" si="0"/>
        <v>0.99967700258397929</v>
      </c>
      <c r="I24" s="191">
        <v>6234</v>
      </c>
      <c r="J24" s="191">
        <v>5006</v>
      </c>
      <c r="K24" s="192">
        <f t="shared" si="1"/>
        <v>0.80301572024382417</v>
      </c>
      <c r="L24" s="191">
        <v>5004</v>
      </c>
      <c r="M24" s="191">
        <v>8891</v>
      </c>
      <c r="N24" s="192">
        <f t="shared" si="2"/>
        <v>9.1215836238893261E-2</v>
      </c>
      <c r="O24" s="192">
        <f t="shared" si="3"/>
        <v>0.86827438370846732</v>
      </c>
      <c r="P24" s="191">
        <f t="shared" si="4"/>
        <v>13505.73</v>
      </c>
      <c r="Q24"/>
      <c r="R24" s="191">
        <v>0</v>
      </c>
      <c r="S24" s="191">
        <v>811</v>
      </c>
      <c r="T24" s="191">
        <f t="shared" si="5"/>
        <v>117.28571428571422</v>
      </c>
      <c r="U24" s="191">
        <f t="shared" si="7"/>
        <v>928.28571428571422</v>
      </c>
      <c r="V24" s="192">
        <f t="shared" si="6"/>
        <v>0.10011109739538329</v>
      </c>
    </row>
    <row r="25" spans="1:22" s="191" customFormat="1">
      <c r="A25" s="190">
        <v>40473</v>
      </c>
      <c r="B25" s="191">
        <v>880</v>
      </c>
      <c r="C25" s="191">
        <v>16310</v>
      </c>
      <c r="D25" s="191">
        <v>9214</v>
      </c>
      <c r="E25" s="191">
        <v>9104</v>
      </c>
      <c r="F25" s="191">
        <v>3110</v>
      </c>
      <c r="G25" s="191">
        <v>3115</v>
      </c>
      <c r="H25" s="192">
        <f t="shared" si="0"/>
        <v>1.0016077170418007</v>
      </c>
      <c r="I25" s="191">
        <v>5994</v>
      </c>
      <c r="J25" s="191">
        <v>5019</v>
      </c>
      <c r="K25" s="192">
        <f t="shared" si="1"/>
        <v>0.83733733733733728</v>
      </c>
      <c r="L25" s="191">
        <v>5017</v>
      </c>
      <c r="M25" s="191">
        <v>9358</v>
      </c>
      <c r="N25" s="192">
        <f t="shared" si="2"/>
        <v>8.7304979696516349E-2</v>
      </c>
      <c r="O25" s="192">
        <f t="shared" si="3"/>
        <v>0.8934534270650264</v>
      </c>
      <c r="P25" s="191">
        <f t="shared" si="4"/>
        <v>13490.4</v>
      </c>
      <c r="Q25"/>
      <c r="R25" s="191">
        <v>0</v>
      </c>
      <c r="S25" s="191">
        <v>817</v>
      </c>
      <c r="T25" s="191">
        <f t="shared" si="5"/>
        <v>23.571428571428442</v>
      </c>
      <c r="U25" s="191">
        <f t="shared" si="7"/>
        <v>840.57142857142844</v>
      </c>
      <c r="V25" s="192">
        <f t="shared" si="6"/>
        <v>0.10044258667322351</v>
      </c>
    </row>
    <row r="26" spans="1:22" s="191" customFormat="1">
      <c r="A26" s="190">
        <v>40480</v>
      </c>
      <c r="B26" s="191">
        <v>865</v>
      </c>
      <c r="C26" s="191">
        <v>16349</v>
      </c>
      <c r="D26" s="191">
        <v>8981</v>
      </c>
      <c r="E26" s="191">
        <v>8929</v>
      </c>
      <c r="F26" s="191">
        <v>3096</v>
      </c>
      <c r="G26" s="191">
        <v>3066</v>
      </c>
      <c r="H26" s="192">
        <f t="shared" si="0"/>
        <v>0.99031007751937983</v>
      </c>
      <c r="I26" s="191">
        <v>5833</v>
      </c>
      <c r="J26" s="191">
        <v>4935</v>
      </c>
      <c r="K26" s="192">
        <f t="shared" si="1"/>
        <v>0.84604834561974973</v>
      </c>
      <c r="L26" s="191">
        <v>4934</v>
      </c>
      <c r="M26" s="191">
        <v>9015</v>
      </c>
      <c r="N26" s="192">
        <f t="shared" si="2"/>
        <v>8.9073765945646144E-2</v>
      </c>
      <c r="O26" s="192">
        <f t="shared" si="3"/>
        <v>0.8960689886885429</v>
      </c>
      <c r="P26" s="191">
        <f t="shared" si="4"/>
        <v>13260.45</v>
      </c>
      <c r="Q26"/>
      <c r="R26" s="191">
        <v>0</v>
      </c>
      <c r="S26" s="191">
        <v>803</v>
      </c>
      <c r="T26" s="191">
        <f t="shared" si="5"/>
        <v>56.428571428571558</v>
      </c>
      <c r="U26" s="191">
        <f t="shared" si="7"/>
        <v>859.42857142857156</v>
      </c>
      <c r="V26" s="192">
        <f t="shared" si="6"/>
        <v>0.10036245469316335</v>
      </c>
    </row>
    <row r="27" spans="1:22" s="191" customFormat="1">
      <c r="A27" s="190">
        <v>40487</v>
      </c>
      <c r="B27" s="191">
        <v>877</v>
      </c>
      <c r="C27" s="191">
        <v>16061</v>
      </c>
      <c r="D27" s="191">
        <v>9011</v>
      </c>
      <c r="E27" s="191">
        <v>9021</v>
      </c>
      <c r="F27" s="191">
        <v>3127</v>
      </c>
      <c r="G27" s="191">
        <v>3117</v>
      </c>
      <c r="H27" s="192">
        <f t="shared" si="0"/>
        <v>0.99680204669011829</v>
      </c>
      <c r="I27" s="191">
        <v>5895</v>
      </c>
      <c r="J27" s="191">
        <v>4943</v>
      </c>
      <c r="K27" s="192">
        <f t="shared" si="1"/>
        <v>0.83850720949957591</v>
      </c>
      <c r="L27" s="191">
        <v>4942</v>
      </c>
      <c r="M27" s="191">
        <v>9056</v>
      </c>
      <c r="N27" s="192">
        <f t="shared" si="2"/>
        <v>8.9333038869257947E-2</v>
      </c>
      <c r="O27" s="192">
        <f t="shared" si="3"/>
        <v>0.89347079037800692</v>
      </c>
      <c r="P27" s="191">
        <f t="shared" si="4"/>
        <v>13444.41</v>
      </c>
      <c r="Q27"/>
      <c r="R27" s="191">
        <v>0</v>
      </c>
      <c r="S27" s="191">
        <v>809</v>
      </c>
      <c r="T27" s="191">
        <f t="shared" si="5"/>
        <v>109.14285714285688</v>
      </c>
      <c r="U27" s="191">
        <f t="shared" si="7"/>
        <v>918.14285714285688</v>
      </c>
      <c r="V27" s="192">
        <f t="shared" si="6"/>
        <v>0.10037220843672456</v>
      </c>
    </row>
    <row r="28" spans="1:22" s="191" customFormat="1">
      <c r="A28" s="190">
        <v>40494</v>
      </c>
      <c r="B28" s="191">
        <v>895</v>
      </c>
      <c r="C28" s="191">
        <v>16718</v>
      </c>
      <c r="D28" s="191">
        <v>8932</v>
      </c>
      <c r="E28" s="191">
        <v>8991</v>
      </c>
      <c r="F28" s="191">
        <v>3090</v>
      </c>
      <c r="G28" s="191">
        <v>3107</v>
      </c>
      <c r="H28" s="192">
        <f t="shared" si="0"/>
        <v>1.0055016181229774</v>
      </c>
      <c r="I28" s="191">
        <v>5901</v>
      </c>
      <c r="J28" s="191">
        <v>4836</v>
      </c>
      <c r="K28" s="192">
        <f t="shared" si="1"/>
        <v>0.81952211489578042</v>
      </c>
      <c r="L28" s="191">
        <v>4835</v>
      </c>
      <c r="M28" s="191">
        <v>8952</v>
      </c>
      <c r="N28" s="192">
        <f t="shared" si="2"/>
        <v>8.936550491510277E-2</v>
      </c>
      <c r="O28" s="192">
        <f t="shared" si="3"/>
        <v>0.88343899455010566</v>
      </c>
      <c r="P28" s="191">
        <f t="shared" si="4"/>
        <v>13720.35</v>
      </c>
      <c r="Q28"/>
      <c r="R28" s="191">
        <v>0</v>
      </c>
      <c r="S28" s="191">
        <v>800</v>
      </c>
      <c r="T28" s="191">
        <f t="shared" si="5"/>
        <v>1.1428571428573377</v>
      </c>
      <c r="U28" s="191">
        <f t="shared" si="7"/>
        <v>801.14285714285734</v>
      </c>
      <c r="V28" s="192">
        <f t="shared" si="6"/>
        <v>0.10071761299257208</v>
      </c>
    </row>
    <row r="29" spans="1:22" s="191" customFormat="1">
      <c r="A29" s="190">
        <v>40501</v>
      </c>
      <c r="B29" s="191">
        <v>891</v>
      </c>
      <c r="C29" s="191">
        <v>16802</v>
      </c>
      <c r="D29" s="191">
        <v>8943</v>
      </c>
      <c r="E29" s="191">
        <v>9151</v>
      </c>
      <c r="F29" s="191">
        <v>3110</v>
      </c>
      <c r="G29" s="191">
        <v>3065</v>
      </c>
      <c r="H29" s="192">
        <f t="shared" si="0"/>
        <v>0.98553054662379425</v>
      </c>
      <c r="I29" s="191">
        <v>6041</v>
      </c>
      <c r="J29" s="191">
        <v>4855</v>
      </c>
      <c r="K29" s="192">
        <f t="shared" si="1"/>
        <v>0.80367488826353251</v>
      </c>
      <c r="L29" s="191">
        <v>4853</v>
      </c>
      <c r="M29" s="191">
        <v>8829</v>
      </c>
      <c r="N29" s="192">
        <f t="shared" si="2"/>
        <v>9.0723751274209993E-2</v>
      </c>
      <c r="O29" s="192">
        <f t="shared" si="3"/>
        <v>0.86547918260299417</v>
      </c>
      <c r="P29" s="191">
        <f t="shared" si="4"/>
        <v>13659.03</v>
      </c>
      <c r="Q29"/>
      <c r="R29" s="191">
        <v>0</v>
      </c>
      <c r="S29" s="191">
        <v>801</v>
      </c>
      <c r="T29" s="191">
        <f t="shared" si="5"/>
        <v>78</v>
      </c>
      <c r="U29" s="191">
        <f t="shared" si="7"/>
        <v>879</v>
      </c>
      <c r="V29" s="192">
        <f t="shared" si="6"/>
        <v>0.10113636363636364</v>
      </c>
    </row>
    <row r="30" spans="1:22" s="191" customFormat="1">
      <c r="A30" s="190">
        <v>40508</v>
      </c>
      <c r="B30" s="191">
        <v>885</v>
      </c>
      <c r="C30" s="191">
        <v>17110</v>
      </c>
      <c r="D30" s="191">
        <v>8795</v>
      </c>
      <c r="E30" s="191">
        <v>8788</v>
      </c>
      <c r="F30" s="191">
        <v>3014</v>
      </c>
      <c r="G30" s="191">
        <v>3016</v>
      </c>
      <c r="H30" s="192">
        <f t="shared" si="0"/>
        <v>1.0006635700066357</v>
      </c>
      <c r="I30" s="191">
        <v>5774</v>
      </c>
      <c r="J30" s="191">
        <v>4524</v>
      </c>
      <c r="K30" s="192">
        <f t="shared" si="1"/>
        <v>0.78351229650155874</v>
      </c>
      <c r="L30" s="191">
        <v>4523</v>
      </c>
      <c r="M30" s="191">
        <v>8867</v>
      </c>
      <c r="N30" s="192">
        <f t="shared" si="2"/>
        <v>8.514717491823616E-2</v>
      </c>
      <c r="O30" s="192">
        <f t="shared" si="3"/>
        <v>0.85798816568047342</v>
      </c>
      <c r="P30" s="191">
        <f t="shared" si="4"/>
        <v>13567.05</v>
      </c>
      <c r="Q30"/>
      <c r="R30" s="191">
        <v>0</v>
      </c>
      <c r="S30" s="191">
        <v>755</v>
      </c>
      <c r="T30" s="191">
        <f t="shared" si="5"/>
        <v>86</v>
      </c>
      <c r="U30" s="191">
        <f t="shared" si="7"/>
        <v>841</v>
      </c>
      <c r="V30" s="192">
        <f t="shared" si="6"/>
        <v>0.10013262599469495</v>
      </c>
    </row>
    <row r="31" spans="1:22" s="191" customFormat="1">
      <c r="A31" s="190">
        <v>40515</v>
      </c>
      <c r="B31" s="191">
        <v>939</v>
      </c>
      <c r="C31" s="191">
        <v>16384</v>
      </c>
      <c r="D31" s="191">
        <v>9396</v>
      </c>
      <c r="E31" s="191">
        <v>9337</v>
      </c>
      <c r="F31" s="191">
        <v>3025</v>
      </c>
      <c r="G31" s="191">
        <v>3027</v>
      </c>
      <c r="H31" s="192">
        <f t="shared" si="0"/>
        <v>1.0006611570247934</v>
      </c>
      <c r="I31" s="191">
        <v>6312</v>
      </c>
      <c r="J31" s="191">
        <v>4969</v>
      </c>
      <c r="K31" s="192">
        <f t="shared" si="1"/>
        <v>0.78723067173637518</v>
      </c>
      <c r="L31" s="191">
        <v>4968</v>
      </c>
      <c r="M31" s="191">
        <v>9171</v>
      </c>
      <c r="N31" s="192">
        <f t="shared" si="2"/>
        <v>8.799476611056592E-2</v>
      </c>
      <c r="O31" s="192">
        <f t="shared" si="3"/>
        <v>0.85637785155831636</v>
      </c>
      <c r="P31" s="191">
        <f t="shared" si="4"/>
        <v>14394.87</v>
      </c>
      <c r="Q31"/>
      <c r="R31" s="191">
        <v>0</v>
      </c>
      <c r="S31" s="191">
        <v>807</v>
      </c>
      <c r="T31" s="191">
        <f t="shared" si="5"/>
        <v>235.71428571428578</v>
      </c>
      <c r="U31" s="191">
        <f t="shared" si="7"/>
        <v>1042.7142857142858</v>
      </c>
      <c r="V31" s="192">
        <f t="shared" si="6"/>
        <v>0.10092546273136568</v>
      </c>
    </row>
    <row r="32" spans="1:22" s="191" customFormat="1">
      <c r="A32" s="190">
        <v>40522</v>
      </c>
      <c r="B32" s="191">
        <v>937</v>
      </c>
      <c r="C32" s="191">
        <v>16717</v>
      </c>
      <c r="D32" s="191">
        <v>9335</v>
      </c>
      <c r="E32" s="191">
        <v>9344</v>
      </c>
      <c r="F32" s="191">
        <v>3132</v>
      </c>
      <c r="G32" s="191">
        <v>3133</v>
      </c>
      <c r="H32" s="192">
        <f t="shared" si="0"/>
        <v>1.0003192848020435</v>
      </c>
      <c r="I32" s="191">
        <v>6212</v>
      </c>
      <c r="J32" s="191">
        <v>4966</v>
      </c>
      <c r="K32" s="192">
        <f t="shared" si="1"/>
        <v>0.79942047649710235</v>
      </c>
      <c r="L32" s="191">
        <v>4965</v>
      </c>
      <c r="M32" s="191">
        <v>9349</v>
      </c>
      <c r="N32" s="192">
        <f t="shared" si="2"/>
        <v>8.7068135629479085E-2</v>
      </c>
      <c r="O32" s="192">
        <f t="shared" si="3"/>
        <v>0.86675941780821919</v>
      </c>
      <c r="P32" s="191">
        <f t="shared" si="4"/>
        <v>14364.21</v>
      </c>
      <c r="Q32"/>
      <c r="R32" s="191">
        <v>0</v>
      </c>
      <c r="S32" s="191">
        <v>814</v>
      </c>
      <c r="T32" s="191">
        <f t="shared" si="5"/>
        <v>75.428571428571104</v>
      </c>
      <c r="U32" s="191">
        <f t="shared" si="7"/>
        <v>889.4285714285711</v>
      </c>
      <c r="V32" s="192">
        <f t="shared" si="6"/>
        <v>0.10050623533769601</v>
      </c>
    </row>
    <row r="33" spans="1:22" s="191" customFormat="1">
      <c r="A33" s="190">
        <v>40529</v>
      </c>
      <c r="B33" s="191">
        <v>892</v>
      </c>
      <c r="C33" s="191">
        <v>16774</v>
      </c>
      <c r="D33" s="191">
        <v>9457</v>
      </c>
      <c r="E33" s="191">
        <v>9341</v>
      </c>
      <c r="F33" s="191">
        <v>3137</v>
      </c>
      <c r="G33" s="191">
        <v>3139</v>
      </c>
      <c r="H33" s="192">
        <f t="shared" si="0"/>
        <v>1.0006375518010839</v>
      </c>
      <c r="I33" s="191">
        <v>6204</v>
      </c>
      <c r="J33" s="191">
        <v>4936</v>
      </c>
      <c r="K33" s="192">
        <f t="shared" si="1"/>
        <v>0.79561573178594458</v>
      </c>
      <c r="L33" s="191">
        <v>4935</v>
      </c>
      <c r="M33" s="191">
        <v>9213</v>
      </c>
      <c r="N33" s="192">
        <f t="shared" si="2"/>
        <v>9.1826766525561709E-2</v>
      </c>
      <c r="O33" s="192">
        <f t="shared" si="3"/>
        <v>0.86446847232630342</v>
      </c>
      <c r="P33" s="191">
        <f t="shared" si="4"/>
        <v>13674.36</v>
      </c>
      <c r="Q33"/>
      <c r="R33" s="191">
        <v>0</v>
      </c>
      <c r="S33" s="191">
        <v>846</v>
      </c>
      <c r="T33" s="191">
        <f t="shared" si="5"/>
        <v>37.857142857143117</v>
      </c>
      <c r="U33" s="191">
        <f t="shared" si="7"/>
        <v>883.85714285714312</v>
      </c>
      <c r="V33" s="192">
        <f t="shared" si="6"/>
        <v>0.10476780185758514</v>
      </c>
    </row>
    <row r="34" spans="1:22" s="191" customFormat="1">
      <c r="A34" s="190">
        <v>40536</v>
      </c>
      <c r="B34" s="191">
        <v>913</v>
      </c>
      <c r="C34" s="191">
        <v>16841</v>
      </c>
      <c r="D34" s="191">
        <v>9281</v>
      </c>
      <c r="E34" s="191">
        <v>9303</v>
      </c>
      <c r="F34" s="191">
        <v>3211</v>
      </c>
      <c r="G34" s="191">
        <v>3212</v>
      </c>
      <c r="H34" s="192">
        <f t="shared" si="0"/>
        <v>1.000311429461227</v>
      </c>
      <c r="I34" s="191">
        <v>6092</v>
      </c>
      <c r="J34" s="191">
        <v>5009</v>
      </c>
      <c r="K34" s="192">
        <f t="shared" si="1"/>
        <v>0.82222586999343406</v>
      </c>
      <c r="L34" s="191">
        <v>5007</v>
      </c>
      <c r="M34" s="191">
        <v>9399</v>
      </c>
      <c r="N34" s="192">
        <f t="shared" si="2"/>
        <v>8.7775295244174906E-2</v>
      </c>
      <c r="O34" s="192">
        <f t="shared" si="3"/>
        <v>0.88369343222616359</v>
      </c>
      <c r="P34" s="191">
        <f t="shared" si="4"/>
        <v>13996.29</v>
      </c>
      <c r="Q34"/>
      <c r="R34" s="191">
        <v>0</v>
      </c>
      <c r="S34" s="191">
        <v>825</v>
      </c>
      <c r="T34" s="191">
        <f t="shared" si="5"/>
        <v>78.428571428571558</v>
      </c>
      <c r="U34" s="191">
        <f t="shared" si="7"/>
        <v>903.42857142857156</v>
      </c>
      <c r="V34" s="192">
        <f t="shared" si="6"/>
        <v>0.10035275513927747</v>
      </c>
    </row>
    <row r="35" spans="1:22" s="191" customFormat="1">
      <c r="A35" s="190">
        <v>40543</v>
      </c>
      <c r="B35" s="191">
        <v>904</v>
      </c>
      <c r="C35" s="191">
        <v>16858</v>
      </c>
      <c r="D35" s="191">
        <v>8920</v>
      </c>
      <c r="E35" s="191">
        <v>8862</v>
      </c>
      <c r="F35" s="191">
        <v>2770</v>
      </c>
      <c r="G35" s="191">
        <v>2765</v>
      </c>
      <c r="H35" s="192">
        <f t="shared" si="0"/>
        <v>0.99819494584837543</v>
      </c>
      <c r="I35" s="191">
        <v>6092</v>
      </c>
      <c r="J35" s="191">
        <v>4537</v>
      </c>
      <c r="K35" s="192">
        <f t="shared" si="1"/>
        <v>0.74474720945502293</v>
      </c>
      <c r="L35" s="191">
        <v>4535</v>
      </c>
      <c r="M35" s="191">
        <v>8853</v>
      </c>
      <c r="N35" s="192">
        <f t="shared" si="2"/>
        <v>8.3135660228171246E-2</v>
      </c>
      <c r="O35" s="192">
        <f t="shared" si="3"/>
        <v>0.82396750169262023</v>
      </c>
      <c r="P35" s="191">
        <f t="shared" si="4"/>
        <v>13858.32</v>
      </c>
      <c r="Q35"/>
      <c r="R35" s="191">
        <v>0</v>
      </c>
      <c r="S35" s="191">
        <v>736</v>
      </c>
      <c r="T35" s="191">
        <f t="shared" si="5"/>
        <v>165.57142857142844</v>
      </c>
      <c r="U35" s="191">
        <f t="shared" si="7"/>
        <v>901.57142857142844</v>
      </c>
      <c r="V35" s="192">
        <f t="shared" si="6"/>
        <v>0.10079430293070392</v>
      </c>
    </row>
    <row r="36" spans="1:22" s="191" customFormat="1">
      <c r="A36" s="190">
        <v>40550</v>
      </c>
      <c r="B36" s="191">
        <v>888</v>
      </c>
      <c r="C36" s="191">
        <v>17096</v>
      </c>
      <c r="D36" s="191">
        <v>8725</v>
      </c>
      <c r="E36" s="191">
        <v>8665</v>
      </c>
      <c r="F36" s="191">
        <v>2804</v>
      </c>
      <c r="G36" s="191">
        <v>2806</v>
      </c>
      <c r="H36" s="192">
        <f t="shared" si="0"/>
        <v>1.0007132667617689</v>
      </c>
      <c r="I36" s="191">
        <v>5861</v>
      </c>
      <c r="J36" s="191">
        <v>4508</v>
      </c>
      <c r="K36" s="192">
        <f t="shared" si="1"/>
        <v>0.76915202183927656</v>
      </c>
      <c r="L36" s="191">
        <v>4505</v>
      </c>
      <c r="M36" s="191">
        <v>8819</v>
      </c>
      <c r="N36" s="192">
        <f t="shared" si="2"/>
        <v>8.3229391087424873E-2</v>
      </c>
      <c r="O36" s="192">
        <f t="shared" si="3"/>
        <v>0.84408540103866125</v>
      </c>
      <c r="P36" s="191">
        <f t="shared" si="4"/>
        <v>13613.04</v>
      </c>
      <c r="Q36"/>
      <c r="R36" s="191">
        <v>0</v>
      </c>
      <c r="S36" s="191">
        <v>734</v>
      </c>
      <c r="T36" s="191">
        <f t="shared" si="5"/>
        <v>120</v>
      </c>
      <c r="U36" s="191">
        <f t="shared" si="7"/>
        <v>854</v>
      </c>
      <c r="V36" s="192">
        <f t="shared" si="6"/>
        <v>0.10035548263604047</v>
      </c>
    </row>
    <row r="37" spans="1:22" s="191" customFormat="1">
      <c r="A37" s="190">
        <v>40557</v>
      </c>
      <c r="B37" s="191">
        <v>913</v>
      </c>
      <c r="C37" s="191">
        <v>17801</v>
      </c>
      <c r="D37" s="191">
        <v>8867</v>
      </c>
      <c r="E37" s="191">
        <v>8791</v>
      </c>
      <c r="F37" s="191">
        <v>2944</v>
      </c>
      <c r="G37" s="191">
        <v>2946</v>
      </c>
      <c r="H37" s="192">
        <f t="shared" si="0"/>
        <v>1.0006793478260869</v>
      </c>
      <c r="I37" s="191">
        <v>5847</v>
      </c>
      <c r="J37" s="191">
        <v>4510</v>
      </c>
      <c r="K37" s="192">
        <f t="shared" si="1"/>
        <v>0.77133572772361891</v>
      </c>
      <c r="L37" s="191">
        <v>4509</v>
      </c>
      <c r="M37" s="191">
        <v>8775</v>
      </c>
      <c r="N37" s="192">
        <f t="shared" si="2"/>
        <v>8.5925925925925919E-2</v>
      </c>
      <c r="O37" s="192">
        <f t="shared" si="3"/>
        <v>0.84814014332840404</v>
      </c>
      <c r="P37" s="191">
        <f t="shared" si="4"/>
        <v>13996.29</v>
      </c>
      <c r="Q37"/>
      <c r="R37" s="191">
        <v>0</v>
      </c>
      <c r="S37" s="191">
        <v>754</v>
      </c>
      <c r="T37" s="191">
        <f t="shared" si="5"/>
        <v>58.285714285714221</v>
      </c>
      <c r="U37" s="191">
        <f t="shared" si="7"/>
        <v>812.28571428571422</v>
      </c>
      <c r="V37" s="192">
        <f t="shared" si="6"/>
        <v>0.10112660944206009</v>
      </c>
    </row>
    <row r="38" spans="1:22" s="191" customFormat="1">
      <c r="A38" s="190">
        <v>40564</v>
      </c>
      <c r="B38" s="191">
        <v>922</v>
      </c>
      <c r="C38" s="191">
        <v>19037</v>
      </c>
      <c r="D38" s="191">
        <v>8815</v>
      </c>
      <c r="E38" s="191">
        <v>8962</v>
      </c>
      <c r="F38" s="191">
        <v>2954</v>
      </c>
      <c r="G38" s="191">
        <v>2956</v>
      </c>
      <c r="H38" s="192">
        <f t="shared" si="0"/>
        <v>1.000677048070413</v>
      </c>
      <c r="I38" s="191">
        <v>6008</v>
      </c>
      <c r="J38" s="191">
        <v>4649</v>
      </c>
      <c r="K38" s="192">
        <f t="shared" si="1"/>
        <v>0.77380159786950731</v>
      </c>
      <c r="L38" s="191">
        <v>4647</v>
      </c>
      <c r="M38" s="191">
        <v>8632</v>
      </c>
      <c r="N38" s="192">
        <f t="shared" si="2"/>
        <v>8.8276181649675628E-2</v>
      </c>
      <c r="O38" s="192">
        <f t="shared" si="3"/>
        <v>0.84858290560142824</v>
      </c>
      <c r="P38" s="191">
        <f t="shared" si="4"/>
        <v>14134.26</v>
      </c>
      <c r="Q38"/>
      <c r="R38" s="191">
        <v>0</v>
      </c>
      <c r="S38" s="191">
        <v>762</v>
      </c>
      <c r="T38" s="191">
        <f t="shared" si="5"/>
        <v>-16.571428571428442</v>
      </c>
      <c r="U38" s="191">
        <f t="shared" si="7"/>
        <v>745.42857142857156</v>
      </c>
      <c r="V38" s="192">
        <f t="shared" si="6"/>
        <v>0.10019723865877712</v>
      </c>
    </row>
    <row r="39" spans="1:22" s="191" customFormat="1">
      <c r="A39" s="190">
        <v>40571</v>
      </c>
      <c r="B39" s="191">
        <v>908</v>
      </c>
      <c r="C39" s="191">
        <v>18890</v>
      </c>
      <c r="D39" s="191">
        <v>8827</v>
      </c>
      <c r="E39" s="191">
        <v>8775</v>
      </c>
      <c r="F39" s="191">
        <v>2928</v>
      </c>
      <c r="G39" s="191">
        <v>2930</v>
      </c>
      <c r="H39" s="192">
        <f t="shared" si="0"/>
        <v>1.0006830601092895</v>
      </c>
      <c r="I39" s="191">
        <v>5847</v>
      </c>
      <c r="J39" s="191">
        <v>4684</v>
      </c>
      <c r="K39" s="192">
        <f t="shared" si="1"/>
        <v>0.80109457841628184</v>
      </c>
      <c r="L39" s="191">
        <v>4682</v>
      </c>
      <c r="M39" s="191">
        <v>8549</v>
      </c>
      <c r="N39" s="192">
        <f t="shared" si="2"/>
        <v>8.9952041174406361E-2</v>
      </c>
      <c r="O39" s="192">
        <f t="shared" si="3"/>
        <v>0.86769230769230765</v>
      </c>
      <c r="P39" s="191">
        <f t="shared" si="4"/>
        <v>13919.64</v>
      </c>
      <c r="Q39"/>
      <c r="R39" s="191">
        <v>0</v>
      </c>
      <c r="S39" s="191">
        <v>769</v>
      </c>
      <c r="T39" s="191">
        <f t="shared" si="5"/>
        <v>160</v>
      </c>
      <c r="U39" s="191">
        <f t="shared" si="7"/>
        <v>929</v>
      </c>
      <c r="V39" s="192">
        <f t="shared" si="6"/>
        <v>0.10099816128184923</v>
      </c>
    </row>
    <row r="40" spans="1:22" s="191" customFormat="1">
      <c r="A40" s="190">
        <v>40578</v>
      </c>
      <c r="B40" s="191">
        <v>900</v>
      </c>
      <c r="C40" s="191">
        <v>19576</v>
      </c>
      <c r="D40" s="191">
        <v>9076</v>
      </c>
      <c r="E40" s="191">
        <v>8891</v>
      </c>
      <c r="F40" s="191">
        <v>2842</v>
      </c>
      <c r="G40" s="191">
        <v>2843</v>
      </c>
      <c r="H40" s="192">
        <f t="shared" si="0"/>
        <v>1.0003518648838845</v>
      </c>
      <c r="I40" s="191">
        <v>6050</v>
      </c>
      <c r="J40" s="191">
        <v>4657</v>
      </c>
      <c r="K40" s="192">
        <f t="shared" si="1"/>
        <v>0.76975206611570246</v>
      </c>
      <c r="L40" s="191">
        <v>4656</v>
      </c>
      <c r="M40" s="191">
        <v>8524</v>
      </c>
      <c r="N40" s="192">
        <f t="shared" si="2"/>
        <v>8.8221492257156267E-2</v>
      </c>
      <c r="O40" s="192">
        <f t="shared" si="3"/>
        <v>0.84354965695647288</v>
      </c>
      <c r="P40" s="191">
        <f t="shared" si="4"/>
        <v>13797</v>
      </c>
      <c r="Q40"/>
      <c r="R40" s="191">
        <v>0</v>
      </c>
      <c r="S40" s="191">
        <v>752</v>
      </c>
      <c r="T40" s="191">
        <f t="shared" si="5"/>
        <v>50</v>
      </c>
      <c r="U40" s="191">
        <f t="shared" si="7"/>
        <v>802</v>
      </c>
      <c r="V40" s="192">
        <f t="shared" si="6"/>
        <v>0.10026666666666667</v>
      </c>
    </row>
    <row r="41" spans="1:22" s="191" customFormat="1">
      <c r="A41" s="190">
        <v>40585</v>
      </c>
      <c r="B41" s="191">
        <v>893</v>
      </c>
      <c r="C41" s="191">
        <v>19576</v>
      </c>
      <c r="D41" s="191">
        <v>9169</v>
      </c>
      <c r="E41" s="191">
        <v>8891</v>
      </c>
      <c r="F41" s="191">
        <v>3009</v>
      </c>
      <c r="G41" s="191">
        <v>3010</v>
      </c>
      <c r="H41" s="192">
        <f t="shared" si="0"/>
        <v>1.0003323363243604</v>
      </c>
      <c r="I41" s="191">
        <v>5882</v>
      </c>
      <c r="J41" s="191">
        <v>4661</v>
      </c>
      <c r="K41" s="192">
        <f t="shared" si="1"/>
        <v>0.79241754505270312</v>
      </c>
      <c r="L41" s="191">
        <v>4660</v>
      </c>
      <c r="M41" s="191">
        <v>8810</v>
      </c>
      <c r="N41" s="192">
        <f t="shared" si="2"/>
        <v>8.7854710556186155E-2</v>
      </c>
      <c r="O41" s="192">
        <f t="shared" si="3"/>
        <v>0.86278258913508044</v>
      </c>
      <c r="P41" s="191">
        <f t="shared" si="4"/>
        <v>13689.69</v>
      </c>
      <c r="Q41"/>
      <c r="R41" s="191">
        <v>0</v>
      </c>
      <c r="S41" s="191">
        <v>774</v>
      </c>
      <c r="T41" s="191">
        <f t="shared" si="5"/>
        <v>119</v>
      </c>
      <c r="U41" s="191">
        <f t="shared" si="7"/>
        <v>893</v>
      </c>
      <c r="V41" s="192">
        <f t="shared" si="6"/>
        <v>0.10089949159170904</v>
      </c>
    </row>
    <row r="42" spans="1:22" s="191" customFormat="1">
      <c r="A42" s="190">
        <v>40592</v>
      </c>
      <c r="B42" s="191">
        <v>888</v>
      </c>
      <c r="C42" s="191">
        <v>19349</v>
      </c>
      <c r="D42" s="191">
        <v>9143</v>
      </c>
      <c r="E42" s="191">
        <v>8961</v>
      </c>
      <c r="F42" s="191">
        <v>3071</v>
      </c>
      <c r="G42" s="191">
        <v>3072</v>
      </c>
      <c r="H42" s="192">
        <f t="shared" si="0"/>
        <v>1.0003256268316509</v>
      </c>
      <c r="I42" s="191">
        <v>5890</v>
      </c>
      <c r="J42" s="191">
        <v>4960</v>
      </c>
      <c r="K42" s="192">
        <f t="shared" si="1"/>
        <v>0.84210526315789469</v>
      </c>
      <c r="L42" s="191">
        <v>4959</v>
      </c>
      <c r="M42" s="191">
        <v>9101</v>
      </c>
      <c r="N42" s="192">
        <f t="shared" si="2"/>
        <v>9.0429623118338645E-2</v>
      </c>
      <c r="O42" s="192">
        <f t="shared" si="3"/>
        <v>0.89632853476174534</v>
      </c>
      <c r="P42" s="191">
        <f t="shared" si="4"/>
        <v>13613.04</v>
      </c>
      <c r="Q42"/>
      <c r="R42" s="191">
        <v>0</v>
      </c>
      <c r="S42" s="191">
        <v>823</v>
      </c>
      <c r="T42" s="191">
        <f t="shared" si="5"/>
        <v>97.428571428571104</v>
      </c>
      <c r="U42" s="191">
        <f t="shared" si="7"/>
        <v>920.4285714285711</v>
      </c>
      <c r="V42" s="192">
        <f t="shared" si="6"/>
        <v>0.10246513944223108</v>
      </c>
    </row>
    <row r="43" spans="1:22" s="191" customFormat="1">
      <c r="A43" s="190">
        <v>40599</v>
      </c>
      <c r="B43" s="191">
        <v>882</v>
      </c>
      <c r="C43" s="191">
        <v>19127</v>
      </c>
      <c r="D43" s="191">
        <v>9226</v>
      </c>
      <c r="E43" s="191">
        <v>9104</v>
      </c>
      <c r="F43" s="191">
        <v>3048</v>
      </c>
      <c r="G43" s="191">
        <v>3049</v>
      </c>
      <c r="H43" s="192">
        <f t="shared" si="0"/>
        <v>1.0003280839895012</v>
      </c>
      <c r="I43" s="191">
        <v>6056</v>
      </c>
      <c r="J43" s="191">
        <v>5003</v>
      </c>
      <c r="K43" s="192">
        <f t="shared" si="1"/>
        <v>0.82612285336856006</v>
      </c>
      <c r="L43" s="191">
        <v>5002</v>
      </c>
      <c r="M43" s="191">
        <v>9162</v>
      </c>
      <c r="N43" s="192">
        <f t="shared" si="2"/>
        <v>8.9718402095612312E-2</v>
      </c>
      <c r="O43" s="192">
        <f t="shared" si="3"/>
        <v>0.88444639718804918</v>
      </c>
      <c r="P43" s="191">
        <f t="shared" si="4"/>
        <v>13521.06</v>
      </c>
      <c r="Q43"/>
      <c r="R43" s="191">
        <v>0</v>
      </c>
      <c r="S43" s="191">
        <v>822</v>
      </c>
      <c r="T43" s="191">
        <f t="shared" si="5"/>
        <v>91.714285714285779</v>
      </c>
      <c r="U43" s="191">
        <f t="shared" si="7"/>
        <v>913.71428571428578</v>
      </c>
      <c r="V43" s="192">
        <f t="shared" si="6"/>
        <v>0.10208643815201192</v>
      </c>
    </row>
    <row r="44" spans="1:22" s="191" customFormat="1">
      <c r="A44" s="190">
        <v>40606</v>
      </c>
      <c r="B44" s="191">
        <v>883</v>
      </c>
      <c r="C44" s="191">
        <v>19873</v>
      </c>
      <c r="D44" s="191">
        <v>9026</v>
      </c>
      <c r="E44" s="191">
        <v>8987</v>
      </c>
      <c r="F44" s="191">
        <v>2979</v>
      </c>
      <c r="G44" s="191">
        <v>2981</v>
      </c>
      <c r="H44" s="192">
        <f t="shared" si="0"/>
        <v>1.0006713662302786</v>
      </c>
      <c r="I44" s="191">
        <v>6008</v>
      </c>
      <c r="J44" s="191">
        <v>4866</v>
      </c>
      <c r="K44" s="192">
        <f t="shared" si="1"/>
        <v>0.80992010652463386</v>
      </c>
      <c r="L44" s="191">
        <v>4864</v>
      </c>
      <c r="M44" s="191">
        <v>9192</v>
      </c>
      <c r="N44" s="192">
        <f t="shared" si="2"/>
        <v>8.6488250652741516E-2</v>
      </c>
      <c r="O44" s="192">
        <f t="shared" si="3"/>
        <v>0.87315010570824525</v>
      </c>
      <c r="P44" s="191">
        <f t="shared" si="4"/>
        <v>13536.39</v>
      </c>
      <c r="Q44"/>
      <c r="R44" s="191">
        <v>0</v>
      </c>
      <c r="S44" s="191">
        <v>795</v>
      </c>
      <c r="T44" s="191">
        <f t="shared" si="5"/>
        <v>-18.571428571428442</v>
      </c>
      <c r="U44" s="191">
        <f t="shared" si="7"/>
        <v>776.42857142857156</v>
      </c>
      <c r="V44" s="192">
        <f t="shared" si="6"/>
        <v>0.10131260354275519</v>
      </c>
    </row>
    <row r="45" spans="1:22" s="191" customFormat="1">
      <c r="A45" s="190">
        <v>40613</v>
      </c>
      <c r="B45" s="191">
        <v>895</v>
      </c>
      <c r="C45" s="191">
        <v>19905</v>
      </c>
      <c r="D45" s="191">
        <v>8744</v>
      </c>
      <c r="E45" s="191">
        <v>8880</v>
      </c>
      <c r="F45" s="191">
        <v>2987</v>
      </c>
      <c r="G45" s="191">
        <v>2988</v>
      </c>
      <c r="H45" s="192">
        <f t="shared" si="0"/>
        <v>1.0003347840642784</v>
      </c>
      <c r="I45" s="191">
        <v>5893</v>
      </c>
      <c r="J45" s="191">
        <v>4909</v>
      </c>
      <c r="K45" s="192">
        <f t="shared" si="1"/>
        <v>0.83302222976412688</v>
      </c>
      <c r="L45" s="191">
        <v>4907</v>
      </c>
      <c r="M45" s="191">
        <v>8830</v>
      </c>
      <c r="N45" s="192">
        <f t="shared" si="2"/>
        <v>8.98074745186863E-2</v>
      </c>
      <c r="O45" s="192">
        <f t="shared" si="3"/>
        <v>0.88930180180180185</v>
      </c>
      <c r="P45" s="191">
        <f t="shared" si="4"/>
        <v>13720.35</v>
      </c>
      <c r="Q45"/>
      <c r="R45" s="191">
        <v>0</v>
      </c>
      <c r="S45" s="191">
        <v>793</v>
      </c>
      <c r="T45" s="191">
        <f t="shared" si="5"/>
        <v>97.428571428571558</v>
      </c>
      <c r="U45" s="191">
        <f t="shared" si="7"/>
        <v>890.42857142857156</v>
      </c>
      <c r="V45" s="192">
        <f t="shared" si="6"/>
        <v>0.1004178802076738</v>
      </c>
    </row>
    <row r="46" spans="1:22" s="191" customFormat="1">
      <c r="A46" s="190">
        <v>40620</v>
      </c>
      <c r="B46" s="191">
        <v>913</v>
      </c>
      <c r="C46" s="191">
        <v>20048</v>
      </c>
      <c r="D46" s="191">
        <v>9026</v>
      </c>
      <c r="E46" s="191">
        <v>9067</v>
      </c>
      <c r="F46" s="191">
        <v>3052</v>
      </c>
      <c r="G46" s="191">
        <v>3054</v>
      </c>
      <c r="H46" s="192">
        <f t="shared" si="0"/>
        <v>1.0006553079947575</v>
      </c>
      <c r="I46" s="191">
        <v>6014</v>
      </c>
      <c r="J46" s="191">
        <v>4952</v>
      </c>
      <c r="K46" s="192">
        <f t="shared" si="1"/>
        <v>0.82341203857665446</v>
      </c>
      <c r="L46" s="191">
        <v>4950</v>
      </c>
      <c r="M46" s="191">
        <v>9074</v>
      </c>
      <c r="N46" s="192">
        <f t="shared" si="2"/>
        <v>8.860480493718316E-2</v>
      </c>
      <c r="O46" s="192">
        <f t="shared" si="3"/>
        <v>0.88298224329987873</v>
      </c>
      <c r="P46" s="191">
        <f t="shared" si="4"/>
        <v>13996.29</v>
      </c>
      <c r="Q46"/>
      <c r="R46" s="191">
        <v>0</v>
      </c>
      <c r="S46" s="191">
        <v>804</v>
      </c>
      <c r="T46" s="191">
        <f t="shared" si="5"/>
        <v>88.571428571428442</v>
      </c>
      <c r="U46" s="191">
        <f t="shared" si="7"/>
        <v>892.57142857142844</v>
      </c>
      <c r="V46" s="192">
        <f t="shared" si="6"/>
        <v>0.10042468148888334</v>
      </c>
    </row>
    <row r="47" spans="1:22" s="191" customFormat="1">
      <c r="A47" s="190">
        <v>40627</v>
      </c>
      <c r="B47" s="191">
        <v>903</v>
      </c>
      <c r="C47" s="191">
        <v>20092</v>
      </c>
      <c r="D47" s="191">
        <v>8696</v>
      </c>
      <c r="E47" s="191">
        <v>8821</v>
      </c>
      <c r="F47" s="191">
        <v>2941</v>
      </c>
      <c r="G47" s="191">
        <v>2943</v>
      </c>
      <c r="H47" s="192">
        <f t="shared" si="0"/>
        <v>1.0006800408024481</v>
      </c>
      <c r="I47" s="191">
        <v>5880</v>
      </c>
      <c r="J47" s="191">
        <v>4867</v>
      </c>
      <c r="K47" s="192">
        <f t="shared" si="1"/>
        <v>0.82772108843537417</v>
      </c>
      <c r="L47" s="191">
        <v>4865</v>
      </c>
      <c r="M47" s="191">
        <v>8866</v>
      </c>
      <c r="N47" s="192">
        <f t="shared" si="2"/>
        <v>9.1247462215204148E-2</v>
      </c>
      <c r="O47" s="192">
        <f t="shared" si="3"/>
        <v>0.88538714431470356</v>
      </c>
      <c r="P47" s="191">
        <f t="shared" si="4"/>
        <v>13842.99</v>
      </c>
      <c r="Q47"/>
      <c r="R47" s="191">
        <v>0</v>
      </c>
      <c r="S47" s="191">
        <v>809</v>
      </c>
      <c r="T47" s="191">
        <f t="shared" si="5"/>
        <v>87.714285714285779</v>
      </c>
      <c r="U47" s="191">
        <f t="shared" si="7"/>
        <v>896.71428571428578</v>
      </c>
      <c r="V47" s="192">
        <f t="shared" si="6"/>
        <v>0.10358514724711908</v>
      </c>
    </row>
    <row r="48" spans="1:22" s="191" customFormat="1">
      <c r="A48" s="190">
        <v>40634</v>
      </c>
      <c r="B48" s="191">
        <v>902</v>
      </c>
      <c r="C48" s="191">
        <v>20060</v>
      </c>
      <c r="D48" s="191">
        <v>8810</v>
      </c>
      <c r="E48" s="191">
        <v>8891</v>
      </c>
      <c r="F48" s="191">
        <v>2980</v>
      </c>
      <c r="G48" s="191">
        <v>2981</v>
      </c>
      <c r="H48" s="192">
        <f t="shared" si="0"/>
        <v>1.0003355704697987</v>
      </c>
      <c r="I48" s="191">
        <v>5911</v>
      </c>
      <c r="J48" s="191">
        <v>4850</v>
      </c>
      <c r="K48" s="192">
        <f t="shared" si="1"/>
        <v>0.8205041448147522</v>
      </c>
      <c r="L48" s="191">
        <v>4848</v>
      </c>
      <c r="M48" s="191">
        <v>8853</v>
      </c>
      <c r="N48" s="192">
        <f t="shared" si="2"/>
        <v>8.8783463232802437E-2</v>
      </c>
      <c r="O48" s="192">
        <f t="shared" si="3"/>
        <v>0.88077831515015181</v>
      </c>
      <c r="P48" s="191">
        <f t="shared" si="4"/>
        <v>13827.66</v>
      </c>
      <c r="Q48"/>
      <c r="R48" s="191">
        <v>0</v>
      </c>
      <c r="S48" s="191">
        <v>786</v>
      </c>
      <c r="T48" s="191">
        <f t="shared" si="5"/>
        <v>120.57142857142844</v>
      </c>
      <c r="U48" s="191">
        <f t="shared" si="7"/>
        <v>906.57142857142844</v>
      </c>
      <c r="V48" s="192">
        <f t="shared" si="6"/>
        <v>0.1003703230749585</v>
      </c>
    </row>
    <row r="49" spans="1:22" s="191" customFormat="1">
      <c r="A49" s="190">
        <v>40641</v>
      </c>
      <c r="B49" s="191">
        <v>898</v>
      </c>
      <c r="C49" s="191">
        <v>20515</v>
      </c>
      <c r="D49" s="191">
        <v>8970</v>
      </c>
      <c r="E49" s="191">
        <v>8850</v>
      </c>
      <c r="F49" s="191">
        <v>2983</v>
      </c>
      <c r="G49" s="191">
        <v>2964</v>
      </c>
      <c r="H49" s="192">
        <f t="shared" si="0"/>
        <v>0.99363057324840764</v>
      </c>
      <c r="I49" s="191">
        <v>5868</v>
      </c>
      <c r="J49" s="191">
        <v>4900</v>
      </c>
      <c r="K49" s="192">
        <f t="shared" si="1"/>
        <v>0.83503749147920925</v>
      </c>
      <c r="L49" s="191">
        <v>4898</v>
      </c>
      <c r="M49" s="191">
        <v>9181</v>
      </c>
      <c r="N49" s="192">
        <f t="shared" si="2"/>
        <v>8.5938350942163164E-2</v>
      </c>
      <c r="O49" s="192">
        <f t="shared" si="3"/>
        <v>0.88858757062146898</v>
      </c>
      <c r="P49" s="191">
        <f t="shared" si="4"/>
        <v>13766.34</v>
      </c>
      <c r="Q49"/>
      <c r="R49" s="191">
        <v>0</v>
      </c>
      <c r="S49" s="191">
        <v>789</v>
      </c>
      <c r="T49" s="191">
        <f t="shared" si="5"/>
        <v>44</v>
      </c>
      <c r="U49" s="191">
        <f t="shared" si="7"/>
        <v>833</v>
      </c>
      <c r="V49" s="192">
        <f t="shared" si="6"/>
        <v>0.10033062054933876</v>
      </c>
    </row>
    <row r="50" spans="1:22" s="191" customFormat="1">
      <c r="A50" s="190">
        <v>40648</v>
      </c>
      <c r="B50" s="191">
        <v>856</v>
      </c>
      <c r="C50" s="191">
        <v>20091</v>
      </c>
      <c r="D50" s="191">
        <v>9168</v>
      </c>
      <c r="E50" s="191">
        <v>9156</v>
      </c>
      <c r="F50" s="191">
        <v>2990</v>
      </c>
      <c r="G50" s="191">
        <v>2978</v>
      </c>
      <c r="H50" s="192">
        <f t="shared" si="0"/>
        <v>0.99598662207357858</v>
      </c>
      <c r="I50" s="191">
        <v>6166</v>
      </c>
      <c r="J50" s="191">
        <v>4984</v>
      </c>
      <c r="K50" s="192">
        <f t="shared" si="1"/>
        <v>0.80830360038923121</v>
      </c>
      <c r="L50" s="191">
        <v>4981</v>
      </c>
      <c r="M50" s="191">
        <v>9062</v>
      </c>
      <c r="N50" s="192">
        <f t="shared" si="2"/>
        <v>8.8060030898256453E-2</v>
      </c>
      <c r="O50" s="192">
        <f t="shared" si="3"/>
        <v>0.86959370904325028</v>
      </c>
      <c r="P50" s="191">
        <f t="shared" si="4"/>
        <v>13122.48</v>
      </c>
      <c r="Q50"/>
      <c r="R50" s="191">
        <v>0</v>
      </c>
      <c r="S50" s="191">
        <v>798</v>
      </c>
      <c r="T50" s="191">
        <f t="shared" si="5"/>
        <v>118.57142857142844</v>
      </c>
      <c r="U50" s="191">
        <f t="shared" si="7"/>
        <v>916.57142857142844</v>
      </c>
      <c r="V50" s="192">
        <f t="shared" si="6"/>
        <v>0.10022607385079126</v>
      </c>
    </row>
    <row r="51" spans="1:22" s="191" customFormat="1">
      <c r="A51" s="190">
        <v>40655</v>
      </c>
      <c r="B51" s="191">
        <v>883</v>
      </c>
      <c r="C51" s="191">
        <v>19283</v>
      </c>
      <c r="D51" s="191">
        <v>8841</v>
      </c>
      <c r="E51" s="191">
        <v>8784</v>
      </c>
      <c r="F51" s="191">
        <v>2958</v>
      </c>
      <c r="G51" s="191">
        <v>2937</v>
      </c>
      <c r="H51" s="192">
        <f t="shared" si="0"/>
        <v>0.99290060851926976</v>
      </c>
      <c r="I51" s="191">
        <v>5826</v>
      </c>
      <c r="J51" s="191">
        <v>4826</v>
      </c>
      <c r="K51" s="192">
        <f t="shared" si="1"/>
        <v>0.82835564709921039</v>
      </c>
      <c r="L51" s="191">
        <v>4823</v>
      </c>
      <c r="M51" s="191">
        <v>9148</v>
      </c>
      <c r="N51" s="192">
        <f t="shared" si="2"/>
        <v>8.5155225185832975E-2</v>
      </c>
      <c r="O51" s="192">
        <f t="shared" si="3"/>
        <v>0.88376593806921677</v>
      </c>
      <c r="P51" s="191">
        <f t="shared" si="4"/>
        <v>13536.39</v>
      </c>
      <c r="Q51"/>
      <c r="R51" s="191">
        <v>0</v>
      </c>
      <c r="S51" s="191">
        <v>779</v>
      </c>
      <c r="T51" s="191">
        <f t="shared" si="5"/>
        <v>219.42857142857156</v>
      </c>
      <c r="U51" s="191">
        <f t="shared" si="7"/>
        <v>998.42857142857156</v>
      </c>
      <c r="V51" s="192">
        <f t="shared" si="6"/>
        <v>0.10034780368414273</v>
      </c>
    </row>
    <row r="52" spans="1:22" s="191" customFormat="1">
      <c r="A52" s="190">
        <v>40662</v>
      </c>
      <c r="B52" s="191">
        <v>875</v>
      </c>
      <c r="C52" s="191">
        <v>19771</v>
      </c>
      <c r="D52" s="191">
        <v>8826</v>
      </c>
      <c r="E52" s="191">
        <v>8951</v>
      </c>
      <c r="F52" s="191">
        <v>2939</v>
      </c>
      <c r="G52" s="191">
        <v>2924</v>
      </c>
      <c r="H52" s="192">
        <f t="shared" si="0"/>
        <v>0.99489622320517179</v>
      </c>
      <c r="I52" s="191">
        <v>6011</v>
      </c>
      <c r="J52" s="191">
        <v>5063</v>
      </c>
      <c r="K52" s="192">
        <f t="shared" si="1"/>
        <v>0.84228913658293125</v>
      </c>
      <c r="L52" s="191">
        <v>5061</v>
      </c>
      <c r="M52" s="191">
        <v>8943</v>
      </c>
      <c r="N52" s="192">
        <f t="shared" si="2"/>
        <v>8.945544000894555E-2</v>
      </c>
      <c r="O52" s="192">
        <f t="shared" si="3"/>
        <v>0.89230253602949394</v>
      </c>
      <c r="P52" s="191">
        <f t="shared" si="4"/>
        <v>13413.75</v>
      </c>
      <c r="Q52"/>
      <c r="R52" s="191">
        <v>0</v>
      </c>
      <c r="S52" s="191">
        <v>800</v>
      </c>
      <c r="T52" s="191">
        <f t="shared" si="5"/>
        <v>5.2857142857142208</v>
      </c>
      <c r="U52" s="191">
        <f t="shared" si="7"/>
        <v>805.28571428571422</v>
      </c>
      <c r="V52" s="192">
        <f t="shared" si="6"/>
        <v>0.10016276449229999</v>
      </c>
    </row>
    <row r="53" spans="1:22" s="191" customFormat="1">
      <c r="A53" s="190">
        <v>40669</v>
      </c>
      <c r="B53" s="191">
        <v>862</v>
      </c>
      <c r="C53" s="191">
        <v>20439</v>
      </c>
      <c r="D53" s="191">
        <v>8876</v>
      </c>
      <c r="E53" s="191">
        <v>8941</v>
      </c>
      <c r="F53" s="191">
        <v>2963</v>
      </c>
      <c r="G53" s="191">
        <v>2947</v>
      </c>
      <c r="H53" s="192">
        <f t="shared" si="0"/>
        <v>0.9946000674991563</v>
      </c>
      <c r="I53" s="191">
        <v>5978</v>
      </c>
      <c r="J53" s="191">
        <v>4868</v>
      </c>
      <c r="K53" s="192">
        <f t="shared" si="1"/>
        <v>0.81431917029106726</v>
      </c>
      <c r="L53" s="191">
        <v>4865</v>
      </c>
      <c r="M53" s="191">
        <v>8826</v>
      </c>
      <c r="N53" s="192">
        <f t="shared" si="2"/>
        <v>8.9168366190799903E-2</v>
      </c>
      <c r="O53" s="192">
        <f t="shared" si="3"/>
        <v>0.87406330388099762</v>
      </c>
      <c r="P53" s="191">
        <f t="shared" si="4"/>
        <v>13214.46</v>
      </c>
      <c r="Q53"/>
      <c r="R53" s="191">
        <v>0</v>
      </c>
      <c r="S53" s="191">
        <v>787</v>
      </c>
      <c r="T53" s="191">
        <f t="shared" si="5"/>
        <v>-20.428571428571104</v>
      </c>
      <c r="U53" s="191">
        <f t="shared" si="7"/>
        <v>766.5714285714289</v>
      </c>
      <c r="V53" s="192">
        <f t="shared" si="6"/>
        <v>0.10070377479206653</v>
      </c>
    </row>
    <row r="54" spans="1:22" s="191" customFormat="1">
      <c r="A54" s="190">
        <v>40676</v>
      </c>
      <c r="B54" s="191">
        <v>900</v>
      </c>
      <c r="C54" s="191">
        <v>20412</v>
      </c>
      <c r="D54" s="191">
        <v>9131</v>
      </c>
      <c r="E54" s="191">
        <v>9243</v>
      </c>
      <c r="F54" s="191">
        <v>3038</v>
      </c>
      <c r="G54" s="191">
        <v>3011</v>
      </c>
      <c r="H54" s="192">
        <f t="shared" si="0"/>
        <v>0.9911125740618828</v>
      </c>
      <c r="I54" s="191">
        <v>6205</v>
      </c>
      <c r="J54" s="191">
        <v>5078</v>
      </c>
      <c r="K54" s="192">
        <f t="shared" si="1"/>
        <v>0.81837228041901688</v>
      </c>
      <c r="L54" s="191">
        <v>5075</v>
      </c>
      <c r="M54" s="191">
        <v>9048</v>
      </c>
      <c r="N54" s="192">
        <f t="shared" si="2"/>
        <v>8.9743589743589744E-2</v>
      </c>
      <c r="O54" s="192">
        <f t="shared" si="3"/>
        <v>0.87514876122471064</v>
      </c>
      <c r="P54" s="191">
        <f t="shared" si="4"/>
        <v>13797</v>
      </c>
      <c r="Q54"/>
      <c r="R54" s="191">
        <v>0</v>
      </c>
      <c r="S54" s="191">
        <v>812</v>
      </c>
      <c r="T54" s="191">
        <f t="shared" si="5"/>
        <v>91.857142857142662</v>
      </c>
      <c r="U54" s="191">
        <f t="shared" si="7"/>
        <v>903.85714285714266</v>
      </c>
      <c r="V54" s="192">
        <f t="shared" si="6"/>
        <v>0.1003832364940042</v>
      </c>
    </row>
    <row r="55" spans="1:22" s="191" customFormat="1">
      <c r="A55" s="190">
        <v>40683</v>
      </c>
      <c r="B55" s="191">
        <v>902</v>
      </c>
      <c r="C55" s="191">
        <v>20797</v>
      </c>
      <c r="D55" s="191">
        <v>9259</v>
      </c>
      <c r="E55" s="191">
        <v>9267</v>
      </c>
      <c r="F55" s="191">
        <v>3013</v>
      </c>
      <c r="G55" s="191">
        <v>2992</v>
      </c>
      <c r="H55" s="192">
        <f t="shared" si="0"/>
        <v>0.99303020245602391</v>
      </c>
      <c r="I55" s="191">
        <v>6254</v>
      </c>
      <c r="J55" s="191">
        <v>5017</v>
      </c>
      <c r="K55" s="192">
        <f t="shared" si="1"/>
        <v>0.80220658778381837</v>
      </c>
      <c r="L55" s="191">
        <v>5015</v>
      </c>
      <c r="M55" s="191">
        <v>9025</v>
      </c>
      <c r="N55" s="192">
        <f t="shared" si="2"/>
        <v>8.9307479224376735E-2</v>
      </c>
      <c r="O55" s="192">
        <f t="shared" si="3"/>
        <v>0.86424948742850971</v>
      </c>
      <c r="P55" s="191">
        <f t="shared" si="4"/>
        <v>13827.66</v>
      </c>
      <c r="Q55"/>
      <c r="R55" s="191">
        <v>0</v>
      </c>
      <c r="S55" s="191">
        <v>806</v>
      </c>
      <c r="T55" s="191">
        <f t="shared" si="5"/>
        <v>41</v>
      </c>
      <c r="U55" s="191">
        <f t="shared" si="7"/>
        <v>847</v>
      </c>
      <c r="V55" s="192">
        <f t="shared" si="6"/>
        <v>0.10063678361842927</v>
      </c>
    </row>
    <row r="56" spans="1:22" s="191" customFormat="1">
      <c r="A56" s="190">
        <v>40690</v>
      </c>
      <c r="B56" s="191">
        <v>909</v>
      </c>
      <c r="C56" s="191">
        <v>20227</v>
      </c>
      <c r="D56" s="191">
        <v>9433</v>
      </c>
      <c r="E56" s="191">
        <v>9575</v>
      </c>
      <c r="F56" s="191">
        <v>3083</v>
      </c>
      <c r="G56" s="191">
        <v>3059</v>
      </c>
      <c r="H56" s="192">
        <f t="shared" si="0"/>
        <v>0.99221537463509568</v>
      </c>
      <c r="I56" s="191">
        <v>6492</v>
      </c>
      <c r="J56" s="191">
        <v>5104</v>
      </c>
      <c r="K56" s="192">
        <f t="shared" si="1"/>
        <v>0.78619839802834257</v>
      </c>
      <c r="L56" s="191">
        <v>5101</v>
      </c>
      <c r="M56" s="191">
        <v>9431</v>
      </c>
      <c r="N56" s="192">
        <f t="shared" si="2"/>
        <v>8.7159368041565058E-2</v>
      </c>
      <c r="O56" s="192">
        <f t="shared" si="3"/>
        <v>0.85253263707571802</v>
      </c>
      <c r="P56" s="191">
        <f t="shared" si="4"/>
        <v>13934.97</v>
      </c>
      <c r="Q56"/>
      <c r="R56" s="191">
        <v>0</v>
      </c>
      <c r="S56" s="191">
        <v>822</v>
      </c>
      <c r="T56" s="191">
        <f t="shared" si="5"/>
        <v>168.42857142857156</v>
      </c>
      <c r="U56" s="191">
        <f t="shared" si="7"/>
        <v>990.42857142857156</v>
      </c>
      <c r="V56" s="192">
        <f t="shared" si="6"/>
        <v>0.10069827269386256</v>
      </c>
    </row>
    <row r="57" spans="1:22" s="191" customFormat="1">
      <c r="A57" s="190">
        <v>40697</v>
      </c>
      <c r="B57" s="191">
        <v>915</v>
      </c>
      <c r="C57" s="191">
        <v>19644</v>
      </c>
      <c r="D57" s="191">
        <v>9446</v>
      </c>
      <c r="E57" s="191">
        <v>9194</v>
      </c>
      <c r="F57" s="191">
        <v>2907</v>
      </c>
      <c r="G57" s="191">
        <v>2885</v>
      </c>
      <c r="H57" s="192">
        <f t="shared" si="0"/>
        <v>0.99243206054351563</v>
      </c>
      <c r="I57" s="191">
        <v>6287</v>
      </c>
      <c r="J57" s="191">
        <v>4947</v>
      </c>
      <c r="K57" s="192">
        <f t="shared" si="1"/>
        <v>0.78686177827262604</v>
      </c>
      <c r="L57" s="191">
        <v>4945</v>
      </c>
      <c r="M57" s="191">
        <v>9163</v>
      </c>
      <c r="N57" s="192">
        <f t="shared" si="2"/>
        <v>8.5888901014951433E-2</v>
      </c>
      <c r="O57" s="192">
        <f t="shared" si="3"/>
        <v>0.85185990863606698</v>
      </c>
      <c r="P57" s="191">
        <f t="shared" si="4"/>
        <v>14026.95</v>
      </c>
      <c r="Q57"/>
      <c r="R57" s="191">
        <v>0</v>
      </c>
      <c r="S57" s="191">
        <v>787</v>
      </c>
      <c r="T57" s="191">
        <f t="shared" si="5"/>
        <v>211.28571428571422</v>
      </c>
      <c r="U57" s="191">
        <f t="shared" si="7"/>
        <v>998.28571428571422</v>
      </c>
      <c r="V57" s="192">
        <f t="shared" si="6"/>
        <v>0.10048518896833504</v>
      </c>
    </row>
    <row r="58" spans="1:22" s="191" customFormat="1">
      <c r="A58" s="190">
        <v>40704</v>
      </c>
      <c r="B58" s="191">
        <v>880</v>
      </c>
      <c r="C58" s="191">
        <v>19745</v>
      </c>
      <c r="D58" s="191">
        <v>9469</v>
      </c>
      <c r="E58" s="191">
        <v>9323</v>
      </c>
      <c r="F58" s="191">
        <v>3058</v>
      </c>
      <c r="G58" s="191">
        <v>3051</v>
      </c>
      <c r="H58" s="192">
        <f t="shared" si="0"/>
        <v>0.99771092217135382</v>
      </c>
      <c r="I58" s="191">
        <v>6265</v>
      </c>
      <c r="J58" s="191">
        <v>5205</v>
      </c>
      <c r="K58" s="192">
        <f t="shared" si="1"/>
        <v>0.830806065442937</v>
      </c>
      <c r="L58" s="191">
        <v>5203</v>
      </c>
      <c r="M58" s="191">
        <v>9370</v>
      </c>
      <c r="N58" s="192">
        <f t="shared" si="2"/>
        <v>8.8473852721451446E-2</v>
      </c>
      <c r="O58" s="192">
        <f t="shared" si="3"/>
        <v>0.885551860988952</v>
      </c>
      <c r="P58" s="191">
        <f t="shared" si="4"/>
        <v>13490.4</v>
      </c>
      <c r="Q58"/>
      <c r="R58" s="191">
        <v>0</v>
      </c>
      <c r="S58" s="191">
        <v>829</v>
      </c>
      <c r="T58" s="191">
        <f t="shared" si="5"/>
        <v>36.571428571428442</v>
      </c>
      <c r="U58" s="191">
        <f t="shared" si="7"/>
        <v>865.57142857142844</v>
      </c>
      <c r="V58" s="192">
        <f t="shared" si="6"/>
        <v>0.10041182170542635</v>
      </c>
    </row>
    <row r="59" spans="1:22" s="191" customFormat="1">
      <c r="A59" s="190">
        <v>40711</v>
      </c>
      <c r="B59" s="191">
        <v>901</v>
      </c>
      <c r="C59" s="191">
        <v>19509</v>
      </c>
      <c r="D59" s="191">
        <v>9541</v>
      </c>
      <c r="E59" s="191">
        <v>9446</v>
      </c>
      <c r="F59" s="191">
        <v>3063</v>
      </c>
      <c r="G59" s="191">
        <v>3051</v>
      </c>
      <c r="H59" s="192">
        <f t="shared" si="0"/>
        <v>0.99608227228207635</v>
      </c>
      <c r="I59" s="191">
        <v>6383</v>
      </c>
      <c r="J59" s="191">
        <v>5167</v>
      </c>
      <c r="K59" s="192">
        <f t="shared" si="1"/>
        <v>0.80949396835343879</v>
      </c>
      <c r="L59" s="191">
        <v>5165</v>
      </c>
      <c r="M59" s="191">
        <v>9319</v>
      </c>
      <c r="N59" s="192">
        <f t="shared" si="2"/>
        <v>8.8314196802232001E-2</v>
      </c>
      <c r="O59" s="192">
        <f t="shared" si="3"/>
        <v>0.86999788270167266</v>
      </c>
      <c r="P59" s="191">
        <f t="shared" si="4"/>
        <v>13812.33</v>
      </c>
      <c r="Q59"/>
      <c r="R59" s="191">
        <v>0</v>
      </c>
      <c r="S59" s="191">
        <v>823</v>
      </c>
      <c r="T59" s="191">
        <f t="shared" si="5"/>
        <v>111.71428571428578</v>
      </c>
      <c r="U59" s="191">
        <f t="shared" si="7"/>
        <v>934.71428571428578</v>
      </c>
      <c r="V59" s="192">
        <f t="shared" si="6"/>
        <v>0.10014602092966658</v>
      </c>
    </row>
    <row r="60" spans="1:22" s="191" customFormat="1">
      <c r="A60" s="190">
        <v>40718</v>
      </c>
      <c r="B60" s="191">
        <v>893</v>
      </c>
      <c r="C60" s="191">
        <v>19484</v>
      </c>
      <c r="D60" s="191">
        <v>9097</v>
      </c>
      <c r="E60" s="191">
        <v>9318</v>
      </c>
      <c r="F60" s="191">
        <v>3094</v>
      </c>
      <c r="G60" s="191">
        <v>3075</v>
      </c>
      <c r="H60" s="192">
        <f t="shared" si="0"/>
        <v>0.99385908209437623</v>
      </c>
      <c r="I60" s="191">
        <v>6224</v>
      </c>
      <c r="J60" s="191">
        <v>5166</v>
      </c>
      <c r="K60" s="192">
        <f t="shared" si="1"/>
        <v>0.83001285347043707</v>
      </c>
      <c r="L60" s="191">
        <v>5164</v>
      </c>
      <c r="M60" s="191">
        <v>9261</v>
      </c>
      <c r="N60" s="192">
        <f t="shared" si="2"/>
        <v>8.9515171147824216E-2</v>
      </c>
      <c r="O60" s="192">
        <f t="shared" si="3"/>
        <v>0.88441725692208628</v>
      </c>
      <c r="P60" s="191">
        <f t="shared" si="4"/>
        <v>13689.69</v>
      </c>
      <c r="Q60"/>
      <c r="R60" s="191">
        <v>10</v>
      </c>
      <c r="S60" s="191">
        <v>829</v>
      </c>
      <c r="T60" s="191">
        <f t="shared" si="5"/>
        <v>77.571428571428442</v>
      </c>
      <c r="U60" s="191">
        <f t="shared" si="7"/>
        <v>906.57142857142844</v>
      </c>
      <c r="V60" s="192">
        <f t="shared" si="6"/>
        <v>0.1005945880354326</v>
      </c>
    </row>
    <row r="61" spans="1:22" s="191" customFormat="1">
      <c r="A61" s="190">
        <v>40725</v>
      </c>
      <c r="B61" s="191">
        <v>904</v>
      </c>
      <c r="C61" s="191">
        <v>18553</v>
      </c>
      <c r="D61" s="191">
        <v>9529</v>
      </c>
      <c r="E61" s="191">
        <v>9532</v>
      </c>
      <c r="F61" s="191">
        <v>3074</v>
      </c>
      <c r="G61" s="191">
        <v>3057</v>
      </c>
      <c r="H61" s="192">
        <f t="shared" si="0"/>
        <v>0.99446974625894602</v>
      </c>
      <c r="I61" s="191">
        <v>6458</v>
      </c>
      <c r="J61" s="191">
        <v>5256</v>
      </c>
      <c r="K61" s="192">
        <f t="shared" si="1"/>
        <v>0.81387426447816658</v>
      </c>
      <c r="L61" s="191">
        <v>5254</v>
      </c>
      <c r="M61" s="191">
        <v>9309</v>
      </c>
      <c r="N61" s="192">
        <f t="shared" si="2"/>
        <v>8.9698141583413896E-2</v>
      </c>
      <c r="O61" s="192">
        <f t="shared" si="3"/>
        <v>0.87211498111624008</v>
      </c>
      <c r="P61" s="191">
        <f t="shared" si="4"/>
        <v>13858.32</v>
      </c>
      <c r="Q61"/>
      <c r="R61" s="191">
        <v>0</v>
      </c>
      <c r="S61" s="191">
        <v>835</v>
      </c>
      <c r="T61" s="191">
        <f t="shared" si="5"/>
        <v>202</v>
      </c>
      <c r="U61" s="191">
        <f t="shared" si="7"/>
        <v>1037</v>
      </c>
      <c r="V61" s="192">
        <f t="shared" si="6"/>
        <v>0.10044508600986407</v>
      </c>
    </row>
    <row r="62" spans="1:22" s="191" customFormat="1">
      <c r="A62" s="190">
        <v>40732</v>
      </c>
      <c r="B62" s="191">
        <v>872</v>
      </c>
      <c r="C62" s="191">
        <v>18775</v>
      </c>
      <c r="D62" s="191">
        <v>8898</v>
      </c>
      <c r="E62" s="191">
        <v>9109</v>
      </c>
      <c r="F62" s="191">
        <v>2882</v>
      </c>
      <c r="G62" s="191">
        <v>2873</v>
      </c>
      <c r="H62" s="192">
        <f t="shared" si="0"/>
        <v>0.99687716863289377</v>
      </c>
      <c r="I62" s="191">
        <v>6227</v>
      </c>
      <c r="J62" s="191">
        <v>5175</v>
      </c>
      <c r="K62" s="192">
        <f t="shared" si="1"/>
        <v>0.83105829452384772</v>
      </c>
      <c r="L62" s="191">
        <v>5174</v>
      </c>
      <c r="M62" s="191">
        <v>9016</v>
      </c>
      <c r="N62" s="192">
        <f t="shared" si="2"/>
        <v>8.9285714285714288E-2</v>
      </c>
      <c r="O62" s="192">
        <f t="shared" si="3"/>
        <v>0.88352179163464706</v>
      </c>
      <c r="P62" s="191">
        <f t="shared" si="4"/>
        <v>13367.76</v>
      </c>
      <c r="Q62"/>
      <c r="R62" s="191">
        <v>0</v>
      </c>
      <c r="S62" s="191">
        <v>805</v>
      </c>
      <c r="T62" s="191">
        <f t="shared" si="5"/>
        <v>35.285714285714221</v>
      </c>
      <c r="U62" s="191">
        <f t="shared" si="7"/>
        <v>840.28571428571422</v>
      </c>
      <c r="V62" s="192">
        <f t="shared" si="6"/>
        <v>0.1000248508946322</v>
      </c>
    </row>
    <row r="63" spans="1:22" s="191" customFormat="1">
      <c r="A63" s="190">
        <v>40739</v>
      </c>
      <c r="B63" s="191">
        <v>873</v>
      </c>
      <c r="C63" s="191">
        <v>19145</v>
      </c>
      <c r="D63" s="191">
        <v>9242</v>
      </c>
      <c r="E63" s="191">
        <v>9328</v>
      </c>
      <c r="F63" s="191">
        <v>3035</v>
      </c>
      <c r="G63" s="191">
        <v>3022</v>
      </c>
      <c r="H63" s="192">
        <f t="shared" si="0"/>
        <v>0.99571663920922571</v>
      </c>
      <c r="I63" s="191">
        <v>6294</v>
      </c>
      <c r="J63" s="191">
        <v>5138</v>
      </c>
      <c r="K63" s="192">
        <f t="shared" si="1"/>
        <v>0.81633301557038451</v>
      </c>
      <c r="L63" s="191">
        <v>5135</v>
      </c>
      <c r="M63" s="191">
        <v>9028</v>
      </c>
      <c r="N63" s="192">
        <f t="shared" si="2"/>
        <v>9.1050066459902532E-2</v>
      </c>
      <c r="O63" s="192">
        <f t="shared" si="3"/>
        <v>0.87478559176672388</v>
      </c>
      <c r="P63" s="191">
        <f t="shared" si="4"/>
        <v>13383.09</v>
      </c>
      <c r="Q63"/>
      <c r="R63" s="191">
        <v>25</v>
      </c>
      <c r="S63" s="191">
        <v>822</v>
      </c>
      <c r="T63" s="191">
        <f t="shared" si="5"/>
        <v>23.142857142857338</v>
      </c>
      <c r="U63" s="191">
        <f t="shared" si="7"/>
        <v>845.14285714285734</v>
      </c>
      <c r="V63" s="192">
        <f t="shared" si="6"/>
        <v>0.10073529411764706</v>
      </c>
    </row>
    <row r="64" spans="1:22" s="191" customFormat="1">
      <c r="A64" s="190">
        <v>40746</v>
      </c>
      <c r="B64" s="191">
        <v>874</v>
      </c>
      <c r="C64" s="191">
        <v>18872</v>
      </c>
      <c r="D64" s="191">
        <v>9190</v>
      </c>
      <c r="E64" s="191">
        <v>9292</v>
      </c>
      <c r="F64" s="191">
        <v>3073</v>
      </c>
      <c r="G64" s="191">
        <v>3064</v>
      </c>
      <c r="H64" s="192">
        <f t="shared" si="0"/>
        <v>0.99707126586397654</v>
      </c>
      <c r="I64" s="191">
        <v>6220</v>
      </c>
      <c r="J64" s="191">
        <v>5191</v>
      </c>
      <c r="K64" s="192">
        <f t="shared" si="1"/>
        <v>0.8345659163987138</v>
      </c>
      <c r="L64" s="191">
        <v>5189</v>
      </c>
      <c r="M64" s="191">
        <v>8999</v>
      </c>
      <c r="N64" s="192">
        <f t="shared" si="2"/>
        <v>9.1899099899988887E-2</v>
      </c>
      <c r="O64" s="192">
        <f t="shared" si="3"/>
        <v>0.8883986224709427</v>
      </c>
      <c r="P64" s="191">
        <f t="shared" si="4"/>
        <v>13398.42</v>
      </c>
      <c r="Q64"/>
      <c r="R64" s="191">
        <v>0</v>
      </c>
      <c r="S64" s="191">
        <v>827</v>
      </c>
      <c r="T64" s="191">
        <f t="shared" si="5"/>
        <v>86</v>
      </c>
      <c r="U64" s="191">
        <f t="shared" si="7"/>
        <v>913</v>
      </c>
      <c r="V64" s="192">
        <f t="shared" si="6"/>
        <v>0.10018170805572381</v>
      </c>
    </row>
    <row r="65" spans="1:22" s="191" customFormat="1">
      <c r="A65" s="190">
        <v>40753</v>
      </c>
      <c r="B65" s="191">
        <v>878</v>
      </c>
      <c r="C65" s="191">
        <v>18901</v>
      </c>
      <c r="D65" s="191">
        <v>9146</v>
      </c>
      <c r="E65" s="191">
        <v>9283</v>
      </c>
      <c r="F65" s="191">
        <v>3092</v>
      </c>
      <c r="G65" s="191">
        <v>3076</v>
      </c>
      <c r="H65" s="192">
        <f t="shared" si="0"/>
        <v>0.99482535575679176</v>
      </c>
      <c r="I65" s="191">
        <v>6191</v>
      </c>
      <c r="J65" s="191">
        <v>5216</v>
      </c>
      <c r="K65" s="192">
        <f t="shared" si="1"/>
        <v>0.84251332579550964</v>
      </c>
      <c r="L65" s="191">
        <v>5213</v>
      </c>
      <c r="M65" s="191">
        <v>9215</v>
      </c>
      <c r="N65" s="192">
        <f t="shared" si="2"/>
        <v>9.0179055887140536E-2</v>
      </c>
      <c r="O65" s="192">
        <f t="shared" si="3"/>
        <v>0.89324571797910157</v>
      </c>
      <c r="P65" s="191">
        <f t="shared" si="4"/>
        <v>13459.74</v>
      </c>
      <c r="Q65"/>
      <c r="R65" s="191">
        <v>9</v>
      </c>
      <c r="S65" s="191">
        <v>831</v>
      </c>
      <c r="T65" s="191">
        <f t="shared" si="5"/>
        <v>51.857142857142662</v>
      </c>
      <c r="U65" s="191">
        <f t="shared" si="7"/>
        <v>882.85714285714266</v>
      </c>
      <c r="V65" s="192">
        <f t="shared" si="6"/>
        <v>0.10021707670043416</v>
      </c>
    </row>
    <row r="66" spans="1:22" s="191" customFormat="1">
      <c r="A66" s="190">
        <v>40760</v>
      </c>
      <c r="B66" s="191">
        <v>908</v>
      </c>
      <c r="C66" s="191">
        <v>18153</v>
      </c>
      <c r="D66" s="191">
        <v>9533</v>
      </c>
      <c r="E66" s="191">
        <v>9484</v>
      </c>
      <c r="F66" s="191">
        <v>3117</v>
      </c>
      <c r="G66" s="191">
        <v>3100</v>
      </c>
      <c r="H66" s="192">
        <f t="shared" si="0"/>
        <v>0.99454603785691365</v>
      </c>
      <c r="I66" s="191">
        <v>6367</v>
      </c>
      <c r="J66" s="191">
        <v>5304</v>
      </c>
      <c r="K66" s="192">
        <f t="shared" si="1"/>
        <v>0.83304539029370195</v>
      </c>
      <c r="L66" s="191">
        <v>5302</v>
      </c>
      <c r="M66" s="191">
        <v>9244</v>
      </c>
      <c r="N66" s="192">
        <f t="shared" si="2"/>
        <v>9.1627001298139332E-2</v>
      </c>
      <c r="O66" s="192">
        <f t="shared" si="3"/>
        <v>0.88612399831294808</v>
      </c>
      <c r="P66" s="191">
        <f t="shared" si="4"/>
        <v>13919.64</v>
      </c>
      <c r="Q66"/>
      <c r="R66" s="191">
        <v>33</v>
      </c>
      <c r="S66" s="191">
        <v>847</v>
      </c>
      <c r="T66" s="191">
        <f t="shared" si="5"/>
        <v>200.85714285714312</v>
      </c>
      <c r="U66" s="191">
        <f t="shared" si="7"/>
        <v>1047.8571428571431</v>
      </c>
      <c r="V66" s="192">
        <f t="shared" si="6"/>
        <v>0.10078534031413612</v>
      </c>
    </row>
    <row r="67" spans="1:22" s="191" customFormat="1">
      <c r="A67" s="190">
        <v>40767</v>
      </c>
      <c r="B67" s="191">
        <v>899</v>
      </c>
      <c r="C67" s="191">
        <v>17582</v>
      </c>
      <c r="D67" s="191">
        <v>9324</v>
      </c>
      <c r="E67" s="191">
        <v>9310</v>
      </c>
      <c r="F67" s="191">
        <v>3130</v>
      </c>
      <c r="G67" s="191">
        <v>3115</v>
      </c>
      <c r="H67" s="192">
        <f t="shared" si="0"/>
        <v>0.99520766773162939</v>
      </c>
      <c r="I67" s="191">
        <v>6180</v>
      </c>
      <c r="J67" s="191">
        <v>5307</v>
      </c>
      <c r="K67" s="192">
        <f t="shared" si="1"/>
        <v>0.85873786407766994</v>
      </c>
      <c r="L67" s="191">
        <v>5305</v>
      </c>
      <c r="M67" s="191">
        <v>9195</v>
      </c>
      <c r="N67" s="192">
        <f t="shared" si="2"/>
        <v>9.1897770527460579E-2</v>
      </c>
      <c r="O67" s="192">
        <f t="shared" si="3"/>
        <v>0.90461868958109559</v>
      </c>
      <c r="P67" s="191">
        <f t="shared" si="4"/>
        <v>13781.67</v>
      </c>
      <c r="Q67"/>
      <c r="R67" s="191">
        <v>0</v>
      </c>
      <c r="S67" s="191">
        <v>845</v>
      </c>
      <c r="T67" s="191">
        <f t="shared" si="5"/>
        <v>135.57142857142844</v>
      </c>
      <c r="U67" s="191">
        <f t="shared" si="7"/>
        <v>980.57142857142844</v>
      </c>
      <c r="V67" s="192">
        <f t="shared" si="6"/>
        <v>0.10033246259795774</v>
      </c>
    </row>
    <row r="68" spans="1:22" s="191" customFormat="1">
      <c r="A68" s="190">
        <v>40774</v>
      </c>
      <c r="B68" s="191">
        <v>904</v>
      </c>
      <c r="C68" s="191">
        <v>18243</v>
      </c>
      <c r="D68" s="191">
        <v>9343</v>
      </c>
      <c r="E68" s="191">
        <v>9292</v>
      </c>
      <c r="F68" s="191">
        <v>3038</v>
      </c>
      <c r="G68" s="191">
        <v>3020</v>
      </c>
      <c r="H68" s="192">
        <f t="shared" si="0"/>
        <v>0.99407504937458857</v>
      </c>
      <c r="I68" s="191">
        <v>6254</v>
      </c>
      <c r="J68" s="191">
        <v>5197</v>
      </c>
      <c r="K68" s="192">
        <f t="shared" si="1"/>
        <v>0.8309881675727534</v>
      </c>
      <c r="L68" s="191">
        <v>5195</v>
      </c>
      <c r="M68" s="191">
        <v>9009</v>
      </c>
      <c r="N68" s="192">
        <f t="shared" si="2"/>
        <v>9.1353091353091359E-2</v>
      </c>
      <c r="O68" s="192">
        <f t="shared" si="3"/>
        <v>0.88430908308222123</v>
      </c>
      <c r="P68" s="191">
        <f t="shared" si="4"/>
        <v>13858.32</v>
      </c>
      <c r="Q68"/>
      <c r="R68" s="191">
        <v>35</v>
      </c>
      <c r="S68" s="191">
        <v>823</v>
      </c>
      <c r="T68" s="191">
        <f t="shared" si="5"/>
        <v>21.571428571428442</v>
      </c>
      <c r="U68" s="191">
        <f t="shared" si="7"/>
        <v>844.57142857142844</v>
      </c>
      <c r="V68" s="192">
        <f t="shared" si="6"/>
        <v>0.10015820859194353</v>
      </c>
    </row>
    <row r="69" spans="1:22" s="191" customFormat="1">
      <c r="A69" s="190">
        <v>40781</v>
      </c>
      <c r="B69" s="191">
        <v>888</v>
      </c>
      <c r="C69" s="191">
        <v>17893</v>
      </c>
      <c r="D69" s="191">
        <v>9584</v>
      </c>
      <c r="E69" s="191">
        <v>9568</v>
      </c>
      <c r="F69" s="191">
        <v>3140</v>
      </c>
      <c r="G69" s="191">
        <v>3118</v>
      </c>
      <c r="H69" s="192">
        <f t="shared" si="0"/>
        <v>0.99299363057324841</v>
      </c>
      <c r="I69" s="191">
        <v>6427</v>
      </c>
      <c r="J69" s="191">
        <v>5244</v>
      </c>
      <c r="K69" s="192">
        <f t="shared" si="1"/>
        <v>0.81593278356931698</v>
      </c>
      <c r="L69" s="191">
        <v>5243</v>
      </c>
      <c r="M69" s="191">
        <v>9229</v>
      </c>
      <c r="N69" s="192">
        <f t="shared" si="2"/>
        <v>9.080073680788818E-2</v>
      </c>
      <c r="O69" s="192">
        <f t="shared" si="3"/>
        <v>0.8739548494983278</v>
      </c>
      <c r="P69" s="191">
        <f t="shared" si="4"/>
        <v>13613.04</v>
      </c>
      <c r="Q69"/>
      <c r="R69" s="191">
        <v>0</v>
      </c>
      <c r="S69" s="191">
        <v>838</v>
      </c>
      <c r="T69" s="191">
        <f t="shared" si="5"/>
        <v>100</v>
      </c>
      <c r="U69" s="191">
        <f t="shared" si="7"/>
        <v>938</v>
      </c>
      <c r="V69" s="192">
        <f t="shared" si="6"/>
        <v>0.1002152595072949</v>
      </c>
    </row>
    <row r="70" spans="1:22" s="191" customFormat="1">
      <c r="A70" s="190">
        <v>40788</v>
      </c>
      <c r="B70" s="191">
        <v>896</v>
      </c>
      <c r="C70" s="191">
        <v>17082</v>
      </c>
      <c r="D70" s="191">
        <v>9161</v>
      </c>
      <c r="E70" s="191">
        <v>9083</v>
      </c>
      <c r="F70" s="191">
        <v>2965</v>
      </c>
      <c r="G70" s="191">
        <v>2946</v>
      </c>
      <c r="H70" s="192">
        <f t="shared" ref="H70:H133" si="8">G70/F70</f>
        <v>0.99359190556492416</v>
      </c>
      <c r="I70" s="191">
        <v>6118</v>
      </c>
      <c r="J70" s="191">
        <v>5109</v>
      </c>
      <c r="K70" s="192">
        <f t="shared" ref="K70:K133" si="9">J70/I70</f>
        <v>0.83507682249101012</v>
      </c>
      <c r="L70" s="191">
        <v>5107</v>
      </c>
      <c r="M70" s="191">
        <v>8956</v>
      </c>
      <c r="N70" s="192">
        <f t="shared" ref="N70:N133" si="10">S70/M70</f>
        <v>9.044216167932112E-2</v>
      </c>
      <c r="O70" s="192">
        <f t="shared" ref="O70:O133" si="11">(J70+G70)/E70</f>
        <v>0.88682153473521963</v>
      </c>
      <c r="P70" s="191">
        <f t="shared" ref="P70:P133" si="12">B70*42*365/1000</f>
        <v>13735.68</v>
      </c>
      <c r="Q70"/>
      <c r="R70" s="191">
        <v>9</v>
      </c>
      <c r="S70" s="191">
        <v>810</v>
      </c>
      <c r="T70" s="191">
        <f t="shared" ref="T70:T133" si="13">U70-S70</f>
        <v>210.85714285714312</v>
      </c>
      <c r="U70" s="191">
        <f t="shared" si="7"/>
        <v>1020.8571428571431</v>
      </c>
      <c r="V70" s="192">
        <f t="shared" ref="V70:V133" si="14">S70/(G70+J70)</f>
        <v>0.1005586592178771</v>
      </c>
    </row>
    <row r="71" spans="1:22" s="191" customFormat="1">
      <c r="A71" s="190">
        <v>40795</v>
      </c>
      <c r="B71" s="191">
        <v>879</v>
      </c>
      <c r="C71" s="191">
        <v>17156</v>
      </c>
      <c r="D71" s="191">
        <v>9356</v>
      </c>
      <c r="E71" s="191">
        <v>9195</v>
      </c>
      <c r="F71" s="191">
        <v>2937</v>
      </c>
      <c r="G71" s="191">
        <v>2923</v>
      </c>
      <c r="H71" s="192">
        <f t="shared" si="8"/>
        <v>0.99523323118828733</v>
      </c>
      <c r="I71" s="191">
        <v>6258</v>
      </c>
      <c r="J71" s="191">
        <v>5041</v>
      </c>
      <c r="K71" s="192">
        <f t="shared" si="9"/>
        <v>0.80552892297858736</v>
      </c>
      <c r="L71" s="191">
        <v>5039</v>
      </c>
      <c r="M71" s="191">
        <v>8848</v>
      </c>
      <c r="N71" s="192">
        <f t="shared" si="10"/>
        <v>9.0415913200723327E-2</v>
      </c>
      <c r="O71" s="192">
        <f t="shared" si="11"/>
        <v>0.8661228928765633</v>
      </c>
      <c r="P71" s="191">
        <f t="shared" si="12"/>
        <v>13475.07</v>
      </c>
      <c r="Q71"/>
      <c r="R71" s="191">
        <v>0</v>
      </c>
      <c r="S71" s="191">
        <v>800</v>
      </c>
      <c r="T71" s="191">
        <f t="shared" si="13"/>
        <v>68.428571428571558</v>
      </c>
      <c r="U71" s="191">
        <f t="shared" ref="U71:U134" si="15">C70/7+B71+R71-C71/7</f>
        <v>868.42857142857156</v>
      </c>
      <c r="V71" s="192">
        <f t="shared" si="14"/>
        <v>0.10045203415369161</v>
      </c>
    </row>
    <row r="72" spans="1:22" s="191" customFormat="1">
      <c r="A72" s="190">
        <v>40802</v>
      </c>
      <c r="B72" s="191">
        <v>871</v>
      </c>
      <c r="C72" s="191">
        <v>17088</v>
      </c>
      <c r="D72" s="191">
        <v>9078</v>
      </c>
      <c r="E72" s="191">
        <v>9152</v>
      </c>
      <c r="F72" s="191">
        <v>3052</v>
      </c>
      <c r="G72" s="191">
        <v>3041</v>
      </c>
      <c r="H72" s="192">
        <f t="shared" si="8"/>
        <v>0.9963958060288336</v>
      </c>
      <c r="I72" s="191">
        <v>6100</v>
      </c>
      <c r="J72" s="191">
        <v>5104</v>
      </c>
      <c r="K72" s="192">
        <f t="shared" si="9"/>
        <v>0.83672131147540985</v>
      </c>
      <c r="L72" s="191">
        <v>5102</v>
      </c>
      <c r="M72" s="191">
        <v>8858</v>
      </c>
      <c r="N72" s="192">
        <f t="shared" si="10"/>
        <v>9.2233009708737865E-2</v>
      </c>
      <c r="O72" s="192">
        <f t="shared" si="11"/>
        <v>0.88996940559440563</v>
      </c>
      <c r="P72" s="191">
        <f t="shared" si="12"/>
        <v>13352.43</v>
      </c>
      <c r="Q72"/>
      <c r="R72" s="191">
        <v>37</v>
      </c>
      <c r="S72" s="191">
        <v>817</v>
      </c>
      <c r="T72" s="191">
        <f t="shared" si="13"/>
        <v>100.71428571428532</v>
      </c>
      <c r="U72" s="191">
        <f t="shared" si="15"/>
        <v>917.71428571428532</v>
      </c>
      <c r="V72" s="192">
        <f t="shared" si="14"/>
        <v>0.10030693677102517</v>
      </c>
    </row>
    <row r="73" spans="1:22" s="191" customFormat="1">
      <c r="A73" s="190">
        <v>40809</v>
      </c>
      <c r="B73" s="191">
        <v>841</v>
      </c>
      <c r="C73" s="191">
        <v>17358</v>
      </c>
      <c r="D73" s="191">
        <v>9279</v>
      </c>
      <c r="E73" s="191">
        <v>9097</v>
      </c>
      <c r="F73" s="191">
        <v>3045</v>
      </c>
      <c r="G73" s="191">
        <v>3026</v>
      </c>
      <c r="H73" s="192">
        <f t="shared" si="8"/>
        <v>0.99376026272578</v>
      </c>
      <c r="I73" s="191">
        <v>6052</v>
      </c>
      <c r="J73" s="191">
        <v>5056</v>
      </c>
      <c r="K73" s="192">
        <f t="shared" si="9"/>
        <v>0.83542630535360207</v>
      </c>
      <c r="L73" s="191">
        <v>5054</v>
      </c>
      <c r="M73" s="191">
        <v>8964</v>
      </c>
      <c r="N73" s="192">
        <f t="shared" si="10"/>
        <v>9.036144578313253E-2</v>
      </c>
      <c r="O73" s="192">
        <f t="shared" si="11"/>
        <v>0.88842475541387267</v>
      </c>
      <c r="P73" s="191">
        <f t="shared" si="12"/>
        <v>12892.53</v>
      </c>
      <c r="Q73"/>
      <c r="R73" s="191">
        <v>17</v>
      </c>
      <c r="S73" s="191">
        <v>810</v>
      </c>
      <c r="T73" s="191">
        <f t="shared" si="13"/>
        <v>9.4285714285715585</v>
      </c>
      <c r="U73" s="191">
        <f t="shared" si="15"/>
        <v>819.42857142857156</v>
      </c>
      <c r="V73" s="192">
        <f t="shared" si="14"/>
        <v>0.10022271714922049</v>
      </c>
    </row>
    <row r="74" spans="1:22" s="191" customFormat="1">
      <c r="A74" s="190">
        <v>40816</v>
      </c>
      <c r="B74" s="191">
        <v>863</v>
      </c>
      <c r="C74" s="191">
        <v>17342</v>
      </c>
      <c r="D74" s="191">
        <v>9286</v>
      </c>
      <c r="E74" s="191">
        <v>9174</v>
      </c>
      <c r="F74" s="191">
        <v>3023</v>
      </c>
      <c r="G74" s="191">
        <v>3017</v>
      </c>
      <c r="H74" s="192">
        <f t="shared" si="8"/>
        <v>0.99801521667217996</v>
      </c>
      <c r="I74" s="191">
        <v>6151</v>
      </c>
      <c r="J74" s="191">
        <v>5155</v>
      </c>
      <c r="K74" s="192">
        <f t="shared" si="9"/>
        <v>0.83807510973825394</v>
      </c>
      <c r="L74" s="191">
        <v>5154</v>
      </c>
      <c r="M74" s="191">
        <v>8959</v>
      </c>
      <c r="N74" s="192">
        <f t="shared" si="10"/>
        <v>9.1304833128697402E-2</v>
      </c>
      <c r="O74" s="192">
        <f t="shared" si="11"/>
        <v>0.89077828646173973</v>
      </c>
      <c r="P74" s="191">
        <f t="shared" si="12"/>
        <v>13229.79</v>
      </c>
      <c r="Q74"/>
      <c r="R74" s="191">
        <v>0</v>
      </c>
      <c r="S74" s="191">
        <v>818</v>
      </c>
      <c r="T74" s="191">
        <f t="shared" si="13"/>
        <v>47.285714285714221</v>
      </c>
      <c r="U74" s="191">
        <f t="shared" si="15"/>
        <v>865.28571428571422</v>
      </c>
      <c r="V74" s="192">
        <f t="shared" si="14"/>
        <v>0.10009789525208028</v>
      </c>
    </row>
    <row r="75" spans="1:22" s="191" customFormat="1">
      <c r="A75" s="190">
        <v>40823</v>
      </c>
      <c r="B75" s="191">
        <v>860</v>
      </c>
      <c r="C75" s="191">
        <v>16875</v>
      </c>
      <c r="D75" s="191">
        <v>8914</v>
      </c>
      <c r="E75" s="191">
        <v>8821</v>
      </c>
      <c r="F75" s="191">
        <v>2990</v>
      </c>
      <c r="G75" s="191">
        <v>2990</v>
      </c>
      <c r="H75" s="192">
        <f t="shared" si="8"/>
        <v>1</v>
      </c>
      <c r="I75" s="191">
        <v>5831</v>
      </c>
      <c r="J75" s="191">
        <v>5142</v>
      </c>
      <c r="K75" s="192">
        <f t="shared" si="9"/>
        <v>0.88183844966558056</v>
      </c>
      <c r="L75" s="191">
        <v>5140</v>
      </c>
      <c r="M75" s="191">
        <v>9010</v>
      </c>
      <c r="N75" s="192">
        <f t="shared" si="10"/>
        <v>9.0788013318534963E-2</v>
      </c>
      <c r="O75" s="192">
        <f t="shared" si="11"/>
        <v>0.92189094207006006</v>
      </c>
      <c r="P75" s="191">
        <f t="shared" si="12"/>
        <v>13183.8</v>
      </c>
      <c r="Q75"/>
      <c r="R75" s="191">
        <v>14</v>
      </c>
      <c r="S75" s="191">
        <v>818</v>
      </c>
      <c r="T75" s="191">
        <f t="shared" si="13"/>
        <v>122.71428571428578</v>
      </c>
      <c r="U75" s="191">
        <f t="shared" si="15"/>
        <v>940.71428571428578</v>
      </c>
      <c r="V75" s="192">
        <f t="shared" si="14"/>
        <v>0.10059026069847515</v>
      </c>
    </row>
    <row r="76" spans="1:22" s="191" customFormat="1">
      <c r="A76" s="190">
        <v>40830</v>
      </c>
      <c r="B76" s="191">
        <v>908</v>
      </c>
      <c r="C76" s="191">
        <v>17053</v>
      </c>
      <c r="D76" s="191">
        <v>9313</v>
      </c>
      <c r="E76" s="191">
        <v>8919</v>
      </c>
      <c r="F76" s="191">
        <v>2999</v>
      </c>
      <c r="G76" s="191">
        <v>2999</v>
      </c>
      <c r="H76" s="192">
        <f t="shared" si="8"/>
        <v>1</v>
      </c>
      <c r="I76" s="191">
        <v>5920</v>
      </c>
      <c r="J76" s="191">
        <v>5103</v>
      </c>
      <c r="K76" s="192">
        <f t="shared" si="9"/>
        <v>0.86199324324324322</v>
      </c>
      <c r="L76" s="191">
        <v>5102</v>
      </c>
      <c r="M76" s="191">
        <v>8598</v>
      </c>
      <c r="N76" s="192">
        <f t="shared" si="10"/>
        <v>9.4440567573854384E-2</v>
      </c>
      <c r="O76" s="192">
        <f t="shared" si="11"/>
        <v>0.90839780244422019</v>
      </c>
      <c r="P76" s="191">
        <f t="shared" si="12"/>
        <v>13919.64</v>
      </c>
      <c r="Q76"/>
      <c r="R76" s="191">
        <v>10</v>
      </c>
      <c r="S76" s="191">
        <v>812</v>
      </c>
      <c r="T76" s="191">
        <f t="shared" si="13"/>
        <v>80.571428571428442</v>
      </c>
      <c r="U76" s="191">
        <f t="shared" si="15"/>
        <v>892.57142857142844</v>
      </c>
      <c r="V76" s="192">
        <f t="shared" si="14"/>
        <v>0.10022216736608244</v>
      </c>
    </row>
    <row r="77" spans="1:22" s="191" customFormat="1">
      <c r="A77" s="190">
        <v>40837</v>
      </c>
      <c r="B77" s="191">
        <v>909</v>
      </c>
      <c r="C77" s="191">
        <v>17291</v>
      </c>
      <c r="D77" s="191">
        <v>8936</v>
      </c>
      <c r="E77" s="191">
        <v>8939</v>
      </c>
      <c r="F77" s="191">
        <v>3011</v>
      </c>
      <c r="G77" s="191">
        <v>3011</v>
      </c>
      <c r="H77" s="192">
        <f t="shared" si="8"/>
        <v>1</v>
      </c>
      <c r="I77" s="191">
        <v>5928</v>
      </c>
      <c r="J77" s="191">
        <v>5152</v>
      </c>
      <c r="K77" s="192">
        <f t="shared" si="9"/>
        <v>0.8690958164642375</v>
      </c>
      <c r="L77" s="191">
        <v>5151</v>
      </c>
      <c r="M77" s="191">
        <v>8501</v>
      </c>
      <c r="N77" s="192">
        <f t="shared" si="10"/>
        <v>9.6341606869780022E-2</v>
      </c>
      <c r="O77" s="192">
        <f t="shared" si="11"/>
        <v>0.91318939478688888</v>
      </c>
      <c r="P77" s="191">
        <f t="shared" si="12"/>
        <v>13934.97</v>
      </c>
      <c r="Q77"/>
      <c r="R77" s="191">
        <v>0</v>
      </c>
      <c r="S77" s="191">
        <v>819</v>
      </c>
      <c r="T77" s="191">
        <f t="shared" si="13"/>
        <v>56</v>
      </c>
      <c r="U77" s="191">
        <f t="shared" si="15"/>
        <v>875</v>
      </c>
      <c r="V77" s="192">
        <f t="shared" si="14"/>
        <v>0.10033076074972437</v>
      </c>
    </row>
    <row r="78" spans="1:22" s="191" customFormat="1">
      <c r="A78" s="190">
        <v>40844</v>
      </c>
      <c r="B78" s="191">
        <v>916</v>
      </c>
      <c r="C78" s="191">
        <v>17200</v>
      </c>
      <c r="D78" s="191">
        <v>9082</v>
      </c>
      <c r="E78" s="191">
        <v>9068</v>
      </c>
      <c r="F78" s="191">
        <v>3063</v>
      </c>
      <c r="G78" s="191">
        <v>3063</v>
      </c>
      <c r="H78" s="192">
        <f t="shared" si="8"/>
        <v>1</v>
      </c>
      <c r="I78" s="191">
        <v>6005</v>
      </c>
      <c r="J78" s="191">
        <v>5217</v>
      </c>
      <c r="K78" s="192">
        <f t="shared" si="9"/>
        <v>0.86877601998334719</v>
      </c>
      <c r="L78" s="191">
        <v>5215</v>
      </c>
      <c r="M78" s="191">
        <v>8518</v>
      </c>
      <c r="N78" s="192">
        <f t="shared" si="10"/>
        <v>9.7675510683258984E-2</v>
      </c>
      <c r="O78" s="192">
        <f t="shared" si="11"/>
        <v>0.9131010145566828</v>
      </c>
      <c r="P78" s="191">
        <f t="shared" si="12"/>
        <v>14042.28</v>
      </c>
      <c r="Q78"/>
      <c r="R78" s="191">
        <v>23</v>
      </c>
      <c r="S78" s="191">
        <v>832</v>
      </c>
      <c r="T78" s="191">
        <f t="shared" si="13"/>
        <v>120</v>
      </c>
      <c r="U78" s="191">
        <f t="shared" si="15"/>
        <v>952</v>
      </c>
      <c r="V78" s="192">
        <f t="shared" si="14"/>
        <v>0.10048309178743961</v>
      </c>
    </row>
    <row r="79" spans="1:22" s="191" customFormat="1">
      <c r="A79" s="190">
        <v>40851</v>
      </c>
      <c r="B79" s="191">
        <v>911</v>
      </c>
      <c r="C79" s="191">
        <v>16430</v>
      </c>
      <c r="D79" s="191">
        <v>8815</v>
      </c>
      <c r="E79" s="191">
        <v>8699</v>
      </c>
      <c r="F79" s="191">
        <v>2971</v>
      </c>
      <c r="G79" s="191">
        <v>2971</v>
      </c>
      <c r="H79" s="192">
        <f t="shared" si="8"/>
        <v>1</v>
      </c>
      <c r="I79" s="191">
        <v>5728</v>
      </c>
      <c r="J79" s="191">
        <v>5048</v>
      </c>
      <c r="K79" s="192">
        <f t="shared" si="9"/>
        <v>0.88128491620111726</v>
      </c>
      <c r="L79" s="191">
        <v>5046</v>
      </c>
      <c r="M79" s="191">
        <v>8671</v>
      </c>
      <c r="N79" s="192">
        <f t="shared" si="10"/>
        <v>9.2722869334563487E-2</v>
      </c>
      <c r="O79" s="192">
        <f t="shared" si="11"/>
        <v>0.92183009541326588</v>
      </c>
      <c r="P79" s="191">
        <f t="shared" si="12"/>
        <v>13965.63</v>
      </c>
      <c r="Q79"/>
      <c r="R79" s="191">
        <v>0</v>
      </c>
      <c r="S79" s="191">
        <v>804</v>
      </c>
      <c r="T79" s="191">
        <f t="shared" si="13"/>
        <v>217</v>
      </c>
      <c r="U79" s="191">
        <f t="shared" si="15"/>
        <v>1021</v>
      </c>
      <c r="V79" s="192">
        <f t="shared" si="14"/>
        <v>0.10026187803965582</v>
      </c>
    </row>
    <row r="80" spans="1:22" s="191" customFormat="1">
      <c r="A80" s="190">
        <v>40858</v>
      </c>
      <c r="B80" s="191">
        <v>916</v>
      </c>
      <c r="C80" s="191">
        <v>17111</v>
      </c>
      <c r="D80" s="191">
        <v>9135</v>
      </c>
      <c r="E80" s="191">
        <v>9016</v>
      </c>
      <c r="F80" s="191">
        <v>3023</v>
      </c>
      <c r="G80" s="191">
        <v>3023</v>
      </c>
      <c r="H80" s="192">
        <f t="shared" si="8"/>
        <v>1</v>
      </c>
      <c r="I80" s="191">
        <v>5993</v>
      </c>
      <c r="J80" s="191">
        <v>5203</v>
      </c>
      <c r="K80" s="192">
        <f t="shared" si="9"/>
        <v>0.86817954279993326</v>
      </c>
      <c r="L80" s="191">
        <v>5201</v>
      </c>
      <c r="M80" s="191">
        <v>8625</v>
      </c>
      <c r="N80" s="192">
        <f t="shared" si="10"/>
        <v>9.5188405797101444E-2</v>
      </c>
      <c r="O80" s="192">
        <f t="shared" si="11"/>
        <v>0.91237799467613134</v>
      </c>
      <c r="P80" s="191">
        <f t="shared" si="12"/>
        <v>14042.28</v>
      </c>
      <c r="Q80"/>
      <c r="R80" s="191">
        <v>23</v>
      </c>
      <c r="S80" s="191">
        <v>821</v>
      </c>
      <c r="T80" s="191">
        <f t="shared" si="13"/>
        <v>20.714285714285779</v>
      </c>
      <c r="U80" s="191">
        <f t="shared" si="15"/>
        <v>841.71428571428578</v>
      </c>
      <c r="V80" s="192">
        <f t="shared" si="14"/>
        <v>9.9805494772672018E-2</v>
      </c>
    </row>
    <row r="81" spans="1:22" s="191" customFormat="1">
      <c r="A81" s="190">
        <v>40865</v>
      </c>
      <c r="B81" s="191">
        <v>917</v>
      </c>
      <c r="C81" s="191">
        <v>17451</v>
      </c>
      <c r="D81" s="191">
        <v>9470</v>
      </c>
      <c r="E81" s="191">
        <v>9256</v>
      </c>
      <c r="F81" s="191">
        <v>3006</v>
      </c>
      <c r="G81" s="191">
        <v>3006</v>
      </c>
      <c r="H81" s="192">
        <f t="shared" si="8"/>
        <v>1</v>
      </c>
      <c r="I81" s="191">
        <v>6251</v>
      </c>
      <c r="J81" s="191">
        <v>5129</v>
      </c>
      <c r="K81" s="192">
        <f t="shared" si="9"/>
        <v>0.82050871860502317</v>
      </c>
      <c r="L81" s="191">
        <v>5127</v>
      </c>
      <c r="M81" s="191">
        <v>8592</v>
      </c>
      <c r="N81" s="192">
        <f t="shared" si="10"/>
        <v>9.4855679702048418E-2</v>
      </c>
      <c r="O81" s="192">
        <f t="shared" si="11"/>
        <v>0.87888936905790838</v>
      </c>
      <c r="P81" s="191">
        <f t="shared" si="12"/>
        <v>14057.61</v>
      </c>
      <c r="Q81"/>
      <c r="R81" s="191">
        <v>0</v>
      </c>
      <c r="S81" s="191">
        <v>815</v>
      </c>
      <c r="T81" s="191">
        <f t="shared" si="13"/>
        <v>53.428571428571558</v>
      </c>
      <c r="U81" s="191">
        <f t="shared" si="15"/>
        <v>868.42857142857156</v>
      </c>
      <c r="V81" s="192">
        <f t="shared" si="14"/>
        <v>0.10018438844499078</v>
      </c>
    </row>
    <row r="82" spans="1:22" s="191" customFormat="1">
      <c r="A82" s="190">
        <v>40872</v>
      </c>
      <c r="B82" s="191">
        <v>930</v>
      </c>
      <c r="C82" s="191">
        <v>17046</v>
      </c>
      <c r="D82" s="191">
        <v>9188</v>
      </c>
      <c r="E82" s="191">
        <v>8982</v>
      </c>
      <c r="F82" s="191">
        <v>2983</v>
      </c>
      <c r="G82" s="191">
        <v>2983</v>
      </c>
      <c r="H82" s="192">
        <f t="shared" si="8"/>
        <v>1</v>
      </c>
      <c r="I82" s="191">
        <v>6000</v>
      </c>
      <c r="J82" s="191">
        <v>4940</v>
      </c>
      <c r="K82" s="192">
        <f t="shared" si="9"/>
        <v>0.82333333333333336</v>
      </c>
      <c r="L82" s="191">
        <v>4938</v>
      </c>
      <c r="M82" s="191">
        <v>8769</v>
      </c>
      <c r="N82" s="192">
        <f t="shared" si="10"/>
        <v>9.0432204356254986E-2</v>
      </c>
      <c r="O82" s="192">
        <f t="shared" si="11"/>
        <v>0.88209752839011357</v>
      </c>
      <c r="P82" s="191">
        <f t="shared" si="12"/>
        <v>14256.9</v>
      </c>
      <c r="Q82"/>
      <c r="R82" s="191">
        <v>13</v>
      </c>
      <c r="S82" s="191">
        <v>793</v>
      </c>
      <c r="T82" s="191">
        <f t="shared" si="13"/>
        <v>207.85714285714266</v>
      </c>
      <c r="U82" s="191">
        <f t="shared" si="15"/>
        <v>1000.8571428571427</v>
      </c>
      <c r="V82" s="192">
        <f t="shared" si="14"/>
        <v>0.10008835037233371</v>
      </c>
    </row>
    <row r="83" spans="1:22" s="191" customFormat="1">
      <c r="A83" s="190">
        <v>40879</v>
      </c>
      <c r="B83" s="191">
        <v>954</v>
      </c>
      <c r="C83" s="191">
        <v>17934</v>
      </c>
      <c r="D83" s="191">
        <v>9127</v>
      </c>
      <c r="E83" s="191">
        <v>9046</v>
      </c>
      <c r="F83" s="191">
        <v>2846</v>
      </c>
      <c r="G83" s="191">
        <v>2846</v>
      </c>
      <c r="H83" s="192">
        <f t="shared" si="8"/>
        <v>1</v>
      </c>
      <c r="I83" s="191">
        <v>6200</v>
      </c>
      <c r="J83" s="191">
        <v>5181</v>
      </c>
      <c r="K83" s="192">
        <f t="shared" si="9"/>
        <v>0.83564516129032262</v>
      </c>
      <c r="L83" s="191">
        <v>5180</v>
      </c>
      <c r="M83" s="191">
        <v>8574</v>
      </c>
      <c r="N83" s="192">
        <f t="shared" si="10"/>
        <v>9.4238395148122225E-2</v>
      </c>
      <c r="O83" s="192">
        <f t="shared" si="11"/>
        <v>0.88735352642051735</v>
      </c>
      <c r="P83" s="191">
        <f t="shared" si="12"/>
        <v>14624.82</v>
      </c>
      <c r="Q83"/>
      <c r="R83" s="191">
        <v>12</v>
      </c>
      <c r="S83" s="191">
        <v>808</v>
      </c>
      <c r="T83" s="191">
        <f t="shared" si="13"/>
        <v>31.142857142857338</v>
      </c>
      <c r="U83" s="191">
        <f t="shared" si="15"/>
        <v>839.14285714285734</v>
      </c>
      <c r="V83" s="192">
        <f t="shared" si="14"/>
        <v>0.100660271583406</v>
      </c>
    </row>
    <row r="84" spans="1:22" s="191" customFormat="1">
      <c r="A84" s="190">
        <v>40886</v>
      </c>
      <c r="B84" s="191">
        <v>938</v>
      </c>
      <c r="C84" s="191">
        <v>17058</v>
      </c>
      <c r="D84" s="191">
        <v>9544</v>
      </c>
      <c r="E84" s="191">
        <v>9308</v>
      </c>
      <c r="F84" s="191">
        <v>3056</v>
      </c>
      <c r="G84" s="191">
        <v>3056</v>
      </c>
      <c r="H84" s="192">
        <f t="shared" si="8"/>
        <v>1</v>
      </c>
      <c r="I84" s="191">
        <v>6252</v>
      </c>
      <c r="J84" s="191">
        <v>5147</v>
      </c>
      <c r="K84" s="192">
        <f t="shared" si="9"/>
        <v>0.82325655790147156</v>
      </c>
      <c r="L84" s="191">
        <v>5146</v>
      </c>
      <c r="M84" s="191">
        <v>8666</v>
      </c>
      <c r="N84" s="192">
        <f t="shared" si="10"/>
        <v>9.4738056773597965E-2</v>
      </c>
      <c r="O84" s="192">
        <f t="shared" si="11"/>
        <v>0.88128491620111726</v>
      </c>
      <c r="P84" s="191">
        <f t="shared" si="12"/>
        <v>14379.54</v>
      </c>
      <c r="Q84"/>
      <c r="R84" s="191">
        <v>17</v>
      </c>
      <c r="S84" s="191">
        <v>821</v>
      </c>
      <c r="T84" s="191">
        <f t="shared" si="13"/>
        <v>259.14285714285734</v>
      </c>
      <c r="U84" s="191">
        <f t="shared" si="15"/>
        <v>1080.1428571428573</v>
      </c>
      <c r="V84" s="192">
        <f t="shared" si="14"/>
        <v>0.10008533463367061</v>
      </c>
    </row>
    <row r="85" spans="1:22" s="191" customFormat="1">
      <c r="A85" s="190">
        <v>40893</v>
      </c>
      <c r="B85" s="191">
        <v>943</v>
      </c>
      <c r="C85" s="191">
        <v>17663</v>
      </c>
      <c r="D85" s="191">
        <v>9390</v>
      </c>
      <c r="E85" s="191">
        <v>9247</v>
      </c>
      <c r="F85" s="191">
        <v>3094</v>
      </c>
      <c r="G85" s="191">
        <v>3094</v>
      </c>
      <c r="H85" s="192">
        <f t="shared" si="8"/>
        <v>1</v>
      </c>
      <c r="I85" s="191">
        <v>6153</v>
      </c>
      <c r="J85" s="191">
        <v>5262</v>
      </c>
      <c r="K85" s="192">
        <f t="shared" si="9"/>
        <v>0.85519258898098494</v>
      </c>
      <c r="L85" s="191">
        <v>5260</v>
      </c>
      <c r="M85" s="191">
        <v>8879</v>
      </c>
      <c r="N85" s="192">
        <f t="shared" si="10"/>
        <v>9.4042121860569886E-2</v>
      </c>
      <c r="O85" s="192">
        <f t="shared" si="11"/>
        <v>0.90364442521898991</v>
      </c>
      <c r="P85" s="191">
        <f t="shared" si="12"/>
        <v>14456.19</v>
      </c>
      <c r="Q85"/>
      <c r="R85" s="191">
        <v>26</v>
      </c>
      <c r="S85" s="191">
        <v>835</v>
      </c>
      <c r="T85" s="191">
        <f t="shared" si="13"/>
        <v>47.571428571428442</v>
      </c>
      <c r="U85" s="191">
        <f t="shared" si="15"/>
        <v>882.57142857142844</v>
      </c>
      <c r="V85" s="192">
        <f t="shared" si="14"/>
        <v>9.9928195308760168E-2</v>
      </c>
    </row>
    <row r="86" spans="1:22" s="191" customFormat="1">
      <c r="A86" s="190">
        <v>40900</v>
      </c>
      <c r="B86" s="191">
        <v>962</v>
      </c>
      <c r="C86" s="191">
        <v>17674</v>
      </c>
      <c r="D86" s="191">
        <v>9402</v>
      </c>
      <c r="E86" s="191">
        <v>9360</v>
      </c>
      <c r="F86" s="191">
        <v>3128</v>
      </c>
      <c r="G86" s="191">
        <v>3128</v>
      </c>
      <c r="H86" s="192">
        <f t="shared" si="8"/>
        <v>1</v>
      </c>
      <c r="I86" s="191">
        <v>6231</v>
      </c>
      <c r="J86" s="191">
        <v>5241</v>
      </c>
      <c r="K86" s="192">
        <f t="shared" si="9"/>
        <v>0.84111699566682718</v>
      </c>
      <c r="L86" s="191">
        <v>5239</v>
      </c>
      <c r="M86" s="191">
        <v>8923</v>
      </c>
      <c r="N86" s="192">
        <f t="shared" si="10"/>
        <v>9.3690462848817657E-2</v>
      </c>
      <c r="O86" s="192">
        <f t="shared" si="11"/>
        <v>0.89412393162393167</v>
      </c>
      <c r="P86" s="191">
        <f t="shared" si="12"/>
        <v>14747.46</v>
      </c>
      <c r="Q86"/>
      <c r="R86" s="191">
        <v>0</v>
      </c>
      <c r="S86" s="191">
        <v>836</v>
      </c>
      <c r="T86" s="191">
        <f t="shared" si="13"/>
        <v>124.42857142857156</v>
      </c>
      <c r="U86" s="191">
        <f t="shared" si="15"/>
        <v>960.42857142857156</v>
      </c>
      <c r="V86" s="192">
        <f t="shared" si="14"/>
        <v>9.9892460270044212E-2</v>
      </c>
    </row>
    <row r="87" spans="1:22" s="191" customFormat="1">
      <c r="A87" s="190">
        <v>40907</v>
      </c>
      <c r="B87" s="191">
        <v>963</v>
      </c>
      <c r="C87" s="191">
        <v>17945</v>
      </c>
      <c r="D87" s="191">
        <v>8936</v>
      </c>
      <c r="E87" s="191">
        <v>8655</v>
      </c>
      <c r="F87" s="191">
        <v>2787</v>
      </c>
      <c r="G87" s="191">
        <v>2787</v>
      </c>
      <c r="H87" s="192">
        <f t="shared" si="8"/>
        <v>1</v>
      </c>
      <c r="I87" s="191">
        <v>5868</v>
      </c>
      <c r="J87" s="191">
        <v>4768</v>
      </c>
      <c r="K87" s="192">
        <f t="shared" si="9"/>
        <v>0.81254260395364686</v>
      </c>
      <c r="L87" s="191">
        <v>4766</v>
      </c>
      <c r="M87" s="191">
        <v>8556</v>
      </c>
      <c r="N87" s="192">
        <f t="shared" si="10"/>
        <v>8.8475923328658251E-2</v>
      </c>
      <c r="O87" s="192">
        <f t="shared" si="11"/>
        <v>0.87290583477758521</v>
      </c>
      <c r="P87" s="191">
        <f t="shared" si="12"/>
        <v>14762.79</v>
      </c>
      <c r="Q87"/>
      <c r="R87" s="191">
        <v>10</v>
      </c>
      <c r="S87" s="191">
        <v>757</v>
      </c>
      <c r="T87" s="191">
        <f t="shared" si="13"/>
        <v>177.28571428571422</v>
      </c>
      <c r="U87" s="191">
        <f t="shared" si="15"/>
        <v>934.28571428571422</v>
      </c>
      <c r="V87" s="192">
        <f t="shared" si="14"/>
        <v>0.10019854401058902</v>
      </c>
    </row>
    <row r="88" spans="1:22" s="191" customFormat="1">
      <c r="A88" s="190">
        <v>40914</v>
      </c>
      <c r="B88" s="191">
        <v>944</v>
      </c>
      <c r="C88" s="191">
        <v>18773</v>
      </c>
      <c r="D88" s="191">
        <v>8739</v>
      </c>
      <c r="E88" s="191">
        <v>8601</v>
      </c>
      <c r="F88" s="191">
        <v>2721</v>
      </c>
      <c r="G88" s="191">
        <v>2721</v>
      </c>
      <c r="H88" s="192">
        <f t="shared" si="8"/>
        <v>1</v>
      </c>
      <c r="I88" s="191">
        <v>5880</v>
      </c>
      <c r="J88" s="191">
        <v>4724</v>
      </c>
      <c r="K88" s="192">
        <f t="shared" si="9"/>
        <v>0.80340136054421774</v>
      </c>
      <c r="L88" s="191">
        <v>4723</v>
      </c>
      <c r="M88" s="191">
        <v>8179</v>
      </c>
      <c r="N88" s="192">
        <f t="shared" si="10"/>
        <v>9.1086929942535769E-2</v>
      </c>
      <c r="O88" s="192">
        <f t="shared" si="11"/>
        <v>0.86559702360190671</v>
      </c>
      <c r="P88" s="191">
        <f t="shared" si="12"/>
        <v>14471.52</v>
      </c>
      <c r="Q88"/>
      <c r="R88" s="191">
        <v>0</v>
      </c>
      <c r="S88" s="191">
        <v>745</v>
      </c>
      <c r="T88" s="191">
        <f t="shared" si="13"/>
        <v>80.714285714285779</v>
      </c>
      <c r="U88" s="191">
        <f t="shared" si="15"/>
        <v>825.71428571428578</v>
      </c>
      <c r="V88" s="192">
        <f t="shared" si="14"/>
        <v>0.10006715916722633</v>
      </c>
    </row>
    <row r="89" spans="1:22" s="191" customFormat="1">
      <c r="A89" s="190">
        <v>40921</v>
      </c>
      <c r="B89" s="191">
        <v>941</v>
      </c>
      <c r="C89" s="191">
        <v>19535</v>
      </c>
      <c r="D89" s="191">
        <v>8788</v>
      </c>
      <c r="E89" s="191">
        <v>8757</v>
      </c>
      <c r="F89" s="191">
        <v>2848</v>
      </c>
      <c r="G89" s="191">
        <v>2848</v>
      </c>
      <c r="H89" s="192">
        <f t="shared" si="8"/>
        <v>1</v>
      </c>
      <c r="I89" s="191">
        <v>5910</v>
      </c>
      <c r="J89" s="191">
        <v>4843</v>
      </c>
      <c r="K89" s="192">
        <f t="shared" si="9"/>
        <v>0.81945854483925551</v>
      </c>
      <c r="L89" s="191">
        <v>4842</v>
      </c>
      <c r="M89" s="191">
        <v>7996</v>
      </c>
      <c r="N89" s="192">
        <f t="shared" si="10"/>
        <v>9.6173086543271641E-2</v>
      </c>
      <c r="O89" s="192">
        <f t="shared" si="11"/>
        <v>0.87826881352061204</v>
      </c>
      <c r="P89" s="191">
        <f t="shared" si="12"/>
        <v>14425.53</v>
      </c>
      <c r="Q89"/>
      <c r="R89" s="191">
        <v>0</v>
      </c>
      <c r="S89" s="191">
        <v>769</v>
      </c>
      <c r="T89" s="191">
        <f t="shared" si="13"/>
        <v>63.142857142856883</v>
      </c>
      <c r="U89" s="191">
        <f t="shared" si="15"/>
        <v>832.14285714285688</v>
      </c>
      <c r="V89" s="192">
        <f t="shared" si="14"/>
        <v>9.9986997789624235E-2</v>
      </c>
    </row>
    <row r="90" spans="1:22" s="191" customFormat="1">
      <c r="A90" s="190">
        <v>40928</v>
      </c>
      <c r="B90" s="191">
        <v>934</v>
      </c>
      <c r="C90" s="191">
        <v>19805</v>
      </c>
      <c r="D90" s="191">
        <v>8539</v>
      </c>
      <c r="E90" s="191">
        <v>8511</v>
      </c>
      <c r="F90" s="191">
        <v>2913</v>
      </c>
      <c r="G90" s="191">
        <v>2906</v>
      </c>
      <c r="H90" s="192">
        <f t="shared" si="8"/>
        <v>0.99759697905938893</v>
      </c>
      <c r="I90" s="191">
        <v>5598</v>
      </c>
      <c r="J90" s="191">
        <v>4856</v>
      </c>
      <c r="K90" s="192">
        <f t="shared" si="9"/>
        <v>0.86745266166488033</v>
      </c>
      <c r="L90" s="191">
        <v>4855</v>
      </c>
      <c r="M90" s="191">
        <v>8098</v>
      </c>
      <c r="N90" s="192">
        <f t="shared" si="10"/>
        <v>9.5579155346999262E-2</v>
      </c>
      <c r="O90" s="192">
        <f t="shared" si="11"/>
        <v>0.91199624015979319</v>
      </c>
      <c r="P90" s="191">
        <f t="shared" si="12"/>
        <v>14318.22</v>
      </c>
      <c r="Q90"/>
      <c r="R90" s="191">
        <v>0</v>
      </c>
      <c r="S90" s="191">
        <v>774</v>
      </c>
      <c r="T90" s="191">
        <f t="shared" si="13"/>
        <v>121.42857142857156</v>
      </c>
      <c r="U90" s="191">
        <f t="shared" si="15"/>
        <v>895.42857142857156</v>
      </c>
      <c r="V90" s="192">
        <f t="shared" si="14"/>
        <v>9.971656789487246E-2</v>
      </c>
    </row>
    <row r="91" spans="1:22" s="191" customFormat="1">
      <c r="A91" s="190">
        <v>40935</v>
      </c>
      <c r="B91" s="191">
        <v>939</v>
      </c>
      <c r="C91" s="191">
        <v>20591</v>
      </c>
      <c r="D91" s="191">
        <v>8562</v>
      </c>
      <c r="E91" s="191">
        <v>8476</v>
      </c>
      <c r="F91" s="191">
        <v>2883</v>
      </c>
      <c r="G91" s="191">
        <v>2883</v>
      </c>
      <c r="H91" s="192">
        <f t="shared" si="8"/>
        <v>1</v>
      </c>
      <c r="I91" s="191">
        <v>5593</v>
      </c>
      <c r="J91" s="191">
        <v>4842</v>
      </c>
      <c r="K91" s="192">
        <f t="shared" si="9"/>
        <v>0.86572501340961916</v>
      </c>
      <c r="L91" s="191">
        <v>4841</v>
      </c>
      <c r="M91" s="191">
        <v>8018</v>
      </c>
      <c r="N91" s="192">
        <f t="shared" si="10"/>
        <v>9.615864305313046E-2</v>
      </c>
      <c r="O91" s="192">
        <f t="shared" si="11"/>
        <v>0.91139688532326568</v>
      </c>
      <c r="P91" s="191">
        <f t="shared" si="12"/>
        <v>14394.87</v>
      </c>
      <c r="Q91"/>
      <c r="R91" s="191">
        <v>5</v>
      </c>
      <c r="S91" s="191">
        <v>771</v>
      </c>
      <c r="T91" s="191">
        <f t="shared" si="13"/>
        <v>60.714285714285779</v>
      </c>
      <c r="U91" s="191">
        <f t="shared" si="15"/>
        <v>831.71428571428578</v>
      </c>
      <c r="V91" s="192">
        <f t="shared" si="14"/>
        <v>9.9805825242718443E-2</v>
      </c>
    </row>
    <row r="92" spans="1:22" s="191" customFormat="1">
      <c r="A92" s="190">
        <v>40942</v>
      </c>
      <c r="B92" s="191">
        <v>923</v>
      </c>
      <c r="C92" s="191">
        <v>21063</v>
      </c>
      <c r="D92" s="191">
        <v>8626</v>
      </c>
      <c r="E92" s="191">
        <v>8483</v>
      </c>
      <c r="F92" s="191">
        <v>2918</v>
      </c>
      <c r="G92" s="191">
        <v>2918</v>
      </c>
      <c r="H92" s="192">
        <f t="shared" si="8"/>
        <v>1</v>
      </c>
      <c r="I92" s="191">
        <v>5566</v>
      </c>
      <c r="J92" s="191">
        <v>4923</v>
      </c>
      <c r="K92" s="192">
        <f t="shared" si="9"/>
        <v>0.88447718289615518</v>
      </c>
      <c r="L92" s="191">
        <v>4922</v>
      </c>
      <c r="M92" s="191">
        <v>8039</v>
      </c>
      <c r="N92" s="192">
        <f t="shared" si="10"/>
        <v>9.7275780569722609E-2</v>
      </c>
      <c r="O92" s="192">
        <f t="shared" si="11"/>
        <v>0.9243192266886715</v>
      </c>
      <c r="P92" s="191">
        <f t="shared" si="12"/>
        <v>14149.59</v>
      </c>
      <c r="Q92"/>
      <c r="R92" s="191">
        <v>0</v>
      </c>
      <c r="S92" s="191">
        <v>782</v>
      </c>
      <c r="T92" s="191">
        <f t="shared" si="13"/>
        <v>73.571428571428442</v>
      </c>
      <c r="U92" s="191">
        <f t="shared" si="15"/>
        <v>855.57142857142844</v>
      </c>
      <c r="V92" s="192">
        <f t="shared" si="14"/>
        <v>9.9732177018237472E-2</v>
      </c>
    </row>
    <row r="93" spans="1:22" s="191" customFormat="1">
      <c r="A93" s="190">
        <v>40949</v>
      </c>
      <c r="B93" s="191">
        <v>928</v>
      </c>
      <c r="C93" s="191">
        <v>21493</v>
      </c>
      <c r="D93" s="191">
        <v>8788</v>
      </c>
      <c r="E93" s="191">
        <v>8669</v>
      </c>
      <c r="F93" s="191">
        <v>2982</v>
      </c>
      <c r="G93" s="191">
        <v>2968</v>
      </c>
      <c r="H93" s="192">
        <f t="shared" si="8"/>
        <v>0.99530516431924887</v>
      </c>
      <c r="I93" s="191">
        <v>5687</v>
      </c>
      <c r="J93" s="191">
        <v>5033</v>
      </c>
      <c r="K93" s="192">
        <f t="shared" si="9"/>
        <v>0.88500087919817128</v>
      </c>
      <c r="L93" s="191">
        <v>5032</v>
      </c>
      <c r="M93" s="191">
        <v>8167</v>
      </c>
      <c r="N93" s="192">
        <f t="shared" si="10"/>
        <v>9.7587853556997672E-2</v>
      </c>
      <c r="O93" s="192">
        <f t="shared" si="11"/>
        <v>0.92294382281693388</v>
      </c>
      <c r="P93" s="191">
        <f t="shared" si="12"/>
        <v>14226.24</v>
      </c>
      <c r="Q93"/>
      <c r="R93" s="191">
        <v>0</v>
      </c>
      <c r="S93" s="191">
        <v>797</v>
      </c>
      <c r="T93" s="191">
        <f t="shared" si="13"/>
        <v>69.571428571428442</v>
      </c>
      <c r="U93" s="191">
        <f t="shared" si="15"/>
        <v>866.57142857142844</v>
      </c>
      <c r="V93" s="192">
        <f t="shared" si="14"/>
        <v>9.9612548431446069E-2</v>
      </c>
    </row>
    <row r="94" spans="1:22" s="191" customFormat="1">
      <c r="A94" s="190">
        <v>40956</v>
      </c>
      <c r="B94" s="191">
        <v>919</v>
      </c>
      <c r="C94" s="191">
        <v>21540</v>
      </c>
      <c r="D94" s="191">
        <v>8975</v>
      </c>
      <c r="E94" s="191">
        <v>8637</v>
      </c>
      <c r="F94" s="191">
        <v>2981</v>
      </c>
      <c r="G94" s="191">
        <v>2981</v>
      </c>
      <c r="H94" s="192">
        <f t="shared" si="8"/>
        <v>1</v>
      </c>
      <c r="I94" s="191">
        <v>5656</v>
      </c>
      <c r="J94" s="191">
        <v>5188</v>
      </c>
      <c r="K94" s="192">
        <f t="shared" si="9"/>
        <v>0.91725601131541723</v>
      </c>
      <c r="L94" s="191">
        <v>5187</v>
      </c>
      <c r="M94" s="191">
        <v>8628</v>
      </c>
      <c r="N94" s="192">
        <f t="shared" si="10"/>
        <v>9.4228094575799726E-2</v>
      </c>
      <c r="O94" s="192">
        <f t="shared" si="11"/>
        <v>0.94581451893018409</v>
      </c>
      <c r="P94" s="191">
        <f t="shared" si="12"/>
        <v>14088.27</v>
      </c>
      <c r="Q94"/>
      <c r="R94" s="191">
        <v>0</v>
      </c>
      <c r="S94" s="191">
        <v>813</v>
      </c>
      <c r="T94" s="191">
        <f t="shared" si="13"/>
        <v>99.285714285714221</v>
      </c>
      <c r="U94" s="191">
        <f t="shared" si="15"/>
        <v>912.28571428571422</v>
      </c>
      <c r="V94" s="192">
        <f t="shared" si="14"/>
        <v>9.9522585383767903E-2</v>
      </c>
    </row>
    <row r="95" spans="1:22" s="191" customFormat="1">
      <c r="A95" s="190">
        <v>40963</v>
      </c>
      <c r="B95" s="191">
        <v>896</v>
      </c>
      <c r="C95" s="191">
        <v>22002</v>
      </c>
      <c r="D95" s="191">
        <v>8850</v>
      </c>
      <c r="E95" s="191">
        <v>8784</v>
      </c>
      <c r="F95" s="191">
        <v>2998</v>
      </c>
      <c r="G95" s="191">
        <v>2998</v>
      </c>
      <c r="H95" s="192">
        <f t="shared" si="8"/>
        <v>1</v>
      </c>
      <c r="I95" s="191">
        <v>5786</v>
      </c>
      <c r="J95" s="191">
        <v>5202</v>
      </c>
      <c r="K95" s="192">
        <f t="shared" si="9"/>
        <v>0.89906671275492567</v>
      </c>
      <c r="L95" s="191">
        <v>5200</v>
      </c>
      <c r="M95" s="191">
        <v>8363</v>
      </c>
      <c r="N95" s="192">
        <f t="shared" si="10"/>
        <v>9.840966160468731E-2</v>
      </c>
      <c r="O95" s="192">
        <f t="shared" si="11"/>
        <v>0.93351548269581053</v>
      </c>
      <c r="P95" s="191">
        <f t="shared" si="12"/>
        <v>13735.68</v>
      </c>
      <c r="Q95"/>
      <c r="R95" s="191">
        <v>0</v>
      </c>
      <c r="S95" s="191">
        <v>823</v>
      </c>
      <c r="T95" s="191">
        <f t="shared" si="13"/>
        <v>7</v>
      </c>
      <c r="U95" s="191">
        <f t="shared" si="15"/>
        <v>830</v>
      </c>
      <c r="V95" s="192">
        <f t="shared" si="14"/>
        <v>0.10036585365853659</v>
      </c>
    </row>
    <row r="96" spans="1:22" s="191" customFormat="1">
      <c r="A96" s="190">
        <v>40970</v>
      </c>
      <c r="B96" s="191">
        <v>906</v>
      </c>
      <c r="C96" s="191">
        <v>22070</v>
      </c>
      <c r="D96" s="191">
        <v>8589</v>
      </c>
      <c r="E96" s="191">
        <v>8613</v>
      </c>
      <c r="F96" s="191">
        <v>2942</v>
      </c>
      <c r="G96" s="191">
        <v>2942</v>
      </c>
      <c r="H96" s="192">
        <f t="shared" si="8"/>
        <v>1</v>
      </c>
      <c r="I96" s="191">
        <v>5671</v>
      </c>
      <c r="J96" s="191">
        <v>5061</v>
      </c>
      <c r="K96" s="192">
        <f t="shared" si="9"/>
        <v>0.89243519661435378</v>
      </c>
      <c r="L96" s="191">
        <v>5060</v>
      </c>
      <c r="M96" s="191">
        <v>8262</v>
      </c>
      <c r="N96" s="192">
        <f t="shared" si="10"/>
        <v>9.682885499878964E-2</v>
      </c>
      <c r="O96" s="192">
        <f t="shared" si="11"/>
        <v>0.92917682572854987</v>
      </c>
      <c r="P96" s="191">
        <f t="shared" si="12"/>
        <v>13888.98</v>
      </c>
      <c r="Q96"/>
      <c r="R96" s="191">
        <v>0</v>
      </c>
      <c r="S96" s="191">
        <v>800</v>
      </c>
      <c r="T96" s="191">
        <f t="shared" si="13"/>
        <v>96.285714285714675</v>
      </c>
      <c r="U96" s="191">
        <f t="shared" si="15"/>
        <v>896.28571428571468</v>
      </c>
      <c r="V96" s="192">
        <f t="shared" si="14"/>
        <v>9.9962514057228544E-2</v>
      </c>
    </row>
    <row r="97" spans="1:22" s="191" customFormat="1">
      <c r="A97" s="190">
        <v>40977</v>
      </c>
      <c r="B97" s="191">
        <v>892</v>
      </c>
      <c r="C97" s="191">
        <v>22043</v>
      </c>
      <c r="D97" s="191">
        <v>8821</v>
      </c>
      <c r="E97" s="191">
        <v>8737</v>
      </c>
      <c r="F97" s="191">
        <v>3020</v>
      </c>
      <c r="G97" s="191">
        <v>3020</v>
      </c>
      <c r="H97" s="192">
        <f t="shared" si="8"/>
        <v>1</v>
      </c>
      <c r="I97" s="191">
        <v>5717</v>
      </c>
      <c r="J97" s="191">
        <v>5140</v>
      </c>
      <c r="K97" s="192">
        <f t="shared" si="9"/>
        <v>0.89907294035333218</v>
      </c>
      <c r="L97" s="191">
        <v>5139</v>
      </c>
      <c r="M97" s="191">
        <v>8415</v>
      </c>
      <c r="N97" s="192">
        <f t="shared" si="10"/>
        <v>9.7207367795603086E-2</v>
      </c>
      <c r="O97" s="192">
        <f t="shared" si="11"/>
        <v>0.93395902483690052</v>
      </c>
      <c r="P97" s="191">
        <f t="shared" si="12"/>
        <v>13674.36</v>
      </c>
      <c r="Q97"/>
      <c r="R97" s="191">
        <v>14</v>
      </c>
      <c r="S97" s="191">
        <v>818</v>
      </c>
      <c r="T97" s="191">
        <f t="shared" si="13"/>
        <v>91.857142857142662</v>
      </c>
      <c r="U97" s="191">
        <f t="shared" si="15"/>
        <v>909.85714285714266</v>
      </c>
      <c r="V97" s="192">
        <f t="shared" si="14"/>
        <v>0.10024509803921569</v>
      </c>
    </row>
    <row r="98" spans="1:22" s="191" customFormat="1">
      <c r="A98" s="190">
        <v>40984</v>
      </c>
      <c r="B98" s="191">
        <v>893</v>
      </c>
      <c r="C98" s="191">
        <v>22713</v>
      </c>
      <c r="D98" s="191">
        <v>8762</v>
      </c>
      <c r="E98" s="191">
        <v>8577</v>
      </c>
      <c r="F98" s="191">
        <v>2959</v>
      </c>
      <c r="G98" s="191">
        <v>2959</v>
      </c>
      <c r="H98" s="192">
        <f t="shared" si="8"/>
        <v>1</v>
      </c>
      <c r="I98" s="191">
        <v>5617</v>
      </c>
      <c r="J98" s="191">
        <v>5109</v>
      </c>
      <c r="K98" s="192">
        <f t="shared" si="9"/>
        <v>0.90956026348584651</v>
      </c>
      <c r="L98" s="191">
        <v>5108</v>
      </c>
      <c r="M98" s="191">
        <v>8379</v>
      </c>
      <c r="N98" s="192">
        <f t="shared" si="10"/>
        <v>9.5954171142141068E-2</v>
      </c>
      <c r="O98" s="192">
        <f t="shared" si="11"/>
        <v>0.9406552407601726</v>
      </c>
      <c r="P98" s="191">
        <f t="shared" si="12"/>
        <v>13689.69</v>
      </c>
      <c r="Q98"/>
      <c r="R98" s="191">
        <v>0</v>
      </c>
      <c r="S98" s="191">
        <v>804</v>
      </c>
      <c r="T98" s="191">
        <f t="shared" si="13"/>
        <v>-6.7142857142857792</v>
      </c>
      <c r="U98" s="191">
        <f t="shared" si="15"/>
        <v>797.28571428571422</v>
      </c>
      <c r="V98" s="192">
        <f t="shared" si="14"/>
        <v>9.9652949925632131E-2</v>
      </c>
    </row>
    <row r="99" spans="1:22" s="191" customFormat="1">
      <c r="A99" s="190">
        <v>40991</v>
      </c>
      <c r="B99" s="191">
        <v>889</v>
      </c>
      <c r="C99" s="191">
        <v>22628</v>
      </c>
      <c r="D99" s="191">
        <v>8756</v>
      </c>
      <c r="E99" s="191">
        <v>8659</v>
      </c>
      <c r="F99" s="191">
        <v>2900</v>
      </c>
      <c r="G99" s="191">
        <v>2900</v>
      </c>
      <c r="H99" s="192">
        <f t="shared" si="8"/>
        <v>1</v>
      </c>
      <c r="I99" s="191">
        <v>5759</v>
      </c>
      <c r="J99" s="191">
        <v>5183</v>
      </c>
      <c r="K99" s="192">
        <f t="shared" si="9"/>
        <v>0.89998263587428373</v>
      </c>
      <c r="L99" s="191">
        <v>5182</v>
      </c>
      <c r="M99" s="191">
        <v>8710</v>
      </c>
      <c r="N99" s="192">
        <f t="shared" si="10"/>
        <v>9.2652123995407579E-2</v>
      </c>
      <c r="O99" s="192">
        <f t="shared" si="11"/>
        <v>0.93347961658390111</v>
      </c>
      <c r="P99" s="191">
        <f t="shared" si="12"/>
        <v>13628.37</v>
      </c>
      <c r="Q99"/>
      <c r="R99" s="191">
        <v>18</v>
      </c>
      <c r="S99" s="191">
        <v>807</v>
      </c>
      <c r="T99" s="191">
        <f t="shared" si="13"/>
        <v>112.14285714285779</v>
      </c>
      <c r="U99" s="191">
        <f t="shared" si="15"/>
        <v>919.14285714285779</v>
      </c>
      <c r="V99" s="192">
        <f t="shared" si="14"/>
        <v>9.983916862551033E-2</v>
      </c>
    </row>
    <row r="100" spans="1:22" s="191" customFormat="1">
      <c r="A100" s="190">
        <v>40998</v>
      </c>
      <c r="B100" s="191">
        <v>873</v>
      </c>
      <c r="C100" s="191">
        <v>22553</v>
      </c>
      <c r="D100" s="191">
        <v>8973</v>
      </c>
      <c r="E100" s="191">
        <v>8720</v>
      </c>
      <c r="F100" s="191">
        <v>2957</v>
      </c>
      <c r="G100" s="191">
        <v>2957</v>
      </c>
      <c r="H100" s="192">
        <f t="shared" si="8"/>
        <v>1</v>
      </c>
      <c r="I100" s="191">
        <v>5763</v>
      </c>
      <c r="J100" s="191">
        <v>5212</v>
      </c>
      <c r="K100" s="192">
        <f t="shared" si="9"/>
        <v>0.90439007461391641</v>
      </c>
      <c r="L100" s="191">
        <v>5210</v>
      </c>
      <c r="M100" s="191">
        <v>8783</v>
      </c>
      <c r="N100" s="192">
        <f t="shared" si="10"/>
        <v>9.2906751679380617E-2</v>
      </c>
      <c r="O100" s="192">
        <f t="shared" si="11"/>
        <v>0.93681192660550461</v>
      </c>
      <c r="P100" s="191">
        <f t="shared" si="12"/>
        <v>13383.09</v>
      </c>
      <c r="Q100"/>
      <c r="R100" s="191">
        <v>9</v>
      </c>
      <c r="S100" s="191">
        <v>816</v>
      </c>
      <c r="T100" s="191">
        <f t="shared" si="13"/>
        <v>76.714285714285779</v>
      </c>
      <c r="U100" s="191">
        <f t="shared" si="15"/>
        <v>892.71428571428578</v>
      </c>
      <c r="V100" s="192">
        <f t="shared" si="14"/>
        <v>9.9889827396254127E-2</v>
      </c>
    </row>
    <row r="101" spans="1:22" s="191" customFormat="1">
      <c r="A101" s="190">
        <v>41005</v>
      </c>
      <c r="B101" s="191">
        <v>896</v>
      </c>
      <c r="C101" s="191">
        <v>21772</v>
      </c>
      <c r="D101" s="191">
        <v>8912</v>
      </c>
      <c r="E101" s="191">
        <v>8619</v>
      </c>
      <c r="F101" s="191">
        <v>3009</v>
      </c>
      <c r="G101" s="191">
        <v>2993</v>
      </c>
      <c r="H101" s="192">
        <f t="shared" si="8"/>
        <v>0.99468261881023601</v>
      </c>
      <c r="I101" s="191">
        <v>5610</v>
      </c>
      <c r="J101" s="191">
        <v>5260</v>
      </c>
      <c r="K101" s="192">
        <f t="shared" si="9"/>
        <v>0.9376114081996435</v>
      </c>
      <c r="L101" s="191">
        <v>5259</v>
      </c>
      <c r="M101" s="191">
        <v>8681</v>
      </c>
      <c r="N101" s="192">
        <f t="shared" si="10"/>
        <v>9.491994009906693E-2</v>
      </c>
      <c r="O101" s="192">
        <f t="shared" si="11"/>
        <v>0.9575356769926906</v>
      </c>
      <c r="P101" s="191">
        <f t="shared" si="12"/>
        <v>13735.68</v>
      </c>
      <c r="Q101"/>
      <c r="R101" s="191">
        <v>0</v>
      </c>
      <c r="S101" s="191">
        <v>824</v>
      </c>
      <c r="T101" s="191">
        <f t="shared" si="13"/>
        <v>183.5714285714289</v>
      </c>
      <c r="U101" s="191">
        <f t="shared" si="15"/>
        <v>1007.5714285714289</v>
      </c>
      <c r="V101" s="192">
        <f t="shared" si="14"/>
        <v>9.9842481521870835E-2</v>
      </c>
    </row>
    <row r="102" spans="1:22" s="191" customFormat="1">
      <c r="A102" s="190">
        <v>41012</v>
      </c>
      <c r="B102" s="191">
        <v>884</v>
      </c>
      <c r="C102" s="191">
        <v>21968</v>
      </c>
      <c r="D102" s="191">
        <v>8915</v>
      </c>
      <c r="E102" s="191">
        <v>8882</v>
      </c>
      <c r="F102" s="191">
        <v>3016</v>
      </c>
      <c r="G102" s="191">
        <v>2999</v>
      </c>
      <c r="H102" s="192">
        <f t="shared" si="8"/>
        <v>0.99436339522546424</v>
      </c>
      <c r="I102" s="191">
        <v>5866</v>
      </c>
      <c r="J102" s="191">
        <v>5396</v>
      </c>
      <c r="K102" s="192">
        <f t="shared" si="9"/>
        <v>0.91987725877940674</v>
      </c>
      <c r="L102" s="191">
        <v>5394</v>
      </c>
      <c r="M102" s="191">
        <v>8775</v>
      </c>
      <c r="N102" s="192">
        <f t="shared" si="10"/>
        <v>9.5726495726495733E-2</v>
      </c>
      <c r="O102" s="192">
        <f t="shared" si="11"/>
        <v>0.94517000675523533</v>
      </c>
      <c r="P102" s="191">
        <f t="shared" si="12"/>
        <v>13551.72</v>
      </c>
      <c r="Q102"/>
      <c r="R102" s="191">
        <v>21</v>
      </c>
      <c r="S102" s="191">
        <v>840</v>
      </c>
      <c r="T102" s="191">
        <f t="shared" si="13"/>
        <v>37</v>
      </c>
      <c r="U102" s="191">
        <f t="shared" si="15"/>
        <v>877</v>
      </c>
      <c r="V102" s="192">
        <f t="shared" si="14"/>
        <v>0.10005955926146516</v>
      </c>
    </row>
    <row r="103" spans="1:22" s="191" customFormat="1">
      <c r="A103" s="190">
        <v>41019</v>
      </c>
      <c r="B103" s="191">
        <v>865</v>
      </c>
      <c r="C103" s="191">
        <v>21852</v>
      </c>
      <c r="D103" s="191">
        <v>8789</v>
      </c>
      <c r="E103" s="191">
        <v>8576</v>
      </c>
      <c r="F103" s="191">
        <v>2899</v>
      </c>
      <c r="G103" s="191">
        <v>2883</v>
      </c>
      <c r="H103" s="192">
        <f t="shared" si="8"/>
        <v>0.9944808554674025</v>
      </c>
      <c r="I103" s="191">
        <v>5677</v>
      </c>
      <c r="J103" s="191">
        <v>5107</v>
      </c>
      <c r="K103" s="192">
        <f t="shared" si="9"/>
        <v>0.89959485643825965</v>
      </c>
      <c r="L103" s="191">
        <v>5105</v>
      </c>
      <c r="M103" s="191">
        <v>8496</v>
      </c>
      <c r="N103" s="192">
        <f t="shared" si="10"/>
        <v>9.4161958568738227E-2</v>
      </c>
      <c r="O103" s="192">
        <f t="shared" si="11"/>
        <v>0.93166977611940294</v>
      </c>
      <c r="P103" s="191">
        <f t="shared" si="12"/>
        <v>13260.45</v>
      </c>
      <c r="Q103"/>
      <c r="R103" s="191">
        <v>11</v>
      </c>
      <c r="S103" s="191">
        <v>800</v>
      </c>
      <c r="T103" s="191">
        <f t="shared" si="13"/>
        <v>92.571428571428442</v>
      </c>
      <c r="U103" s="191">
        <f t="shared" si="15"/>
        <v>892.57142857142844</v>
      </c>
      <c r="V103" s="192">
        <f t="shared" si="14"/>
        <v>0.10012515644555695</v>
      </c>
    </row>
    <row r="104" spans="1:22" s="191" customFormat="1">
      <c r="A104" s="190">
        <v>41026</v>
      </c>
      <c r="B104" s="191">
        <v>894</v>
      </c>
      <c r="C104" s="191">
        <v>22222</v>
      </c>
      <c r="D104" s="191">
        <v>8786</v>
      </c>
      <c r="E104" s="191">
        <v>8554</v>
      </c>
      <c r="F104" s="191">
        <v>2932</v>
      </c>
      <c r="G104" s="191">
        <v>2907</v>
      </c>
      <c r="H104" s="192">
        <f t="shared" si="8"/>
        <v>0.99147339699863579</v>
      </c>
      <c r="I104" s="191">
        <v>5623</v>
      </c>
      <c r="J104" s="191">
        <v>5217</v>
      </c>
      <c r="K104" s="192">
        <f t="shared" si="9"/>
        <v>0.9277965498844033</v>
      </c>
      <c r="L104" s="191">
        <v>5215</v>
      </c>
      <c r="M104" s="191">
        <v>8692</v>
      </c>
      <c r="N104" s="192">
        <f t="shared" si="10"/>
        <v>9.3189139438564203E-2</v>
      </c>
      <c r="O104" s="192">
        <f t="shared" si="11"/>
        <v>0.94973111994388593</v>
      </c>
      <c r="P104" s="191">
        <f t="shared" si="12"/>
        <v>13705.02</v>
      </c>
      <c r="Q104"/>
      <c r="R104" s="191">
        <v>0</v>
      </c>
      <c r="S104" s="191">
        <v>810</v>
      </c>
      <c r="T104" s="191">
        <f t="shared" si="13"/>
        <v>31.142857142857338</v>
      </c>
      <c r="U104" s="191">
        <f t="shared" si="15"/>
        <v>841.14285714285734</v>
      </c>
      <c r="V104" s="192">
        <f t="shared" si="14"/>
        <v>9.9704579025110776E-2</v>
      </c>
    </row>
    <row r="105" spans="1:22" s="191" customFormat="1">
      <c r="A105" s="190">
        <v>41033</v>
      </c>
      <c r="B105" s="191">
        <v>897</v>
      </c>
      <c r="C105" s="191">
        <v>21374</v>
      </c>
      <c r="D105" s="191">
        <v>9087</v>
      </c>
      <c r="E105" s="191">
        <v>8787</v>
      </c>
      <c r="F105" s="191">
        <v>2972</v>
      </c>
      <c r="G105" s="191">
        <v>2963</v>
      </c>
      <c r="H105" s="192">
        <f t="shared" si="8"/>
        <v>0.99697173620457602</v>
      </c>
      <c r="I105" s="191">
        <v>5816</v>
      </c>
      <c r="J105" s="191">
        <v>5289</v>
      </c>
      <c r="K105" s="192">
        <f t="shared" si="9"/>
        <v>0.90938789546079779</v>
      </c>
      <c r="L105" s="191">
        <v>5287</v>
      </c>
      <c r="M105" s="191">
        <v>8864</v>
      </c>
      <c r="N105" s="192">
        <f t="shared" si="10"/>
        <v>9.2960288808664263E-2</v>
      </c>
      <c r="O105" s="192">
        <f t="shared" si="11"/>
        <v>0.93911460111528389</v>
      </c>
      <c r="P105" s="191">
        <f t="shared" si="12"/>
        <v>13751.01</v>
      </c>
      <c r="Q105"/>
      <c r="R105" s="191">
        <v>0</v>
      </c>
      <c r="S105" s="191">
        <v>824</v>
      </c>
      <c r="T105" s="191">
        <f t="shared" si="13"/>
        <v>194.14285714285688</v>
      </c>
      <c r="U105" s="191">
        <f t="shared" si="15"/>
        <v>1018.1428571428569</v>
      </c>
      <c r="V105" s="192">
        <f t="shared" si="14"/>
        <v>9.9854580707707224E-2</v>
      </c>
    </row>
    <row r="106" spans="1:22" s="191" customFormat="1">
      <c r="A106" s="190">
        <v>41040</v>
      </c>
      <c r="B106" s="191">
        <v>904</v>
      </c>
      <c r="C106" s="191">
        <v>20630</v>
      </c>
      <c r="D106" s="191">
        <v>9098</v>
      </c>
      <c r="E106" s="191">
        <v>8888</v>
      </c>
      <c r="F106" s="191">
        <v>3034</v>
      </c>
      <c r="G106" s="191">
        <v>3019</v>
      </c>
      <c r="H106" s="192">
        <f t="shared" si="8"/>
        <v>0.99505603164139744</v>
      </c>
      <c r="I106" s="191">
        <v>5854</v>
      </c>
      <c r="J106" s="191">
        <v>5418</v>
      </c>
      <c r="K106" s="192">
        <f t="shared" si="9"/>
        <v>0.92552101127434228</v>
      </c>
      <c r="L106" s="191">
        <v>5416</v>
      </c>
      <c r="M106" s="191">
        <v>8971</v>
      </c>
      <c r="N106" s="192">
        <f t="shared" si="10"/>
        <v>9.3857986846505412E-2</v>
      </c>
      <c r="O106" s="192">
        <f t="shared" si="11"/>
        <v>0.94925742574257421</v>
      </c>
      <c r="P106" s="191">
        <f t="shared" si="12"/>
        <v>13858.32</v>
      </c>
      <c r="Q106"/>
      <c r="R106" s="191">
        <v>36</v>
      </c>
      <c r="S106" s="191">
        <v>842</v>
      </c>
      <c r="T106" s="191">
        <f t="shared" si="13"/>
        <v>204.28571428571422</v>
      </c>
      <c r="U106" s="191">
        <f t="shared" si="15"/>
        <v>1046.2857142857142</v>
      </c>
      <c r="V106" s="192">
        <f t="shared" si="14"/>
        <v>9.9798506578167592E-2</v>
      </c>
    </row>
    <row r="107" spans="1:22" s="191" customFormat="1">
      <c r="A107" s="190">
        <v>41047</v>
      </c>
      <c r="B107" s="191">
        <v>919</v>
      </c>
      <c r="C107" s="191">
        <v>21398</v>
      </c>
      <c r="D107" s="191">
        <v>8945</v>
      </c>
      <c r="E107" s="191">
        <v>9007</v>
      </c>
      <c r="F107" s="191">
        <v>3060</v>
      </c>
      <c r="G107" s="191">
        <v>3045</v>
      </c>
      <c r="H107" s="192">
        <f t="shared" si="8"/>
        <v>0.99509803921568629</v>
      </c>
      <c r="I107" s="191">
        <v>5946</v>
      </c>
      <c r="J107" s="191">
        <v>5386</v>
      </c>
      <c r="K107" s="192">
        <f t="shared" si="9"/>
        <v>0.90581903800874541</v>
      </c>
      <c r="L107" s="191">
        <v>5384</v>
      </c>
      <c r="M107" s="191">
        <v>8633</v>
      </c>
      <c r="N107" s="192">
        <f t="shared" si="10"/>
        <v>9.7416888682960737E-2</v>
      </c>
      <c r="O107" s="192">
        <f t="shared" si="11"/>
        <v>0.93604973909181743</v>
      </c>
      <c r="P107" s="191">
        <f t="shared" si="12"/>
        <v>14088.27</v>
      </c>
      <c r="Q107"/>
      <c r="R107" s="191">
        <v>0</v>
      </c>
      <c r="S107" s="191">
        <v>841</v>
      </c>
      <c r="T107" s="191">
        <f t="shared" si="13"/>
        <v>-31.714285714285325</v>
      </c>
      <c r="U107" s="191">
        <f t="shared" si="15"/>
        <v>809.28571428571468</v>
      </c>
      <c r="V107" s="192">
        <f t="shared" si="14"/>
        <v>9.9750919226663501E-2</v>
      </c>
    </row>
    <row r="108" spans="1:22" s="191" customFormat="1">
      <c r="A108" s="190">
        <v>41054</v>
      </c>
      <c r="B108" s="191">
        <v>902</v>
      </c>
      <c r="C108" s="191">
        <v>21508</v>
      </c>
      <c r="D108" s="191">
        <v>9153</v>
      </c>
      <c r="E108" s="191">
        <v>9023</v>
      </c>
      <c r="F108" s="191">
        <v>3117</v>
      </c>
      <c r="G108" s="191">
        <v>3104</v>
      </c>
      <c r="H108" s="192">
        <f t="shared" si="8"/>
        <v>0.99582932306705163</v>
      </c>
      <c r="I108" s="191">
        <v>5906</v>
      </c>
      <c r="J108" s="191">
        <v>5482</v>
      </c>
      <c r="K108" s="192">
        <f t="shared" si="9"/>
        <v>0.92820860142228245</v>
      </c>
      <c r="L108" s="191">
        <v>5480</v>
      </c>
      <c r="M108" s="191">
        <v>8931</v>
      </c>
      <c r="N108" s="192">
        <f t="shared" si="10"/>
        <v>9.5957899451349235E-2</v>
      </c>
      <c r="O108" s="192">
        <f t="shared" si="11"/>
        <v>0.95156821456278395</v>
      </c>
      <c r="P108" s="191">
        <f t="shared" si="12"/>
        <v>13827.66</v>
      </c>
      <c r="Q108"/>
      <c r="R108" s="191">
        <v>11</v>
      </c>
      <c r="S108" s="191">
        <v>857</v>
      </c>
      <c r="T108" s="191">
        <f t="shared" si="13"/>
        <v>40.285714285714221</v>
      </c>
      <c r="U108" s="191">
        <f t="shared" si="15"/>
        <v>897.28571428571422</v>
      </c>
      <c r="V108" s="192">
        <f t="shared" si="14"/>
        <v>9.9813650128115536E-2</v>
      </c>
    </row>
    <row r="109" spans="1:22" s="191" customFormat="1">
      <c r="A109" s="190">
        <v>41061</v>
      </c>
      <c r="B109" s="191">
        <v>904</v>
      </c>
      <c r="C109" s="191">
        <v>21188</v>
      </c>
      <c r="D109" s="191">
        <v>9056</v>
      </c>
      <c r="E109" s="191">
        <v>8825</v>
      </c>
      <c r="F109" s="191">
        <v>2926</v>
      </c>
      <c r="G109" s="191">
        <v>2908</v>
      </c>
      <c r="H109" s="192">
        <f t="shared" si="8"/>
        <v>0.99384825700615176</v>
      </c>
      <c r="I109" s="191">
        <v>5899</v>
      </c>
      <c r="J109" s="191">
        <v>5254</v>
      </c>
      <c r="K109" s="192">
        <f t="shared" si="9"/>
        <v>0.89065943380233936</v>
      </c>
      <c r="L109" s="191">
        <v>5253</v>
      </c>
      <c r="M109" s="191">
        <v>8648</v>
      </c>
      <c r="N109" s="192">
        <f t="shared" si="10"/>
        <v>9.4357076780758553E-2</v>
      </c>
      <c r="O109" s="192">
        <f t="shared" si="11"/>
        <v>0.92487252124645891</v>
      </c>
      <c r="P109" s="191">
        <f t="shared" si="12"/>
        <v>13858.32</v>
      </c>
      <c r="Q109"/>
      <c r="R109" s="191">
        <v>11</v>
      </c>
      <c r="S109" s="191">
        <v>816</v>
      </c>
      <c r="T109" s="191">
        <f t="shared" si="13"/>
        <v>144.71428571428578</v>
      </c>
      <c r="U109" s="191">
        <f t="shared" si="15"/>
        <v>960.71428571428578</v>
      </c>
      <c r="V109" s="192">
        <f t="shared" si="14"/>
        <v>9.997549620191129E-2</v>
      </c>
    </row>
    <row r="110" spans="1:22" s="191" customFormat="1">
      <c r="A110" s="190">
        <v>41068</v>
      </c>
      <c r="B110" s="191">
        <v>920</v>
      </c>
      <c r="C110" s="191">
        <v>20666</v>
      </c>
      <c r="D110" s="191">
        <v>9551</v>
      </c>
      <c r="E110" s="191">
        <v>9210</v>
      </c>
      <c r="F110" s="191">
        <v>3095</v>
      </c>
      <c r="G110" s="191">
        <v>3079</v>
      </c>
      <c r="H110" s="192">
        <f t="shared" si="8"/>
        <v>0.99483037156704357</v>
      </c>
      <c r="I110" s="191">
        <v>6116</v>
      </c>
      <c r="J110" s="191">
        <v>5512</v>
      </c>
      <c r="K110" s="192">
        <f t="shared" si="9"/>
        <v>0.90124264224983652</v>
      </c>
      <c r="L110" s="191">
        <v>5510</v>
      </c>
      <c r="M110" s="191">
        <v>9130</v>
      </c>
      <c r="N110" s="192">
        <f t="shared" si="10"/>
        <v>9.4852135815991237E-2</v>
      </c>
      <c r="O110" s="192">
        <f t="shared" si="11"/>
        <v>0.93279044516829535</v>
      </c>
      <c r="P110" s="191">
        <f t="shared" si="12"/>
        <v>14103.6</v>
      </c>
      <c r="Q110"/>
      <c r="R110" s="191">
        <v>0</v>
      </c>
      <c r="S110" s="191">
        <v>866</v>
      </c>
      <c r="T110" s="191">
        <f t="shared" si="13"/>
        <v>128.57142857142844</v>
      </c>
      <c r="U110" s="191">
        <f t="shared" si="15"/>
        <v>994.57142857142844</v>
      </c>
      <c r="V110" s="192">
        <f t="shared" si="14"/>
        <v>0.1008031661040624</v>
      </c>
    </row>
    <row r="111" spans="1:22" s="191" customFormat="1">
      <c r="A111" s="190">
        <v>41075</v>
      </c>
      <c r="B111" s="191">
        <v>900</v>
      </c>
      <c r="C111" s="191">
        <v>21185</v>
      </c>
      <c r="D111" s="191">
        <v>9022</v>
      </c>
      <c r="E111" s="191">
        <v>8937</v>
      </c>
      <c r="F111" s="191">
        <v>3063</v>
      </c>
      <c r="G111" s="191">
        <v>3042</v>
      </c>
      <c r="H111" s="192">
        <f t="shared" si="8"/>
        <v>0.99314397649363373</v>
      </c>
      <c r="I111" s="191">
        <v>5874</v>
      </c>
      <c r="J111" s="191">
        <v>5364</v>
      </c>
      <c r="K111" s="192">
        <f t="shared" si="9"/>
        <v>0.91317671092951991</v>
      </c>
      <c r="L111" s="191">
        <v>5362</v>
      </c>
      <c r="M111" s="191">
        <v>8693</v>
      </c>
      <c r="N111" s="192">
        <f t="shared" si="10"/>
        <v>9.6514436903255493E-2</v>
      </c>
      <c r="O111" s="192">
        <f t="shared" si="11"/>
        <v>0.94058408862034237</v>
      </c>
      <c r="P111" s="191">
        <f t="shared" si="12"/>
        <v>13797</v>
      </c>
      <c r="Q111"/>
      <c r="R111" s="191">
        <v>0</v>
      </c>
      <c r="S111" s="191">
        <v>839</v>
      </c>
      <c r="T111" s="191">
        <f t="shared" si="13"/>
        <v>-13.142857142857338</v>
      </c>
      <c r="U111" s="191">
        <f t="shared" si="15"/>
        <v>825.85714285714266</v>
      </c>
      <c r="V111" s="192">
        <f t="shared" si="14"/>
        <v>9.9809659766833217E-2</v>
      </c>
    </row>
    <row r="112" spans="1:22" s="191" customFormat="1">
      <c r="A112" s="190">
        <v>41082</v>
      </c>
      <c r="B112" s="191">
        <v>883</v>
      </c>
      <c r="C112" s="191">
        <v>20757</v>
      </c>
      <c r="D112" s="191">
        <v>9280</v>
      </c>
      <c r="E112" s="191">
        <v>9176</v>
      </c>
      <c r="F112" s="191">
        <v>3090</v>
      </c>
      <c r="G112" s="191">
        <v>3071</v>
      </c>
      <c r="H112" s="192">
        <f t="shared" si="8"/>
        <v>0.99385113268608416</v>
      </c>
      <c r="I112" s="191">
        <v>6086</v>
      </c>
      <c r="J112" s="191">
        <v>5488</v>
      </c>
      <c r="K112" s="192">
        <f t="shared" si="9"/>
        <v>0.90174170226749917</v>
      </c>
      <c r="L112" s="191">
        <v>5485</v>
      </c>
      <c r="M112" s="191">
        <v>8846</v>
      </c>
      <c r="N112" s="192">
        <f t="shared" si="10"/>
        <v>9.6766900293918157E-2</v>
      </c>
      <c r="O112" s="192">
        <f t="shared" si="11"/>
        <v>0.93275937227550132</v>
      </c>
      <c r="P112" s="191">
        <f t="shared" si="12"/>
        <v>13536.39</v>
      </c>
      <c r="Q112"/>
      <c r="R112" s="191">
        <v>46</v>
      </c>
      <c r="S112" s="191">
        <v>856</v>
      </c>
      <c r="T112" s="191">
        <f t="shared" si="13"/>
        <v>134.14285714285734</v>
      </c>
      <c r="U112" s="191">
        <f t="shared" si="15"/>
        <v>990.14285714285734</v>
      </c>
      <c r="V112" s="192">
        <f t="shared" si="14"/>
        <v>0.10001168360789812</v>
      </c>
    </row>
    <row r="113" spans="1:22" s="191" customFormat="1">
      <c r="A113" s="190">
        <v>41089</v>
      </c>
      <c r="B113" s="191">
        <v>857</v>
      </c>
      <c r="C113" s="191">
        <v>20293</v>
      </c>
      <c r="D113" s="191">
        <v>9388</v>
      </c>
      <c r="E113" s="191">
        <v>9137</v>
      </c>
      <c r="F113" s="191">
        <v>3108</v>
      </c>
      <c r="G113" s="191">
        <v>3092</v>
      </c>
      <c r="H113" s="192">
        <f t="shared" si="8"/>
        <v>0.99485199485199483</v>
      </c>
      <c r="I113" s="191">
        <v>6029</v>
      </c>
      <c r="J113" s="191">
        <v>5540</v>
      </c>
      <c r="K113" s="192">
        <f t="shared" si="9"/>
        <v>0.91889202189417818</v>
      </c>
      <c r="L113" s="191">
        <v>5537</v>
      </c>
      <c r="M113" s="191">
        <v>9001</v>
      </c>
      <c r="N113" s="192">
        <f t="shared" si="10"/>
        <v>9.5544939451172095E-2</v>
      </c>
      <c r="O113" s="192">
        <f t="shared" si="11"/>
        <v>0.94473021779577537</v>
      </c>
      <c r="P113" s="191">
        <f t="shared" si="12"/>
        <v>13137.81</v>
      </c>
      <c r="Q113"/>
      <c r="R113" s="191">
        <v>22</v>
      </c>
      <c r="S113" s="191">
        <v>860</v>
      </c>
      <c r="T113" s="191">
        <f t="shared" si="13"/>
        <v>85.285714285714221</v>
      </c>
      <c r="U113" s="191">
        <f t="shared" si="15"/>
        <v>945.28571428571422</v>
      </c>
      <c r="V113" s="192">
        <f t="shared" si="14"/>
        <v>9.9629286376274329E-2</v>
      </c>
    </row>
    <row r="114" spans="1:22" s="191" customFormat="1">
      <c r="A114" s="190">
        <v>41096</v>
      </c>
      <c r="B114" s="191">
        <v>821</v>
      </c>
      <c r="C114" s="191">
        <v>19532</v>
      </c>
      <c r="D114" s="191">
        <v>9318</v>
      </c>
      <c r="E114" s="191">
        <v>9173</v>
      </c>
      <c r="F114" s="191">
        <v>3005</v>
      </c>
      <c r="G114" s="191">
        <v>2993</v>
      </c>
      <c r="H114" s="192">
        <f t="shared" si="8"/>
        <v>0.99600665557404322</v>
      </c>
      <c r="I114" s="191">
        <v>6167</v>
      </c>
      <c r="J114" s="191">
        <v>5539</v>
      </c>
      <c r="K114" s="192">
        <f t="shared" si="9"/>
        <v>0.89816766661261549</v>
      </c>
      <c r="L114" s="191">
        <v>5536</v>
      </c>
      <c r="M114" s="191">
        <v>8917</v>
      </c>
      <c r="N114" s="192">
        <f t="shared" si="10"/>
        <v>9.5772120668386224E-2</v>
      </c>
      <c r="O114" s="192">
        <f t="shared" si="11"/>
        <v>0.93012100730404446</v>
      </c>
      <c r="P114" s="191">
        <f t="shared" si="12"/>
        <v>12585.93</v>
      </c>
      <c r="Q114"/>
      <c r="R114" s="191">
        <v>18</v>
      </c>
      <c r="S114" s="191">
        <v>854</v>
      </c>
      <c r="T114" s="191">
        <f t="shared" si="13"/>
        <v>93.714285714285779</v>
      </c>
      <c r="U114" s="191">
        <f t="shared" si="15"/>
        <v>947.71428571428578</v>
      </c>
      <c r="V114" s="192">
        <f t="shared" si="14"/>
        <v>0.10009376465072668</v>
      </c>
    </row>
    <row r="115" spans="1:22" s="191" customFormat="1">
      <c r="A115" s="190">
        <v>41103</v>
      </c>
      <c r="B115" s="191">
        <v>802</v>
      </c>
      <c r="C115" s="191">
        <v>19556</v>
      </c>
      <c r="D115" s="191">
        <v>8894</v>
      </c>
      <c r="E115" s="191">
        <v>8713</v>
      </c>
      <c r="F115" s="191">
        <v>2970</v>
      </c>
      <c r="G115" s="191">
        <v>2954</v>
      </c>
      <c r="H115" s="192">
        <f t="shared" si="8"/>
        <v>0.99461279461279462</v>
      </c>
      <c r="I115" s="191">
        <v>5743</v>
      </c>
      <c r="J115" s="191">
        <v>5383</v>
      </c>
      <c r="K115" s="192">
        <f t="shared" si="9"/>
        <v>0.93731499216437397</v>
      </c>
      <c r="L115" s="191">
        <v>5381</v>
      </c>
      <c r="M115" s="191">
        <v>8628</v>
      </c>
      <c r="N115" s="192">
        <f t="shared" si="10"/>
        <v>9.6198423736671299E-2</v>
      </c>
      <c r="O115" s="192">
        <f t="shared" si="11"/>
        <v>0.9568460920463675</v>
      </c>
      <c r="P115" s="191">
        <f t="shared" si="12"/>
        <v>12294.66</v>
      </c>
      <c r="Q115"/>
      <c r="R115" s="191">
        <v>18</v>
      </c>
      <c r="S115" s="191">
        <v>830</v>
      </c>
      <c r="T115" s="191">
        <f t="shared" si="13"/>
        <v>-13.428571428571558</v>
      </c>
      <c r="U115" s="191">
        <f t="shared" si="15"/>
        <v>816.57142857142844</v>
      </c>
      <c r="V115" s="192">
        <f t="shared" si="14"/>
        <v>9.9556195274079398E-2</v>
      </c>
    </row>
    <row r="116" spans="1:22" s="191" customFormat="1">
      <c r="A116" s="190">
        <v>41110</v>
      </c>
      <c r="B116" s="191">
        <v>796</v>
      </c>
      <c r="C116" s="191">
        <v>19005</v>
      </c>
      <c r="D116" s="191">
        <v>9264</v>
      </c>
      <c r="E116" s="191">
        <v>9031</v>
      </c>
      <c r="F116" s="191">
        <v>3066</v>
      </c>
      <c r="G116" s="191">
        <v>3047</v>
      </c>
      <c r="H116" s="192">
        <f t="shared" si="8"/>
        <v>0.99380300065231575</v>
      </c>
      <c r="I116" s="191">
        <v>5965</v>
      </c>
      <c r="J116" s="191">
        <v>5435</v>
      </c>
      <c r="K116" s="192">
        <f t="shared" si="9"/>
        <v>0.91114836546521372</v>
      </c>
      <c r="L116" s="191">
        <v>5433</v>
      </c>
      <c r="M116" s="191">
        <v>8660</v>
      </c>
      <c r="N116" s="192">
        <f t="shared" si="10"/>
        <v>9.7228637413394922E-2</v>
      </c>
      <c r="O116" s="192">
        <f t="shared" si="11"/>
        <v>0.93920938987930458</v>
      </c>
      <c r="P116" s="191">
        <f t="shared" si="12"/>
        <v>12202.68</v>
      </c>
      <c r="Q116"/>
      <c r="R116" s="191">
        <v>53</v>
      </c>
      <c r="S116" s="191">
        <v>842</v>
      </c>
      <c r="T116" s="191">
        <f t="shared" si="13"/>
        <v>85.714285714285779</v>
      </c>
      <c r="U116" s="191">
        <f t="shared" si="15"/>
        <v>927.71428571428578</v>
      </c>
      <c r="V116" s="192">
        <f t="shared" si="14"/>
        <v>9.9269040320679083E-2</v>
      </c>
    </row>
    <row r="117" spans="1:22" s="191" customFormat="1">
      <c r="A117" s="190">
        <v>41117</v>
      </c>
      <c r="B117" s="191">
        <v>809</v>
      </c>
      <c r="C117" s="191">
        <v>19401</v>
      </c>
      <c r="D117" s="191">
        <v>8977</v>
      </c>
      <c r="E117" s="191">
        <v>8740</v>
      </c>
      <c r="F117" s="191">
        <v>3040</v>
      </c>
      <c r="G117" s="191">
        <v>3021</v>
      </c>
      <c r="H117" s="192">
        <f t="shared" si="8"/>
        <v>0.99375000000000002</v>
      </c>
      <c r="I117" s="191">
        <v>5700</v>
      </c>
      <c r="J117" s="191">
        <v>5379</v>
      </c>
      <c r="K117" s="192">
        <f t="shared" si="9"/>
        <v>0.94368421052631579</v>
      </c>
      <c r="L117" s="191">
        <v>5377</v>
      </c>
      <c r="M117" s="191">
        <v>8820</v>
      </c>
      <c r="N117" s="192">
        <f t="shared" si="10"/>
        <v>9.5351473922902497E-2</v>
      </c>
      <c r="O117" s="192">
        <f t="shared" si="11"/>
        <v>0.9610983981693364</v>
      </c>
      <c r="P117" s="191">
        <f t="shared" si="12"/>
        <v>12401.97</v>
      </c>
      <c r="Q117"/>
      <c r="R117" s="191">
        <v>9</v>
      </c>
      <c r="S117" s="191">
        <v>841</v>
      </c>
      <c r="T117" s="191">
        <f t="shared" si="13"/>
        <v>-79.571428571428442</v>
      </c>
      <c r="U117" s="191">
        <f t="shared" si="15"/>
        <v>761.42857142857156</v>
      </c>
      <c r="V117" s="192">
        <f t="shared" si="14"/>
        <v>0.10011904761904762</v>
      </c>
    </row>
    <row r="118" spans="1:22" s="191" customFormat="1">
      <c r="A118" s="190">
        <v>41124</v>
      </c>
      <c r="B118" s="191">
        <v>817</v>
      </c>
      <c r="C118" s="191">
        <v>18651</v>
      </c>
      <c r="D118" s="191">
        <v>9250</v>
      </c>
      <c r="E118" s="191">
        <v>8899</v>
      </c>
      <c r="F118" s="191">
        <v>3089</v>
      </c>
      <c r="G118" s="191">
        <v>3076</v>
      </c>
      <c r="H118" s="192">
        <f t="shared" si="8"/>
        <v>0.995791518290709</v>
      </c>
      <c r="I118" s="191">
        <v>5810</v>
      </c>
      <c r="J118" s="191">
        <v>5462</v>
      </c>
      <c r="K118" s="192">
        <f t="shared" si="9"/>
        <v>0.94010327022375217</v>
      </c>
      <c r="L118" s="191">
        <v>5460</v>
      </c>
      <c r="M118" s="191">
        <v>8839</v>
      </c>
      <c r="N118" s="192">
        <f t="shared" si="10"/>
        <v>9.6730399366444161E-2</v>
      </c>
      <c r="O118" s="192">
        <f t="shared" si="11"/>
        <v>0.95943364422968869</v>
      </c>
      <c r="P118" s="191">
        <f t="shared" si="12"/>
        <v>12524.61</v>
      </c>
      <c r="Q118"/>
      <c r="R118" s="191">
        <v>74</v>
      </c>
      <c r="S118" s="191">
        <v>855</v>
      </c>
      <c r="T118" s="191">
        <f t="shared" si="13"/>
        <v>143.14285714285688</v>
      </c>
      <c r="U118" s="191">
        <f t="shared" si="15"/>
        <v>998.14285714285688</v>
      </c>
      <c r="V118" s="192">
        <f t="shared" si="14"/>
        <v>0.10014054813773718</v>
      </c>
    </row>
    <row r="119" spans="1:22" s="191" customFormat="1">
      <c r="A119" s="190">
        <v>41131</v>
      </c>
      <c r="B119" s="191">
        <v>819</v>
      </c>
      <c r="C119" s="191">
        <v>18447</v>
      </c>
      <c r="D119" s="191">
        <v>9357</v>
      </c>
      <c r="E119" s="191">
        <v>9069</v>
      </c>
      <c r="F119" s="191">
        <v>3083</v>
      </c>
      <c r="G119" s="191">
        <v>3065</v>
      </c>
      <c r="H119" s="192">
        <f t="shared" si="8"/>
        <v>0.99416153097632176</v>
      </c>
      <c r="I119" s="191">
        <v>5986</v>
      </c>
      <c r="J119" s="191">
        <v>5422</v>
      </c>
      <c r="K119" s="192">
        <f t="shared" si="9"/>
        <v>0.90578015369194786</v>
      </c>
      <c r="L119" s="191">
        <v>5420</v>
      </c>
      <c r="M119" s="191">
        <v>9308</v>
      </c>
      <c r="N119" s="192">
        <f t="shared" si="10"/>
        <v>9.0996991834980667E-2</v>
      </c>
      <c r="O119" s="192">
        <f t="shared" si="11"/>
        <v>0.93582533906715182</v>
      </c>
      <c r="P119" s="191">
        <f t="shared" si="12"/>
        <v>12555.27</v>
      </c>
      <c r="Q119"/>
      <c r="R119" s="191">
        <v>93</v>
      </c>
      <c r="S119" s="191">
        <v>847</v>
      </c>
      <c r="T119" s="191">
        <f t="shared" si="13"/>
        <v>94.142857142857338</v>
      </c>
      <c r="U119" s="191">
        <f t="shared" si="15"/>
        <v>941.14285714285734</v>
      </c>
      <c r="V119" s="192">
        <f t="shared" si="14"/>
        <v>9.9799693649110399E-2</v>
      </c>
    </row>
    <row r="120" spans="1:22" s="191" customFormat="1">
      <c r="A120" s="190">
        <v>41138</v>
      </c>
      <c r="B120" s="191">
        <v>823</v>
      </c>
      <c r="C120" s="191">
        <v>18493</v>
      </c>
      <c r="D120" s="191">
        <v>9321</v>
      </c>
      <c r="E120" s="191">
        <v>9019</v>
      </c>
      <c r="F120" s="191">
        <v>3036</v>
      </c>
      <c r="G120" s="191">
        <v>3017</v>
      </c>
      <c r="H120" s="192">
        <f t="shared" si="8"/>
        <v>0.99374176548089588</v>
      </c>
      <c r="I120" s="191">
        <v>5983</v>
      </c>
      <c r="J120" s="191">
        <v>5418</v>
      </c>
      <c r="K120" s="192">
        <f t="shared" si="9"/>
        <v>0.90556576968076219</v>
      </c>
      <c r="L120" s="191">
        <v>5416</v>
      </c>
      <c r="M120" s="191">
        <v>9081</v>
      </c>
      <c r="N120" s="192">
        <f t="shared" si="10"/>
        <v>9.2500825900231246E-2</v>
      </c>
      <c r="O120" s="192">
        <f t="shared" si="11"/>
        <v>0.935247810178512</v>
      </c>
      <c r="P120" s="191">
        <f t="shared" si="12"/>
        <v>12616.59</v>
      </c>
      <c r="Q120"/>
      <c r="R120" s="191">
        <v>68</v>
      </c>
      <c r="S120" s="191">
        <v>840</v>
      </c>
      <c r="T120" s="191">
        <f t="shared" si="13"/>
        <v>44.428571428571558</v>
      </c>
      <c r="U120" s="191">
        <f t="shared" si="15"/>
        <v>884.42857142857156</v>
      </c>
      <c r="V120" s="192">
        <f t="shared" si="14"/>
        <v>9.9585062240663894E-2</v>
      </c>
    </row>
    <row r="121" spans="1:22" s="191" customFormat="1">
      <c r="A121" s="190">
        <v>41145</v>
      </c>
      <c r="B121" s="191">
        <v>819</v>
      </c>
      <c r="C121" s="191">
        <v>18494</v>
      </c>
      <c r="D121" s="191">
        <v>9183</v>
      </c>
      <c r="E121" s="191">
        <v>9063</v>
      </c>
      <c r="F121" s="191">
        <v>3062</v>
      </c>
      <c r="G121" s="191">
        <v>3055</v>
      </c>
      <c r="H121" s="192">
        <f t="shared" si="8"/>
        <v>0.99771391247550623</v>
      </c>
      <c r="I121" s="191">
        <v>6001</v>
      </c>
      <c r="J121" s="191">
        <v>5442</v>
      </c>
      <c r="K121" s="192">
        <f t="shared" si="9"/>
        <v>0.90684885852357944</v>
      </c>
      <c r="L121" s="191">
        <v>5440</v>
      </c>
      <c r="M121" s="191">
        <v>9064</v>
      </c>
      <c r="N121" s="192">
        <f t="shared" si="10"/>
        <v>9.3225948808473083E-2</v>
      </c>
      <c r="O121" s="192">
        <f t="shared" si="11"/>
        <v>0.93754827319872003</v>
      </c>
      <c r="P121" s="191">
        <f t="shared" si="12"/>
        <v>12555.27</v>
      </c>
      <c r="Q121"/>
      <c r="R121" s="191">
        <v>22</v>
      </c>
      <c r="S121" s="191">
        <v>845</v>
      </c>
      <c r="T121" s="191">
        <f t="shared" si="13"/>
        <v>-4.1428571428573377</v>
      </c>
      <c r="U121" s="191">
        <f t="shared" si="15"/>
        <v>840.85714285714266</v>
      </c>
      <c r="V121" s="192">
        <f t="shared" si="14"/>
        <v>9.9446863598917259E-2</v>
      </c>
    </row>
    <row r="122" spans="1:22" s="191" customFormat="1">
      <c r="A122" s="190">
        <v>41152</v>
      </c>
      <c r="B122" s="191">
        <v>829</v>
      </c>
      <c r="C122" s="191">
        <v>18732</v>
      </c>
      <c r="D122" s="191">
        <v>9276</v>
      </c>
      <c r="E122" s="191">
        <v>9005</v>
      </c>
      <c r="F122" s="191">
        <v>3064</v>
      </c>
      <c r="G122" s="191">
        <v>3051</v>
      </c>
      <c r="H122" s="192">
        <f t="shared" si="8"/>
        <v>0.99575718015665793</v>
      </c>
      <c r="I122" s="191">
        <v>5941</v>
      </c>
      <c r="J122" s="191">
        <v>5392</v>
      </c>
      <c r="K122" s="192">
        <f t="shared" si="9"/>
        <v>0.90759131459350273</v>
      </c>
      <c r="L122" s="191">
        <v>5390</v>
      </c>
      <c r="M122" s="191">
        <v>9177</v>
      </c>
      <c r="N122" s="192">
        <f t="shared" si="10"/>
        <v>9.1642148850386837E-2</v>
      </c>
      <c r="O122" s="192">
        <f t="shared" si="11"/>
        <v>0.93759022765130484</v>
      </c>
      <c r="P122" s="191">
        <f t="shared" si="12"/>
        <v>12708.57</v>
      </c>
      <c r="Q122"/>
      <c r="R122" s="191">
        <v>34</v>
      </c>
      <c r="S122" s="191">
        <v>841</v>
      </c>
      <c r="T122" s="191">
        <f t="shared" si="13"/>
        <v>-12</v>
      </c>
      <c r="U122" s="191">
        <f t="shared" si="15"/>
        <v>829</v>
      </c>
      <c r="V122" s="192">
        <f t="shared" si="14"/>
        <v>9.9609143669311853E-2</v>
      </c>
    </row>
    <row r="123" spans="1:22" s="191" customFormat="1">
      <c r="A123" s="190">
        <v>41159</v>
      </c>
      <c r="B123" s="191">
        <v>816</v>
      </c>
      <c r="C123" s="191">
        <v>18953</v>
      </c>
      <c r="D123" s="191">
        <v>8951</v>
      </c>
      <c r="E123" s="191">
        <v>8511</v>
      </c>
      <c r="F123" s="191">
        <v>2858</v>
      </c>
      <c r="G123" s="191">
        <v>2845</v>
      </c>
      <c r="H123" s="192">
        <f t="shared" si="8"/>
        <v>0.99545136459062278</v>
      </c>
      <c r="I123" s="191">
        <v>5653</v>
      </c>
      <c r="J123" s="191">
        <v>5038</v>
      </c>
      <c r="K123" s="192">
        <f t="shared" si="9"/>
        <v>0.89120820803113387</v>
      </c>
      <c r="L123" s="191">
        <v>5036</v>
      </c>
      <c r="M123" s="191">
        <v>8695</v>
      </c>
      <c r="N123" s="192">
        <f t="shared" si="10"/>
        <v>9.0626797009775731E-2</v>
      </c>
      <c r="O123" s="192">
        <f t="shared" si="11"/>
        <v>0.9262131359417225</v>
      </c>
      <c r="P123" s="191">
        <f t="shared" si="12"/>
        <v>12509.28</v>
      </c>
      <c r="Q123"/>
      <c r="R123" s="191">
        <v>89</v>
      </c>
      <c r="S123" s="191">
        <v>788</v>
      </c>
      <c r="T123" s="191">
        <f t="shared" si="13"/>
        <v>85.428571428571558</v>
      </c>
      <c r="U123" s="191">
        <f t="shared" si="15"/>
        <v>873.42857142857156</v>
      </c>
      <c r="V123" s="192">
        <f t="shared" si="14"/>
        <v>9.9961943422554864E-2</v>
      </c>
    </row>
    <row r="124" spans="1:22" s="191" customFormat="1">
      <c r="A124" s="190">
        <v>41166</v>
      </c>
      <c r="B124" s="191">
        <v>834</v>
      </c>
      <c r="C124" s="191">
        <v>19325</v>
      </c>
      <c r="D124" s="191">
        <v>9118</v>
      </c>
      <c r="E124" s="191">
        <v>8742</v>
      </c>
      <c r="F124" s="191">
        <v>3002</v>
      </c>
      <c r="G124" s="191">
        <v>2970</v>
      </c>
      <c r="H124" s="192">
        <f t="shared" si="8"/>
        <v>0.98934043970686214</v>
      </c>
      <c r="I124" s="191">
        <v>5740</v>
      </c>
      <c r="J124" s="191">
        <v>5135</v>
      </c>
      <c r="K124" s="192">
        <f t="shared" si="9"/>
        <v>0.89459930313588854</v>
      </c>
      <c r="L124" s="191">
        <v>5133</v>
      </c>
      <c r="M124" s="191">
        <v>8632</v>
      </c>
      <c r="N124" s="192">
        <f t="shared" si="10"/>
        <v>9.3721037998146434E-2</v>
      </c>
      <c r="O124" s="192">
        <f t="shared" si="11"/>
        <v>0.92713337908945326</v>
      </c>
      <c r="P124" s="191">
        <f t="shared" si="12"/>
        <v>12785.22</v>
      </c>
      <c r="Q124"/>
      <c r="R124" s="191">
        <v>58</v>
      </c>
      <c r="S124" s="191">
        <v>809</v>
      </c>
      <c r="T124" s="191">
        <f t="shared" si="13"/>
        <v>29.857142857142662</v>
      </c>
      <c r="U124" s="191">
        <f t="shared" si="15"/>
        <v>838.85714285714266</v>
      </c>
      <c r="V124" s="192">
        <f t="shared" si="14"/>
        <v>9.9814929056138188E-2</v>
      </c>
    </row>
    <row r="125" spans="1:22" s="191" customFormat="1">
      <c r="A125" s="190">
        <v>41173</v>
      </c>
      <c r="B125" s="191">
        <v>809</v>
      </c>
      <c r="C125" s="191">
        <v>19259</v>
      </c>
      <c r="D125" s="191">
        <v>8930</v>
      </c>
      <c r="E125" s="191">
        <v>8903</v>
      </c>
      <c r="F125" s="191">
        <v>3015</v>
      </c>
      <c r="G125" s="191">
        <v>3004</v>
      </c>
      <c r="H125" s="192">
        <f t="shared" si="8"/>
        <v>0.99635157545605302</v>
      </c>
      <c r="I125" s="191">
        <v>5888</v>
      </c>
      <c r="J125" s="191">
        <v>5250</v>
      </c>
      <c r="K125" s="192">
        <f t="shared" si="9"/>
        <v>0.89164402173913049</v>
      </c>
      <c r="L125" s="191">
        <v>5248</v>
      </c>
      <c r="M125" s="191">
        <v>8770</v>
      </c>
      <c r="N125" s="192">
        <f t="shared" si="10"/>
        <v>9.3386545039908786E-2</v>
      </c>
      <c r="O125" s="192">
        <f t="shared" si="11"/>
        <v>0.92710322363248343</v>
      </c>
      <c r="P125" s="191">
        <f t="shared" si="12"/>
        <v>12401.97</v>
      </c>
      <c r="Q125"/>
      <c r="R125" s="191">
        <v>72</v>
      </c>
      <c r="S125" s="191">
        <v>819</v>
      </c>
      <c r="T125" s="191">
        <f t="shared" si="13"/>
        <v>71.428571428571558</v>
      </c>
      <c r="U125" s="191">
        <f t="shared" si="15"/>
        <v>890.42857142857156</v>
      </c>
      <c r="V125" s="192">
        <f t="shared" si="14"/>
        <v>9.9224618366852438E-2</v>
      </c>
    </row>
    <row r="126" spans="1:22" s="191" customFormat="1">
      <c r="A126" s="190">
        <v>41180</v>
      </c>
      <c r="B126" s="191">
        <v>785</v>
      </c>
      <c r="C126" s="191">
        <v>18808</v>
      </c>
      <c r="D126" s="191">
        <v>9107</v>
      </c>
      <c r="E126" s="191">
        <v>8737</v>
      </c>
      <c r="F126" s="191">
        <v>3047</v>
      </c>
      <c r="G126" s="191">
        <v>3034</v>
      </c>
      <c r="H126" s="192">
        <f t="shared" si="8"/>
        <v>0.99573350836888741</v>
      </c>
      <c r="I126" s="191">
        <v>5689</v>
      </c>
      <c r="J126" s="191">
        <v>5191</v>
      </c>
      <c r="K126" s="192">
        <f t="shared" si="9"/>
        <v>0.91246264721392156</v>
      </c>
      <c r="L126" s="191">
        <v>5189</v>
      </c>
      <c r="M126" s="191">
        <v>8633</v>
      </c>
      <c r="N126" s="192">
        <f t="shared" si="10"/>
        <v>9.5100196918799951E-2</v>
      </c>
      <c r="O126" s="192">
        <f t="shared" si="11"/>
        <v>0.94139864942199836</v>
      </c>
      <c r="P126" s="191">
        <f t="shared" si="12"/>
        <v>12034.05</v>
      </c>
      <c r="Q126"/>
      <c r="R126" s="191">
        <v>0</v>
      </c>
      <c r="S126" s="191">
        <v>821</v>
      </c>
      <c r="T126" s="191">
        <f t="shared" si="13"/>
        <v>28.428571428571558</v>
      </c>
      <c r="U126" s="191">
        <f t="shared" si="15"/>
        <v>849.42857142857156</v>
      </c>
      <c r="V126" s="192">
        <f t="shared" si="14"/>
        <v>9.9817629179331305E-2</v>
      </c>
    </row>
    <row r="127" spans="1:22" s="191" customFormat="1">
      <c r="A127" s="190">
        <v>41187</v>
      </c>
      <c r="B127" s="191">
        <v>800</v>
      </c>
      <c r="C127" s="191">
        <v>19256</v>
      </c>
      <c r="D127" s="191">
        <v>8638</v>
      </c>
      <c r="E127" s="191">
        <v>8648</v>
      </c>
      <c r="F127" s="191">
        <v>2996</v>
      </c>
      <c r="G127" s="191">
        <v>2978</v>
      </c>
      <c r="H127" s="192">
        <f t="shared" si="8"/>
        <v>0.99399198931909216</v>
      </c>
      <c r="I127" s="191">
        <v>5652</v>
      </c>
      <c r="J127" s="191">
        <v>5187</v>
      </c>
      <c r="K127" s="192">
        <f t="shared" si="9"/>
        <v>0.91772823779193202</v>
      </c>
      <c r="L127" s="191">
        <v>5186</v>
      </c>
      <c r="M127" s="191">
        <v>8587</v>
      </c>
      <c r="N127" s="192">
        <f t="shared" si="10"/>
        <v>9.5842552695935723E-2</v>
      </c>
      <c r="O127" s="192">
        <f t="shared" si="11"/>
        <v>0.94414893617021278</v>
      </c>
      <c r="P127" s="191">
        <f t="shared" si="12"/>
        <v>12264</v>
      </c>
      <c r="Q127"/>
      <c r="R127" s="191">
        <v>73</v>
      </c>
      <c r="S127" s="191">
        <v>823</v>
      </c>
      <c r="T127" s="191">
        <f t="shared" si="13"/>
        <v>-14</v>
      </c>
      <c r="U127" s="191">
        <f t="shared" si="15"/>
        <v>809</v>
      </c>
      <c r="V127" s="192">
        <f t="shared" si="14"/>
        <v>0.10079608083282303</v>
      </c>
    </row>
    <row r="128" spans="1:22" s="191" customFormat="1">
      <c r="A128" s="190">
        <v>41194</v>
      </c>
      <c r="B128" s="191">
        <v>797</v>
      </c>
      <c r="C128" s="191">
        <v>18989</v>
      </c>
      <c r="D128" s="191">
        <v>9046</v>
      </c>
      <c r="E128" s="191">
        <v>8754</v>
      </c>
      <c r="F128" s="191">
        <v>2975</v>
      </c>
      <c r="G128" s="191">
        <v>2959</v>
      </c>
      <c r="H128" s="192">
        <f t="shared" si="8"/>
        <v>0.99462184873949577</v>
      </c>
      <c r="I128" s="191">
        <v>5780</v>
      </c>
      <c r="J128" s="191">
        <v>5188</v>
      </c>
      <c r="K128" s="192">
        <f t="shared" si="9"/>
        <v>0.89757785467128026</v>
      </c>
      <c r="L128" s="191">
        <v>5186</v>
      </c>
      <c r="M128" s="191">
        <v>8729</v>
      </c>
      <c r="N128" s="192">
        <f t="shared" si="10"/>
        <v>9.3366937793561686E-2</v>
      </c>
      <c r="O128" s="192">
        <f t="shared" si="11"/>
        <v>0.93066026959104409</v>
      </c>
      <c r="P128" s="191">
        <f t="shared" si="12"/>
        <v>12218.01</v>
      </c>
      <c r="Q128"/>
      <c r="R128" s="191">
        <v>122</v>
      </c>
      <c r="S128" s="191">
        <v>815</v>
      </c>
      <c r="T128" s="191">
        <f t="shared" si="13"/>
        <v>142.14285714285688</v>
      </c>
      <c r="U128" s="191">
        <f t="shared" si="15"/>
        <v>957.14285714285688</v>
      </c>
      <c r="V128" s="192">
        <f t="shared" si="14"/>
        <v>0.10003682337056585</v>
      </c>
    </row>
    <row r="129" spans="1:22" s="191" customFormat="1">
      <c r="A129" s="190">
        <v>41201</v>
      </c>
      <c r="B129" s="191">
        <v>801</v>
      </c>
      <c r="C129" s="191">
        <v>18766</v>
      </c>
      <c r="D129" s="191">
        <v>8989</v>
      </c>
      <c r="E129" s="191">
        <v>8955</v>
      </c>
      <c r="F129" s="191">
        <v>3030</v>
      </c>
      <c r="G129" s="191">
        <v>3021</v>
      </c>
      <c r="H129" s="192">
        <f t="shared" si="8"/>
        <v>0.99702970297029703</v>
      </c>
      <c r="I129" s="191">
        <v>5925</v>
      </c>
      <c r="J129" s="191">
        <v>5313</v>
      </c>
      <c r="K129" s="192">
        <f t="shared" si="9"/>
        <v>0.89670886075949363</v>
      </c>
      <c r="L129" s="191">
        <v>5312</v>
      </c>
      <c r="M129" s="191">
        <v>8493</v>
      </c>
      <c r="N129" s="192">
        <f t="shared" si="10"/>
        <v>9.8080772400800653E-2</v>
      </c>
      <c r="O129" s="192">
        <f t="shared" si="11"/>
        <v>0.93065326633165835</v>
      </c>
      <c r="P129" s="191">
        <f t="shared" si="12"/>
        <v>12279.33</v>
      </c>
      <c r="Q129"/>
      <c r="R129" s="191">
        <v>19</v>
      </c>
      <c r="S129" s="191">
        <v>833</v>
      </c>
      <c r="T129" s="191">
        <f t="shared" si="13"/>
        <v>18.857142857143117</v>
      </c>
      <c r="U129" s="191">
        <f t="shared" si="15"/>
        <v>851.85714285714312</v>
      </c>
      <c r="V129" s="192">
        <f t="shared" si="14"/>
        <v>9.9952003839692827E-2</v>
      </c>
    </row>
    <row r="130" spans="1:22" s="191" customFormat="1">
      <c r="A130" s="190">
        <v>41208</v>
      </c>
      <c r="B130" s="191">
        <v>825</v>
      </c>
      <c r="C130" s="191">
        <v>19215</v>
      </c>
      <c r="D130" s="191">
        <v>9203</v>
      </c>
      <c r="E130" s="191">
        <v>9086</v>
      </c>
      <c r="F130" s="191">
        <v>3063</v>
      </c>
      <c r="G130" s="191">
        <v>3044</v>
      </c>
      <c r="H130" s="192">
        <f t="shared" si="8"/>
        <v>0.9937969311132876</v>
      </c>
      <c r="I130" s="191">
        <v>6023</v>
      </c>
      <c r="J130" s="191">
        <v>5303</v>
      </c>
      <c r="K130" s="192">
        <f t="shared" si="9"/>
        <v>0.88045824340029888</v>
      </c>
      <c r="L130" s="191">
        <v>5301</v>
      </c>
      <c r="M130" s="191">
        <v>8844</v>
      </c>
      <c r="N130" s="192">
        <f t="shared" si="10"/>
        <v>9.3848937132519225E-2</v>
      </c>
      <c r="O130" s="192">
        <f t="shared" si="11"/>
        <v>0.91866607968302882</v>
      </c>
      <c r="P130" s="191">
        <f t="shared" si="12"/>
        <v>12647.25</v>
      </c>
      <c r="Q130"/>
      <c r="R130" s="191">
        <v>58</v>
      </c>
      <c r="S130" s="191">
        <v>830</v>
      </c>
      <c r="T130" s="191">
        <f t="shared" si="13"/>
        <v>-11.142857142857338</v>
      </c>
      <c r="U130" s="191">
        <f t="shared" si="15"/>
        <v>818.85714285714266</v>
      </c>
      <c r="V130" s="192">
        <f t="shared" si="14"/>
        <v>9.9436923445549302E-2</v>
      </c>
    </row>
    <row r="131" spans="1:22" s="191" customFormat="1">
      <c r="A131" s="190">
        <v>41215</v>
      </c>
      <c r="B131" s="191">
        <v>827</v>
      </c>
      <c r="C131" s="191">
        <v>18136</v>
      </c>
      <c r="D131" s="191">
        <v>8892</v>
      </c>
      <c r="E131" s="191">
        <v>8948</v>
      </c>
      <c r="F131" s="191">
        <v>2888</v>
      </c>
      <c r="G131" s="191">
        <v>2870</v>
      </c>
      <c r="H131" s="192">
        <f t="shared" si="8"/>
        <v>0.99376731301939059</v>
      </c>
      <c r="I131" s="191">
        <v>6060</v>
      </c>
      <c r="J131" s="191">
        <v>5320</v>
      </c>
      <c r="K131" s="192">
        <f t="shared" si="9"/>
        <v>0.87788778877887785</v>
      </c>
      <c r="L131" s="191">
        <v>5319</v>
      </c>
      <c r="M131" s="191">
        <v>8307</v>
      </c>
      <c r="N131" s="192">
        <f t="shared" si="10"/>
        <v>9.9073070904056815E-2</v>
      </c>
      <c r="O131" s="192">
        <f t="shared" si="11"/>
        <v>0.9152883325882879</v>
      </c>
      <c r="P131" s="191">
        <f t="shared" si="12"/>
        <v>12677.91</v>
      </c>
      <c r="Q131"/>
      <c r="R131" s="191">
        <v>60</v>
      </c>
      <c r="S131" s="191">
        <v>823</v>
      </c>
      <c r="T131" s="191">
        <f t="shared" si="13"/>
        <v>218.14285714285734</v>
      </c>
      <c r="U131" s="191">
        <f t="shared" si="15"/>
        <v>1041.1428571428573</v>
      </c>
      <c r="V131" s="192">
        <f t="shared" si="14"/>
        <v>0.10048840048840049</v>
      </c>
    </row>
    <row r="132" spans="1:22" s="191" customFormat="1">
      <c r="A132" s="190">
        <v>41222</v>
      </c>
      <c r="B132" s="191">
        <v>824</v>
      </c>
      <c r="C132" s="191">
        <v>17851</v>
      </c>
      <c r="D132" s="191">
        <v>9103</v>
      </c>
      <c r="E132" s="191">
        <v>8856</v>
      </c>
      <c r="F132" s="191">
        <v>2971</v>
      </c>
      <c r="G132" s="191">
        <v>2953</v>
      </c>
      <c r="H132" s="192">
        <f t="shared" si="8"/>
        <v>0.99394143386065303</v>
      </c>
      <c r="I132" s="191">
        <v>5886</v>
      </c>
      <c r="J132" s="191">
        <v>5267</v>
      </c>
      <c r="K132" s="192">
        <f t="shared" si="9"/>
        <v>0.89483520217465173</v>
      </c>
      <c r="L132" s="191">
        <v>5265</v>
      </c>
      <c r="M132" s="191">
        <v>8908</v>
      </c>
      <c r="N132" s="192">
        <f t="shared" si="10"/>
        <v>9.2276605298607997E-2</v>
      </c>
      <c r="O132" s="192">
        <f t="shared" si="11"/>
        <v>0.92818428184281843</v>
      </c>
      <c r="P132" s="191">
        <f t="shared" si="12"/>
        <v>12631.92</v>
      </c>
      <c r="Q132"/>
      <c r="R132" s="191">
        <v>59</v>
      </c>
      <c r="S132" s="191">
        <v>822</v>
      </c>
      <c r="T132" s="191">
        <f t="shared" si="13"/>
        <v>101.71428571428532</v>
      </c>
      <c r="U132" s="191">
        <f t="shared" si="15"/>
        <v>923.71428571428532</v>
      </c>
      <c r="V132" s="192">
        <f t="shared" si="14"/>
        <v>0.1</v>
      </c>
    </row>
    <row r="133" spans="1:22" s="191" customFormat="1">
      <c r="A133" s="190">
        <v>41229</v>
      </c>
      <c r="B133" s="191">
        <v>811</v>
      </c>
      <c r="C133" s="191">
        <v>18927</v>
      </c>
      <c r="D133" s="191">
        <v>9189</v>
      </c>
      <c r="E133" s="191">
        <v>9001</v>
      </c>
      <c r="F133" s="191">
        <v>3009</v>
      </c>
      <c r="G133" s="191">
        <v>2995</v>
      </c>
      <c r="H133" s="192">
        <f t="shared" si="8"/>
        <v>0.99534729145895651</v>
      </c>
      <c r="I133" s="191">
        <v>5992</v>
      </c>
      <c r="J133" s="191">
        <v>5183</v>
      </c>
      <c r="K133" s="192">
        <f t="shared" si="9"/>
        <v>0.86498664886515353</v>
      </c>
      <c r="L133" s="191">
        <v>5181</v>
      </c>
      <c r="M133" s="191">
        <v>8898</v>
      </c>
      <c r="N133" s="192">
        <f t="shared" si="10"/>
        <v>9.1144077320746239E-2</v>
      </c>
      <c r="O133" s="192">
        <f t="shared" si="11"/>
        <v>0.90856571492056437</v>
      </c>
      <c r="P133" s="191">
        <f t="shared" si="12"/>
        <v>12432.63</v>
      </c>
      <c r="Q133"/>
      <c r="R133" s="191">
        <v>6</v>
      </c>
      <c r="S133" s="191">
        <v>811</v>
      </c>
      <c r="T133" s="191">
        <f t="shared" si="13"/>
        <v>-147.71428571428532</v>
      </c>
      <c r="U133" s="191">
        <f t="shared" si="15"/>
        <v>663.28571428571468</v>
      </c>
      <c r="V133" s="192">
        <f t="shared" si="14"/>
        <v>9.9168500855955008E-2</v>
      </c>
    </row>
    <row r="134" spans="1:22" s="191" customFormat="1">
      <c r="A134" s="190">
        <v>41236</v>
      </c>
      <c r="B134" s="191">
        <v>803</v>
      </c>
      <c r="C134" s="191">
        <v>18347</v>
      </c>
      <c r="D134" s="191">
        <v>8729</v>
      </c>
      <c r="E134" s="191">
        <v>8884</v>
      </c>
      <c r="F134" s="191">
        <v>2955</v>
      </c>
      <c r="G134" s="191">
        <v>2955</v>
      </c>
      <c r="H134" s="192">
        <f t="shared" ref="H134:H197" si="16">G134/F134</f>
        <v>1</v>
      </c>
      <c r="I134" s="191">
        <v>5929</v>
      </c>
      <c r="J134" s="191">
        <v>5157</v>
      </c>
      <c r="K134" s="192">
        <f t="shared" ref="K134:K197" si="17">J134/I134</f>
        <v>0.86979254511722048</v>
      </c>
      <c r="L134" s="191">
        <v>5156</v>
      </c>
      <c r="M134" s="191">
        <v>8427</v>
      </c>
      <c r="N134" s="192">
        <f t="shared" ref="N134:N197" si="18">S134/M134</f>
        <v>9.6238281713539819E-2</v>
      </c>
      <c r="O134" s="192">
        <f t="shared" ref="O134:O197" si="19">(J134+G134)/E134</f>
        <v>0.91310220621341742</v>
      </c>
      <c r="P134" s="191">
        <f t="shared" ref="P134:P197" si="20">B134*42*365/1000</f>
        <v>12309.99</v>
      </c>
      <c r="Q134"/>
      <c r="R134" s="191">
        <v>27</v>
      </c>
      <c r="S134" s="191">
        <v>811</v>
      </c>
      <c r="T134" s="191">
        <f t="shared" ref="T134:T197" si="21">U134-S134</f>
        <v>101.85714285714266</v>
      </c>
      <c r="U134" s="191">
        <f t="shared" si="15"/>
        <v>912.85714285714266</v>
      </c>
      <c r="V134" s="192">
        <f t="shared" ref="V134:V197" si="22">S134/(G134+J134)</f>
        <v>9.9975345167652857E-2</v>
      </c>
    </row>
    <row r="135" spans="1:22" s="191" customFormat="1">
      <c r="A135" s="190">
        <v>41243</v>
      </c>
      <c r="B135" s="191">
        <v>835</v>
      </c>
      <c r="C135" s="191">
        <v>19341</v>
      </c>
      <c r="D135" s="191">
        <v>9197</v>
      </c>
      <c r="E135" s="191">
        <v>9012</v>
      </c>
      <c r="F135" s="191">
        <v>2893</v>
      </c>
      <c r="G135" s="191">
        <v>2893</v>
      </c>
      <c r="H135" s="192">
        <f t="shared" si="16"/>
        <v>1</v>
      </c>
      <c r="I135" s="191">
        <v>6118</v>
      </c>
      <c r="J135" s="191">
        <v>5154</v>
      </c>
      <c r="K135" s="192">
        <f t="shared" si="17"/>
        <v>0.84243216737495918</v>
      </c>
      <c r="L135" s="191">
        <v>5153</v>
      </c>
      <c r="M135" s="191">
        <v>8354</v>
      </c>
      <c r="N135" s="192">
        <f t="shared" si="18"/>
        <v>9.6361024658846064E-2</v>
      </c>
      <c r="O135" s="192">
        <f t="shared" si="19"/>
        <v>0.89292055037727469</v>
      </c>
      <c r="P135" s="191">
        <f t="shared" si="20"/>
        <v>12800.55</v>
      </c>
      <c r="Q135"/>
      <c r="R135" s="191">
        <v>92</v>
      </c>
      <c r="S135" s="191">
        <v>805</v>
      </c>
      <c r="T135" s="191">
        <f t="shared" si="21"/>
        <v>-20</v>
      </c>
      <c r="U135" s="191">
        <f t="shared" ref="U135:U198" si="23">C134/7+B135+R135-C135/7</f>
        <v>785</v>
      </c>
      <c r="V135" s="192">
        <f t="shared" si="22"/>
        <v>0.10003728097427612</v>
      </c>
    </row>
    <row r="136" spans="1:22" s="191" customFormat="1">
      <c r="A136" s="190">
        <v>41250</v>
      </c>
      <c r="B136" s="191">
        <v>824</v>
      </c>
      <c r="C136" s="191">
        <v>20028</v>
      </c>
      <c r="D136" s="191">
        <v>8908</v>
      </c>
      <c r="E136" s="191">
        <v>9070</v>
      </c>
      <c r="F136" s="191">
        <v>2860</v>
      </c>
      <c r="G136" s="191">
        <v>2860</v>
      </c>
      <c r="H136" s="192">
        <f t="shared" si="16"/>
        <v>1</v>
      </c>
      <c r="I136" s="191">
        <v>6210</v>
      </c>
      <c r="J136" s="191">
        <v>5147</v>
      </c>
      <c r="K136" s="192">
        <f t="shared" si="17"/>
        <v>0.82882447665056358</v>
      </c>
      <c r="L136" s="191">
        <v>5145</v>
      </c>
      <c r="M136" s="191">
        <v>8488</v>
      </c>
      <c r="N136" s="192">
        <f t="shared" si="18"/>
        <v>9.4132893496701231E-2</v>
      </c>
      <c r="O136" s="192">
        <f t="shared" si="19"/>
        <v>0.88280044101433297</v>
      </c>
      <c r="P136" s="191">
        <f t="shared" si="20"/>
        <v>12631.92</v>
      </c>
      <c r="Q136"/>
      <c r="R136" s="191">
        <v>12</v>
      </c>
      <c r="S136" s="191">
        <v>799</v>
      </c>
      <c r="T136" s="191">
        <f t="shared" si="21"/>
        <v>-61.142857142857338</v>
      </c>
      <c r="U136" s="191">
        <f t="shared" si="23"/>
        <v>737.85714285714266</v>
      </c>
      <c r="V136" s="192">
        <f t="shared" si="22"/>
        <v>9.9787685774946927E-2</v>
      </c>
    </row>
    <row r="137" spans="1:22" s="191" customFormat="1">
      <c r="A137" s="190">
        <v>41257</v>
      </c>
      <c r="B137" s="191">
        <v>822</v>
      </c>
      <c r="C137" s="191">
        <v>20838</v>
      </c>
      <c r="D137" s="191">
        <v>8888</v>
      </c>
      <c r="E137" s="191">
        <v>9149</v>
      </c>
      <c r="F137" s="191">
        <v>2985</v>
      </c>
      <c r="G137" s="191">
        <v>2985</v>
      </c>
      <c r="H137" s="192">
        <f t="shared" si="16"/>
        <v>1</v>
      </c>
      <c r="I137" s="191">
        <v>6165</v>
      </c>
      <c r="J137" s="191">
        <v>5238</v>
      </c>
      <c r="K137" s="192">
        <f t="shared" si="17"/>
        <v>0.84963503649635042</v>
      </c>
      <c r="L137" s="191">
        <v>5237</v>
      </c>
      <c r="M137" s="191">
        <v>8618</v>
      </c>
      <c r="N137" s="192">
        <f t="shared" si="18"/>
        <v>9.5497795312137382E-2</v>
      </c>
      <c r="O137" s="192">
        <f t="shared" si="19"/>
        <v>0.89878675265056285</v>
      </c>
      <c r="P137" s="191">
        <f t="shared" si="20"/>
        <v>12601.26</v>
      </c>
      <c r="Q137"/>
      <c r="R137" s="191">
        <v>37</v>
      </c>
      <c r="S137" s="191">
        <v>823</v>
      </c>
      <c r="T137" s="191">
        <f t="shared" si="21"/>
        <v>-79.714285714285325</v>
      </c>
      <c r="U137" s="191">
        <f t="shared" si="23"/>
        <v>743.28571428571468</v>
      </c>
      <c r="V137" s="192">
        <f t="shared" si="22"/>
        <v>0.10008512708257326</v>
      </c>
    </row>
    <row r="138" spans="1:22" s="191" customFormat="1">
      <c r="A138" s="190">
        <v>41264</v>
      </c>
      <c r="B138" s="191">
        <v>834</v>
      </c>
      <c r="C138" s="191">
        <v>20315</v>
      </c>
      <c r="D138" s="191">
        <v>9545</v>
      </c>
      <c r="E138" s="191">
        <v>9397</v>
      </c>
      <c r="F138" s="191">
        <v>3090</v>
      </c>
      <c r="G138" s="191">
        <v>3090</v>
      </c>
      <c r="H138" s="192">
        <f t="shared" si="16"/>
        <v>1</v>
      </c>
      <c r="I138" s="191">
        <v>6308</v>
      </c>
      <c r="J138" s="191">
        <v>5395</v>
      </c>
      <c r="K138" s="192">
        <f t="shared" si="17"/>
        <v>0.85526315789473684</v>
      </c>
      <c r="L138" s="191">
        <v>5394</v>
      </c>
      <c r="M138" s="191">
        <v>8608</v>
      </c>
      <c r="N138" s="192">
        <f t="shared" si="18"/>
        <v>9.8745353159851307E-2</v>
      </c>
      <c r="O138" s="192">
        <f t="shared" si="19"/>
        <v>0.90294774928168564</v>
      </c>
      <c r="P138" s="191">
        <f t="shared" si="20"/>
        <v>12785.22</v>
      </c>
      <c r="Q138"/>
      <c r="R138" s="191">
        <v>26</v>
      </c>
      <c r="S138" s="191">
        <v>850</v>
      </c>
      <c r="T138" s="191">
        <f t="shared" si="21"/>
        <v>84.714285714285325</v>
      </c>
      <c r="U138" s="191">
        <f t="shared" si="23"/>
        <v>934.71428571428532</v>
      </c>
      <c r="V138" s="192">
        <f t="shared" si="22"/>
        <v>0.10017678255745432</v>
      </c>
    </row>
    <row r="139" spans="1:22" s="191" customFormat="1">
      <c r="A139" s="190">
        <v>41271</v>
      </c>
      <c r="B139" s="191">
        <v>807</v>
      </c>
      <c r="C139" s="191">
        <v>20213</v>
      </c>
      <c r="D139" s="191">
        <v>8917</v>
      </c>
      <c r="E139" s="191">
        <v>8699</v>
      </c>
      <c r="F139" s="191">
        <v>2845</v>
      </c>
      <c r="G139" s="191">
        <v>2845</v>
      </c>
      <c r="H139" s="192">
        <f t="shared" si="16"/>
        <v>1</v>
      </c>
      <c r="I139" s="191">
        <v>5854</v>
      </c>
      <c r="J139" s="191">
        <v>4943</v>
      </c>
      <c r="K139" s="192">
        <f t="shared" si="17"/>
        <v>0.8443799111718483</v>
      </c>
      <c r="L139" s="191">
        <v>4942</v>
      </c>
      <c r="M139" s="191">
        <v>8518</v>
      </c>
      <c r="N139" s="192">
        <f t="shared" si="18"/>
        <v>9.1335994364874384E-2</v>
      </c>
      <c r="O139" s="192">
        <f t="shared" si="19"/>
        <v>0.89527531900218416</v>
      </c>
      <c r="P139" s="191">
        <f t="shared" si="20"/>
        <v>12371.31</v>
      </c>
      <c r="Q139"/>
      <c r="R139" s="191">
        <v>87</v>
      </c>
      <c r="S139" s="191">
        <v>778</v>
      </c>
      <c r="T139" s="191">
        <f t="shared" si="21"/>
        <v>130.5714285714289</v>
      </c>
      <c r="U139" s="191">
        <f t="shared" si="23"/>
        <v>908.5714285714289</v>
      </c>
      <c r="V139" s="192">
        <f t="shared" si="22"/>
        <v>9.9897277863379555E-2</v>
      </c>
    </row>
    <row r="140" spans="1:22" s="191" customFormat="1">
      <c r="A140" s="190">
        <v>41278</v>
      </c>
      <c r="B140" s="191">
        <v>826</v>
      </c>
      <c r="C140" s="191">
        <v>19854</v>
      </c>
      <c r="D140" s="191">
        <v>8385</v>
      </c>
      <c r="E140" s="191">
        <v>8204</v>
      </c>
      <c r="F140" s="191">
        <v>2586</v>
      </c>
      <c r="G140" s="191">
        <v>2586</v>
      </c>
      <c r="H140" s="192">
        <f t="shared" si="16"/>
        <v>1</v>
      </c>
      <c r="I140" s="191">
        <v>5618</v>
      </c>
      <c r="J140" s="191">
        <v>4499</v>
      </c>
      <c r="K140" s="192">
        <f t="shared" si="17"/>
        <v>0.80081879672481315</v>
      </c>
      <c r="L140" s="191">
        <v>4498</v>
      </c>
      <c r="M140" s="191">
        <v>8010</v>
      </c>
      <c r="N140" s="192">
        <f t="shared" si="18"/>
        <v>8.9138576779026216E-2</v>
      </c>
      <c r="O140" s="192">
        <f t="shared" si="19"/>
        <v>0.86360312042905896</v>
      </c>
      <c r="P140" s="191">
        <f t="shared" si="20"/>
        <v>12662.58</v>
      </c>
      <c r="Q140"/>
      <c r="R140" s="191">
        <v>52</v>
      </c>
      <c r="S140" s="191">
        <v>714</v>
      </c>
      <c r="T140" s="191">
        <f t="shared" si="21"/>
        <v>215.28571428571422</v>
      </c>
      <c r="U140" s="191">
        <f t="shared" si="23"/>
        <v>929.28571428571422</v>
      </c>
      <c r="V140" s="192">
        <f t="shared" si="22"/>
        <v>0.10077628793225124</v>
      </c>
    </row>
    <row r="141" spans="1:22" s="191" customFormat="1">
      <c r="A141" s="190">
        <v>41285</v>
      </c>
      <c r="B141" s="191">
        <v>784</v>
      </c>
      <c r="C141" s="191">
        <v>20361</v>
      </c>
      <c r="D141" s="191">
        <v>8590</v>
      </c>
      <c r="E141" s="191">
        <v>8591</v>
      </c>
      <c r="F141" s="191">
        <v>2808</v>
      </c>
      <c r="G141" s="191">
        <v>2808</v>
      </c>
      <c r="H141" s="192">
        <f t="shared" si="16"/>
        <v>1</v>
      </c>
      <c r="I141" s="191">
        <v>5784</v>
      </c>
      <c r="J141" s="191">
        <v>4935</v>
      </c>
      <c r="K141" s="192">
        <f t="shared" si="17"/>
        <v>0.85321576763485474</v>
      </c>
      <c r="L141" s="191">
        <v>4934</v>
      </c>
      <c r="M141" s="191">
        <v>8320</v>
      </c>
      <c r="N141" s="192">
        <f t="shared" si="18"/>
        <v>9.2668269230769235E-2</v>
      </c>
      <c r="O141" s="192">
        <f t="shared" si="19"/>
        <v>0.90129204981957867</v>
      </c>
      <c r="P141" s="191">
        <f t="shared" si="20"/>
        <v>12018.72</v>
      </c>
      <c r="Q141"/>
      <c r="R141" s="191">
        <v>27</v>
      </c>
      <c r="S141" s="191">
        <v>771</v>
      </c>
      <c r="T141" s="191">
        <f t="shared" si="21"/>
        <v>-32.428571428571558</v>
      </c>
      <c r="U141" s="191">
        <f t="shared" si="23"/>
        <v>738.57142857142844</v>
      </c>
      <c r="V141" s="192">
        <f t="shared" si="22"/>
        <v>9.9573808601317315E-2</v>
      </c>
    </row>
    <row r="142" spans="1:22" s="191" customFormat="1">
      <c r="A142" s="190">
        <v>41292</v>
      </c>
      <c r="B142" s="191">
        <v>792</v>
      </c>
      <c r="C142" s="191">
        <v>20083</v>
      </c>
      <c r="D142" s="191">
        <v>8908</v>
      </c>
      <c r="E142" s="191">
        <v>8668</v>
      </c>
      <c r="F142" s="191">
        <v>2865</v>
      </c>
      <c r="G142" s="191">
        <v>2865</v>
      </c>
      <c r="H142" s="192">
        <f t="shared" si="16"/>
        <v>1</v>
      </c>
      <c r="I142" s="191">
        <v>5802</v>
      </c>
      <c r="J142" s="191">
        <v>4933</v>
      </c>
      <c r="K142" s="192">
        <f t="shared" si="17"/>
        <v>0.8502240606687349</v>
      </c>
      <c r="L142" s="191">
        <v>4932</v>
      </c>
      <c r="M142" s="191">
        <v>8431</v>
      </c>
      <c r="N142" s="192">
        <f t="shared" si="18"/>
        <v>9.2159886134503613E-2</v>
      </c>
      <c r="O142" s="192">
        <f t="shared" si="19"/>
        <v>0.89963082602676514</v>
      </c>
      <c r="P142" s="191">
        <f t="shared" si="20"/>
        <v>12141.36</v>
      </c>
      <c r="Q142"/>
      <c r="R142" s="191">
        <v>67</v>
      </c>
      <c r="S142" s="191">
        <v>777</v>
      </c>
      <c r="T142" s="191">
        <f t="shared" si="21"/>
        <v>121.71428571428578</v>
      </c>
      <c r="U142" s="191">
        <f t="shared" si="23"/>
        <v>898.71428571428578</v>
      </c>
      <c r="V142" s="192">
        <f t="shared" si="22"/>
        <v>9.9640933572710949E-2</v>
      </c>
    </row>
    <row r="143" spans="1:22" s="191" customFormat="1">
      <c r="A143" s="190">
        <v>41299</v>
      </c>
      <c r="B143" s="191">
        <v>770</v>
      </c>
      <c r="C143" s="191">
        <v>20540</v>
      </c>
      <c r="D143" s="191">
        <v>9064</v>
      </c>
      <c r="E143" s="191">
        <v>8885</v>
      </c>
      <c r="F143" s="191">
        <v>2901</v>
      </c>
      <c r="G143" s="191">
        <v>2901</v>
      </c>
      <c r="H143" s="192">
        <f t="shared" si="16"/>
        <v>1</v>
      </c>
      <c r="I143" s="191">
        <v>5985</v>
      </c>
      <c r="J143" s="191">
        <v>4985</v>
      </c>
      <c r="K143" s="192">
        <f t="shared" si="17"/>
        <v>0.83291562238930661</v>
      </c>
      <c r="L143" s="191">
        <v>4984</v>
      </c>
      <c r="M143" s="191">
        <v>8501</v>
      </c>
      <c r="N143" s="192">
        <f t="shared" si="18"/>
        <v>9.2224444183037296E-2</v>
      </c>
      <c r="O143" s="192">
        <f t="shared" si="19"/>
        <v>0.88756330894766455</v>
      </c>
      <c r="P143" s="191">
        <f t="shared" si="20"/>
        <v>11804.1</v>
      </c>
      <c r="Q143"/>
      <c r="R143" s="191">
        <v>9</v>
      </c>
      <c r="S143" s="191">
        <v>784</v>
      </c>
      <c r="T143" s="191">
        <f t="shared" si="21"/>
        <v>-70.285714285714221</v>
      </c>
      <c r="U143" s="191">
        <f t="shared" si="23"/>
        <v>713.71428571428578</v>
      </c>
      <c r="V143" s="192">
        <f t="shared" si="22"/>
        <v>9.9416687801166623E-2</v>
      </c>
    </row>
    <row r="144" spans="1:22" s="191" customFormat="1">
      <c r="A144" s="190">
        <v>41306</v>
      </c>
      <c r="B144" s="191">
        <v>774</v>
      </c>
      <c r="C144" s="191">
        <v>20098</v>
      </c>
      <c r="D144" s="191">
        <v>8761</v>
      </c>
      <c r="E144" s="191">
        <v>8820</v>
      </c>
      <c r="F144" s="191">
        <v>2847</v>
      </c>
      <c r="G144" s="191">
        <v>2847</v>
      </c>
      <c r="H144" s="192">
        <f t="shared" si="16"/>
        <v>1</v>
      </c>
      <c r="I144" s="191">
        <v>5974</v>
      </c>
      <c r="J144" s="191">
        <v>4909</v>
      </c>
      <c r="K144" s="192">
        <f t="shared" si="17"/>
        <v>0.82172748577167731</v>
      </c>
      <c r="L144" s="191">
        <v>4909</v>
      </c>
      <c r="M144" s="191">
        <v>8415</v>
      </c>
      <c r="N144" s="192">
        <f t="shared" si="18"/>
        <v>9.2097445038621509E-2</v>
      </c>
      <c r="O144" s="192">
        <f t="shared" si="19"/>
        <v>0.87936507936507935</v>
      </c>
      <c r="P144" s="191">
        <f t="shared" si="20"/>
        <v>11865.42</v>
      </c>
      <c r="Q144"/>
      <c r="R144" s="191">
        <v>0</v>
      </c>
      <c r="S144" s="191">
        <v>775</v>
      </c>
      <c r="T144" s="191">
        <f t="shared" si="21"/>
        <v>62.142857142856883</v>
      </c>
      <c r="U144" s="191">
        <f t="shared" si="23"/>
        <v>837.14285714285688</v>
      </c>
      <c r="V144" s="192">
        <f t="shared" si="22"/>
        <v>9.992264053635895E-2</v>
      </c>
    </row>
    <row r="145" spans="1:22" s="191" customFormat="1">
      <c r="A145" s="190">
        <v>41313</v>
      </c>
      <c r="B145" s="191">
        <v>789</v>
      </c>
      <c r="C145" s="191">
        <v>19500</v>
      </c>
      <c r="D145" s="191">
        <v>8896</v>
      </c>
      <c r="E145" s="191">
        <v>8653</v>
      </c>
      <c r="F145" s="191">
        <v>2936</v>
      </c>
      <c r="G145" s="191">
        <v>2936</v>
      </c>
      <c r="H145" s="192">
        <f t="shared" si="16"/>
        <v>1</v>
      </c>
      <c r="I145" s="191">
        <v>5717</v>
      </c>
      <c r="J145" s="191">
        <v>5007</v>
      </c>
      <c r="K145" s="192">
        <f t="shared" si="17"/>
        <v>0.87580899072940355</v>
      </c>
      <c r="L145" s="191">
        <v>5006</v>
      </c>
      <c r="M145" s="191">
        <v>8404</v>
      </c>
      <c r="N145" s="192">
        <f t="shared" si="18"/>
        <v>9.4121846739647783E-2</v>
      </c>
      <c r="O145" s="192">
        <f t="shared" si="19"/>
        <v>0.91794753264763662</v>
      </c>
      <c r="P145" s="191">
        <f t="shared" si="20"/>
        <v>12095.37</v>
      </c>
      <c r="Q145"/>
      <c r="R145" s="191">
        <v>11</v>
      </c>
      <c r="S145" s="191">
        <v>791</v>
      </c>
      <c r="T145" s="191">
        <f t="shared" si="21"/>
        <v>94.428571428571558</v>
      </c>
      <c r="U145" s="191">
        <f t="shared" si="23"/>
        <v>885.42857142857156</v>
      </c>
      <c r="V145" s="192">
        <f t="shared" si="22"/>
        <v>9.958453984640564E-2</v>
      </c>
    </row>
    <row r="146" spans="1:22" s="191" customFormat="1">
      <c r="A146" s="190">
        <v>41320</v>
      </c>
      <c r="B146" s="191">
        <v>797</v>
      </c>
      <c r="C146" s="191">
        <v>19495</v>
      </c>
      <c r="D146" s="191">
        <v>8936</v>
      </c>
      <c r="E146" s="191">
        <v>8647</v>
      </c>
      <c r="F146" s="191">
        <v>2867</v>
      </c>
      <c r="G146" s="191">
        <v>2867</v>
      </c>
      <c r="H146" s="192">
        <f t="shared" si="16"/>
        <v>1</v>
      </c>
      <c r="I146" s="191">
        <v>5780</v>
      </c>
      <c r="J146" s="191">
        <v>5152</v>
      </c>
      <c r="K146" s="192">
        <f t="shared" si="17"/>
        <v>0.89134948096885813</v>
      </c>
      <c r="L146" s="191">
        <v>5150</v>
      </c>
      <c r="M146" s="191">
        <v>8437</v>
      </c>
      <c r="N146" s="192">
        <f t="shared" si="18"/>
        <v>9.493895934573901E-2</v>
      </c>
      <c r="O146" s="192">
        <f t="shared" si="19"/>
        <v>0.92737365560309937</v>
      </c>
      <c r="P146" s="191">
        <f t="shared" si="20"/>
        <v>12218.01</v>
      </c>
      <c r="Q146"/>
      <c r="R146" s="191">
        <v>21</v>
      </c>
      <c r="S146" s="191">
        <v>801</v>
      </c>
      <c r="T146" s="191">
        <f t="shared" si="21"/>
        <v>17.714285714285779</v>
      </c>
      <c r="U146" s="191">
        <f t="shared" si="23"/>
        <v>818.71428571428578</v>
      </c>
      <c r="V146" s="192">
        <f t="shared" si="22"/>
        <v>9.9887766554433224E-2</v>
      </c>
    </row>
    <row r="147" spans="1:22" s="191" customFormat="1">
      <c r="A147" s="190">
        <v>41327</v>
      </c>
      <c r="B147" s="191">
        <v>812</v>
      </c>
      <c r="C147" s="191">
        <v>19374</v>
      </c>
      <c r="D147" s="191">
        <v>9211</v>
      </c>
      <c r="E147" s="191">
        <v>8947</v>
      </c>
      <c r="F147" s="191">
        <v>2926</v>
      </c>
      <c r="G147" s="191">
        <v>2926</v>
      </c>
      <c r="H147" s="192">
        <f t="shared" si="16"/>
        <v>1</v>
      </c>
      <c r="I147" s="191">
        <v>6021</v>
      </c>
      <c r="J147" s="191">
        <v>5185</v>
      </c>
      <c r="K147" s="192">
        <f t="shared" si="17"/>
        <v>0.86115263245308094</v>
      </c>
      <c r="L147" s="191">
        <v>5184</v>
      </c>
      <c r="M147" s="191">
        <v>8597</v>
      </c>
      <c r="N147" s="192">
        <f t="shared" si="18"/>
        <v>9.3986274281726179E-2</v>
      </c>
      <c r="O147" s="192">
        <f t="shared" si="19"/>
        <v>0.90656085838828659</v>
      </c>
      <c r="P147" s="191">
        <f t="shared" si="20"/>
        <v>12447.96</v>
      </c>
      <c r="Q147"/>
      <c r="R147" s="191">
        <v>32</v>
      </c>
      <c r="S147" s="191">
        <v>808</v>
      </c>
      <c r="T147" s="191">
        <f t="shared" si="21"/>
        <v>53.285714285714221</v>
      </c>
      <c r="U147" s="191">
        <f t="shared" si="23"/>
        <v>861.28571428571422</v>
      </c>
      <c r="V147" s="192">
        <f t="shared" si="22"/>
        <v>9.961780298360251E-2</v>
      </c>
    </row>
    <row r="148" spans="1:22" s="191" customFormat="1">
      <c r="A148" s="190">
        <v>41334</v>
      </c>
      <c r="B148" s="191">
        <v>805</v>
      </c>
      <c r="C148" s="191">
        <v>19351</v>
      </c>
      <c r="D148" s="191">
        <v>8606</v>
      </c>
      <c r="E148" s="191">
        <v>8747</v>
      </c>
      <c r="F148" s="191">
        <v>2945</v>
      </c>
      <c r="G148" s="191">
        <v>2945</v>
      </c>
      <c r="H148" s="192">
        <f t="shared" si="16"/>
        <v>1</v>
      </c>
      <c r="I148" s="191">
        <v>5802</v>
      </c>
      <c r="J148" s="191">
        <v>5147</v>
      </c>
      <c r="K148" s="192">
        <f t="shared" si="17"/>
        <v>0.88710789382971389</v>
      </c>
      <c r="L148" s="191">
        <v>5145</v>
      </c>
      <c r="M148" s="191">
        <v>8364</v>
      </c>
      <c r="N148" s="192">
        <f t="shared" si="18"/>
        <v>9.6963175514108088E-2</v>
      </c>
      <c r="O148" s="192">
        <f t="shared" si="19"/>
        <v>0.92511718303418311</v>
      </c>
      <c r="P148" s="191">
        <f t="shared" si="20"/>
        <v>12340.65</v>
      </c>
      <c r="Q148"/>
      <c r="R148" s="191">
        <v>0</v>
      </c>
      <c r="S148" s="191">
        <v>811</v>
      </c>
      <c r="T148" s="191">
        <f t="shared" si="21"/>
        <v>-2.7142857142857792</v>
      </c>
      <c r="U148" s="191">
        <f t="shared" si="23"/>
        <v>808.28571428571422</v>
      </c>
      <c r="V148" s="192">
        <f t="shared" si="22"/>
        <v>0.10022244191794365</v>
      </c>
    </row>
    <row r="149" spans="1:22" s="191" customFormat="1">
      <c r="A149" s="190">
        <v>41341</v>
      </c>
      <c r="B149" s="191">
        <v>797</v>
      </c>
      <c r="C149" s="191">
        <v>18688</v>
      </c>
      <c r="D149" s="191">
        <v>8954</v>
      </c>
      <c r="E149" s="191">
        <v>8641</v>
      </c>
      <c r="F149" s="191">
        <v>3004</v>
      </c>
      <c r="G149" s="191">
        <v>3004</v>
      </c>
      <c r="H149" s="192">
        <f t="shared" si="16"/>
        <v>1</v>
      </c>
      <c r="I149" s="191">
        <v>5637</v>
      </c>
      <c r="J149" s="191">
        <v>5279</v>
      </c>
      <c r="K149" s="192">
        <f t="shared" si="17"/>
        <v>0.93649104133404293</v>
      </c>
      <c r="L149" s="191">
        <v>5278</v>
      </c>
      <c r="M149" s="191">
        <v>8627</v>
      </c>
      <c r="N149" s="192">
        <f t="shared" si="18"/>
        <v>9.5629998840848496E-2</v>
      </c>
      <c r="O149" s="192">
        <f t="shared" si="19"/>
        <v>0.95856960999884278</v>
      </c>
      <c r="P149" s="191">
        <f t="shared" si="20"/>
        <v>12218.01</v>
      </c>
      <c r="Q149"/>
      <c r="R149" s="191">
        <v>0</v>
      </c>
      <c r="S149" s="191">
        <v>825</v>
      </c>
      <c r="T149" s="191">
        <f t="shared" si="21"/>
        <v>66.714285714285779</v>
      </c>
      <c r="U149" s="191">
        <f t="shared" si="23"/>
        <v>891.71428571428578</v>
      </c>
      <c r="V149" s="192">
        <f t="shared" si="22"/>
        <v>9.9601593625498003E-2</v>
      </c>
    </row>
    <row r="150" spans="1:22" s="191" customFormat="1">
      <c r="A150" s="190">
        <v>41348</v>
      </c>
      <c r="B150" s="191">
        <v>809</v>
      </c>
      <c r="C150" s="191">
        <v>18465</v>
      </c>
      <c r="D150" s="191">
        <v>8558</v>
      </c>
      <c r="E150" s="191">
        <v>8629</v>
      </c>
      <c r="F150" s="191">
        <v>2899</v>
      </c>
      <c r="G150" s="191">
        <v>2899</v>
      </c>
      <c r="H150" s="192">
        <f t="shared" si="16"/>
        <v>1</v>
      </c>
      <c r="I150" s="191">
        <v>5730</v>
      </c>
      <c r="J150" s="191">
        <v>5259</v>
      </c>
      <c r="K150" s="192">
        <f t="shared" si="17"/>
        <v>0.91780104712041888</v>
      </c>
      <c r="L150" s="191">
        <v>5258</v>
      </c>
      <c r="M150" s="191">
        <v>8324</v>
      </c>
      <c r="N150" s="192">
        <f t="shared" si="18"/>
        <v>9.7308986064392117E-2</v>
      </c>
      <c r="O150" s="192">
        <f t="shared" si="19"/>
        <v>0.94541661837988178</v>
      </c>
      <c r="P150" s="191">
        <f t="shared" si="20"/>
        <v>12401.97</v>
      </c>
      <c r="Q150"/>
      <c r="R150" s="191">
        <v>27</v>
      </c>
      <c r="S150" s="191">
        <v>810</v>
      </c>
      <c r="T150" s="191">
        <f t="shared" si="21"/>
        <v>57.857142857143117</v>
      </c>
      <c r="U150" s="191">
        <f t="shared" si="23"/>
        <v>867.85714285714312</v>
      </c>
      <c r="V150" s="192">
        <f t="shared" si="22"/>
        <v>9.9289041431723457E-2</v>
      </c>
    </row>
    <row r="151" spans="1:22" s="191" customFormat="1">
      <c r="A151" s="190">
        <v>41355</v>
      </c>
      <c r="B151" s="191">
        <v>805</v>
      </c>
      <c r="C151" s="191">
        <v>17441</v>
      </c>
      <c r="D151" s="191">
        <v>8861</v>
      </c>
      <c r="E151" s="191">
        <v>9002</v>
      </c>
      <c r="F151" s="191">
        <v>3076</v>
      </c>
      <c r="G151" s="191">
        <v>3076</v>
      </c>
      <c r="H151" s="192">
        <f t="shared" si="16"/>
        <v>1</v>
      </c>
      <c r="I151" s="191">
        <v>5926</v>
      </c>
      <c r="J151" s="191">
        <v>5332</v>
      </c>
      <c r="K151" s="192">
        <f t="shared" si="17"/>
        <v>0.89976375295308808</v>
      </c>
      <c r="L151" s="191">
        <v>5331</v>
      </c>
      <c r="M151" s="191">
        <v>8399</v>
      </c>
      <c r="N151" s="192">
        <f t="shared" si="18"/>
        <v>0.10013096797237767</v>
      </c>
      <c r="O151" s="192">
        <f t="shared" si="19"/>
        <v>0.93401466340813155</v>
      </c>
      <c r="P151" s="191">
        <f t="shared" si="20"/>
        <v>12340.65</v>
      </c>
      <c r="Q151"/>
      <c r="R151" s="191">
        <v>27</v>
      </c>
      <c r="S151" s="191">
        <v>841</v>
      </c>
      <c r="T151" s="191">
        <f t="shared" si="21"/>
        <v>137.28571428571422</v>
      </c>
      <c r="U151" s="191">
        <f t="shared" si="23"/>
        <v>978.28571428571422</v>
      </c>
      <c r="V151" s="192">
        <f t="shared" si="22"/>
        <v>0.10002378686964795</v>
      </c>
    </row>
    <row r="152" spans="1:22" s="191" customFormat="1">
      <c r="A152" s="190">
        <v>41362</v>
      </c>
      <c r="B152" s="191">
        <v>807</v>
      </c>
      <c r="C152" s="191">
        <v>17481</v>
      </c>
      <c r="D152" s="191">
        <v>8946</v>
      </c>
      <c r="E152" s="191">
        <v>8672</v>
      </c>
      <c r="F152" s="191">
        <v>2968</v>
      </c>
      <c r="G152" s="191">
        <v>2968</v>
      </c>
      <c r="H152" s="192">
        <f t="shared" si="16"/>
        <v>1</v>
      </c>
      <c r="I152" s="191">
        <v>5703</v>
      </c>
      <c r="J152" s="191">
        <v>5219</v>
      </c>
      <c r="K152" s="192">
        <f t="shared" si="17"/>
        <v>0.915132386463265</v>
      </c>
      <c r="L152" s="191">
        <v>5218</v>
      </c>
      <c r="M152" s="191">
        <v>8523</v>
      </c>
      <c r="N152" s="192">
        <f t="shared" si="18"/>
        <v>9.5858265868825537E-2</v>
      </c>
      <c r="O152" s="192">
        <f t="shared" si="19"/>
        <v>0.94407287822878228</v>
      </c>
      <c r="P152" s="191">
        <f t="shared" si="20"/>
        <v>12371.31</v>
      </c>
      <c r="Q152"/>
      <c r="R152" s="191">
        <v>49</v>
      </c>
      <c r="S152" s="191">
        <v>817</v>
      </c>
      <c r="T152" s="191">
        <f t="shared" si="21"/>
        <v>33.285714285714221</v>
      </c>
      <c r="U152" s="191">
        <f t="shared" si="23"/>
        <v>850.28571428571422</v>
      </c>
      <c r="V152" s="192">
        <f t="shared" si="22"/>
        <v>9.979235373152559E-2</v>
      </c>
    </row>
    <row r="153" spans="1:22" s="191" customFormat="1">
      <c r="A153" s="190">
        <v>41369</v>
      </c>
      <c r="B153" s="191">
        <v>854</v>
      </c>
      <c r="C153" s="191">
        <v>17788</v>
      </c>
      <c r="D153" s="191">
        <v>8761</v>
      </c>
      <c r="E153" s="191">
        <v>8932</v>
      </c>
      <c r="F153" s="191">
        <v>3022</v>
      </c>
      <c r="G153" s="191">
        <v>3022</v>
      </c>
      <c r="H153" s="192">
        <f t="shared" si="16"/>
        <v>1</v>
      </c>
      <c r="I153" s="191">
        <v>5911</v>
      </c>
      <c r="J153" s="191">
        <v>5427</v>
      </c>
      <c r="K153" s="192">
        <f t="shared" si="17"/>
        <v>0.9181187616308577</v>
      </c>
      <c r="L153" s="191">
        <v>5426</v>
      </c>
      <c r="M153" s="191">
        <v>8477</v>
      </c>
      <c r="N153" s="192">
        <f t="shared" si="18"/>
        <v>9.991742361684558E-2</v>
      </c>
      <c r="O153" s="192">
        <f t="shared" si="19"/>
        <v>0.9459247648902821</v>
      </c>
      <c r="P153" s="191">
        <f t="shared" si="20"/>
        <v>13091.82</v>
      </c>
      <c r="Q153"/>
      <c r="R153" s="191">
        <v>0</v>
      </c>
      <c r="S153" s="191">
        <v>847</v>
      </c>
      <c r="T153" s="191">
        <f t="shared" si="21"/>
        <v>-36.857142857143117</v>
      </c>
      <c r="U153" s="191">
        <f t="shared" si="23"/>
        <v>810.14285714285688</v>
      </c>
      <c r="V153" s="192">
        <f t="shared" si="22"/>
        <v>0.10024855012427507</v>
      </c>
    </row>
    <row r="154" spans="1:22" s="191" customFormat="1">
      <c r="A154" s="190">
        <v>41376</v>
      </c>
      <c r="B154" s="191">
        <v>832</v>
      </c>
      <c r="C154" s="191">
        <v>17507</v>
      </c>
      <c r="D154" s="191">
        <v>8902</v>
      </c>
      <c r="E154" s="191">
        <v>8890</v>
      </c>
      <c r="F154" s="191">
        <v>3004</v>
      </c>
      <c r="G154" s="191">
        <v>3004</v>
      </c>
      <c r="H154" s="192">
        <f t="shared" si="16"/>
        <v>1</v>
      </c>
      <c r="I154" s="191">
        <v>5886</v>
      </c>
      <c r="J154" s="191">
        <v>5366</v>
      </c>
      <c r="K154" s="192">
        <f t="shared" si="17"/>
        <v>0.91165477404009509</v>
      </c>
      <c r="L154" s="191">
        <v>5365</v>
      </c>
      <c r="M154" s="191">
        <v>8383</v>
      </c>
      <c r="N154" s="192">
        <f t="shared" si="18"/>
        <v>0.10175354884886079</v>
      </c>
      <c r="O154" s="192">
        <f t="shared" si="19"/>
        <v>0.94150731158605172</v>
      </c>
      <c r="P154" s="191">
        <f t="shared" si="20"/>
        <v>12754.56</v>
      </c>
      <c r="Q154"/>
      <c r="R154" s="191">
        <v>0</v>
      </c>
      <c r="S154" s="191">
        <v>853</v>
      </c>
      <c r="T154" s="191">
        <f t="shared" si="21"/>
        <v>19.142857142857338</v>
      </c>
      <c r="U154" s="191">
        <f t="shared" si="23"/>
        <v>872.14285714285734</v>
      </c>
      <c r="V154" s="192">
        <f t="shared" si="22"/>
        <v>0.1019115890083632</v>
      </c>
    </row>
    <row r="155" spans="1:22" s="191" customFormat="1">
      <c r="A155" s="190">
        <v>41383</v>
      </c>
      <c r="B155" s="191">
        <v>853</v>
      </c>
      <c r="C155" s="191">
        <v>17592</v>
      </c>
      <c r="D155" s="191">
        <v>8995</v>
      </c>
      <c r="E155" s="191">
        <v>8919</v>
      </c>
      <c r="F155" s="191">
        <v>3001</v>
      </c>
      <c r="G155" s="191">
        <v>3001</v>
      </c>
      <c r="H155" s="192">
        <f t="shared" si="16"/>
        <v>1</v>
      </c>
      <c r="I155" s="191">
        <v>5918</v>
      </c>
      <c r="J155" s="191">
        <v>5365</v>
      </c>
      <c r="K155" s="192">
        <f t="shared" si="17"/>
        <v>0.90655626900980057</v>
      </c>
      <c r="L155" s="191">
        <v>5364</v>
      </c>
      <c r="M155" s="191">
        <v>8750</v>
      </c>
      <c r="N155" s="192">
        <f t="shared" si="18"/>
        <v>9.5200000000000007E-2</v>
      </c>
      <c r="O155" s="192">
        <f t="shared" si="19"/>
        <v>0.93799753335575742</v>
      </c>
      <c r="P155" s="191">
        <f t="shared" si="20"/>
        <v>13076.49</v>
      </c>
      <c r="Q155"/>
      <c r="R155" s="191">
        <v>39</v>
      </c>
      <c r="S155" s="191">
        <v>833</v>
      </c>
      <c r="T155" s="191">
        <f t="shared" si="21"/>
        <v>46.857142857142662</v>
      </c>
      <c r="U155" s="191">
        <f t="shared" si="23"/>
        <v>879.85714285714266</v>
      </c>
      <c r="V155" s="192">
        <f t="shared" si="22"/>
        <v>9.9569686827635673E-2</v>
      </c>
    </row>
    <row r="156" spans="1:22" s="191" customFormat="1">
      <c r="A156" s="190">
        <v>41390</v>
      </c>
      <c r="B156" s="191">
        <v>857</v>
      </c>
      <c r="C156" s="191">
        <v>17036</v>
      </c>
      <c r="D156" s="191">
        <v>8786</v>
      </c>
      <c r="E156" s="191">
        <v>8967</v>
      </c>
      <c r="F156" s="191">
        <v>3025</v>
      </c>
      <c r="G156" s="191">
        <v>3025</v>
      </c>
      <c r="H156" s="192">
        <f t="shared" si="16"/>
        <v>1</v>
      </c>
      <c r="I156" s="191">
        <v>5942</v>
      </c>
      <c r="J156" s="191">
        <v>5380</v>
      </c>
      <c r="K156" s="192">
        <f t="shared" si="17"/>
        <v>0.90541905082463814</v>
      </c>
      <c r="L156" s="191">
        <v>5379</v>
      </c>
      <c r="M156" s="191">
        <v>8415</v>
      </c>
      <c r="N156" s="192">
        <f t="shared" si="18"/>
        <v>9.9584076054664294E-2</v>
      </c>
      <c r="O156" s="192">
        <f t="shared" si="19"/>
        <v>0.93732574997212004</v>
      </c>
      <c r="P156" s="191">
        <f t="shared" si="20"/>
        <v>13137.81</v>
      </c>
      <c r="Q156"/>
      <c r="R156" s="191">
        <v>0</v>
      </c>
      <c r="S156" s="191">
        <v>838</v>
      </c>
      <c r="T156" s="191">
        <f t="shared" si="21"/>
        <v>98.428571428571558</v>
      </c>
      <c r="U156" s="191">
        <f t="shared" si="23"/>
        <v>936.42857142857156</v>
      </c>
      <c r="V156" s="192">
        <f t="shared" si="22"/>
        <v>9.9702558001189767E-2</v>
      </c>
    </row>
    <row r="157" spans="1:22" s="191" customFormat="1">
      <c r="A157" s="190">
        <v>41397</v>
      </c>
      <c r="B157" s="191">
        <v>843</v>
      </c>
      <c r="C157" s="191">
        <v>16847</v>
      </c>
      <c r="D157" s="191">
        <v>8673</v>
      </c>
      <c r="E157" s="191">
        <v>8783</v>
      </c>
      <c r="F157" s="191">
        <v>3016</v>
      </c>
      <c r="G157" s="191">
        <v>3016</v>
      </c>
      <c r="H157" s="192">
        <f t="shared" si="16"/>
        <v>1</v>
      </c>
      <c r="I157" s="191">
        <v>5767</v>
      </c>
      <c r="J157" s="191">
        <v>5380</v>
      </c>
      <c r="K157" s="192">
        <f t="shared" si="17"/>
        <v>0.93289405236691525</v>
      </c>
      <c r="L157" s="191">
        <v>5380</v>
      </c>
      <c r="M157" s="191">
        <v>8445</v>
      </c>
      <c r="N157" s="192">
        <f t="shared" si="18"/>
        <v>9.9230313795145061E-2</v>
      </c>
      <c r="O157" s="192">
        <f t="shared" si="19"/>
        <v>0.95593760674029371</v>
      </c>
      <c r="P157" s="191">
        <f t="shared" si="20"/>
        <v>12923.19</v>
      </c>
      <c r="Q157"/>
      <c r="R157" s="191">
        <v>0</v>
      </c>
      <c r="S157" s="191">
        <v>838</v>
      </c>
      <c r="T157" s="191">
        <f t="shared" si="21"/>
        <v>32</v>
      </c>
      <c r="U157" s="191">
        <f t="shared" si="23"/>
        <v>870</v>
      </c>
      <c r="V157" s="192">
        <f t="shared" si="22"/>
        <v>9.9809433063363512E-2</v>
      </c>
    </row>
    <row r="158" spans="1:22" s="191" customFormat="1">
      <c r="A158" s="190">
        <v>41404</v>
      </c>
      <c r="B158" s="191">
        <v>857</v>
      </c>
      <c r="C158" s="191">
        <v>16429</v>
      </c>
      <c r="D158" s="191">
        <v>8929</v>
      </c>
      <c r="E158" s="191">
        <v>9089</v>
      </c>
      <c r="F158" s="191">
        <v>3053</v>
      </c>
      <c r="G158" s="191">
        <v>3053</v>
      </c>
      <c r="H158" s="192">
        <f t="shared" si="16"/>
        <v>1</v>
      </c>
      <c r="I158" s="191">
        <v>6036</v>
      </c>
      <c r="J158" s="191">
        <v>5433</v>
      </c>
      <c r="K158" s="192">
        <f t="shared" si="17"/>
        <v>0.9000994035785288</v>
      </c>
      <c r="L158" s="191">
        <v>5432</v>
      </c>
      <c r="M158" s="191">
        <v>8341</v>
      </c>
      <c r="N158" s="192">
        <f t="shared" si="18"/>
        <v>0.10142668744754825</v>
      </c>
      <c r="O158" s="192">
        <f t="shared" si="19"/>
        <v>0.9336560677742326</v>
      </c>
      <c r="P158" s="191">
        <f t="shared" si="20"/>
        <v>13137.81</v>
      </c>
      <c r="Q158"/>
      <c r="R158" s="191">
        <v>0</v>
      </c>
      <c r="S158" s="191">
        <v>846</v>
      </c>
      <c r="T158" s="191">
        <f t="shared" si="21"/>
        <v>70.714285714285779</v>
      </c>
      <c r="U158" s="191">
        <f t="shared" si="23"/>
        <v>916.71428571428578</v>
      </c>
      <c r="V158" s="192">
        <f t="shared" si="22"/>
        <v>9.9693613009662979E-2</v>
      </c>
    </row>
    <row r="159" spans="1:22" s="191" customFormat="1">
      <c r="A159" s="190">
        <v>41411</v>
      </c>
      <c r="B159" s="191">
        <v>875</v>
      </c>
      <c r="C159" s="191">
        <v>16182</v>
      </c>
      <c r="D159" s="191">
        <v>9214</v>
      </c>
      <c r="E159" s="191">
        <v>9164</v>
      </c>
      <c r="F159" s="191">
        <v>3073</v>
      </c>
      <c r="G159" s="191">
        <v>3073</v>
      </c>
      <c r="H159" s="192">
        <f t="shared" si="16"/>
        <v>1</v>
      </c>
      <c r="I159" s="191">
        <v>6092</v>
      </c>
      <c r="J159" s="191">
        <v>5543</v>
      </c>
      <c r="K159" s="192">
        <f t="shared" si="17"/>
        <v>0.90988181221273801</v>
      </c>
      <c r="L159" s="191">
        <v>5542</v>
      </c>
      <c r="M159" s="191">
        <v>8790</v>
      </c>
      <c r="N159" s="192">
        <f t="shared" si="18"/>
        <v>9.7838452787258251E-2</v>
      </c>
      <c r="O159" s="192">
        <f t="shared" si="19"/>
        <v>0.94020078568310783</v>
      </c>
      <c r="P159" s="191">
        <f t="shared" si="20"/>
        <v>13413.75</v>
      </c>
      <c r="Q159"/>
      <c r="R159" s="191">
        <v>0</v>
      </c>
      <c r="S159" s="191">
        <v>860</v>
      </c>
      <c r="T159" s="191">
        <f t="shared" si="21"/>
        <v>50.285714285714221</v>
      </c>
      <c r="U159" s="191">
        <f t="shared" si="23"/>
        <v>910.28571428571422</v>
      </c>
      <c r="V159" s="192">
        <f t="shared" si="22"/>
        <v>9.9814298978644383E-2</v>
      </c>
    </row>
    <row r="160" spans="1:22" s="191" customFormat="1">
      <c r="A160" s="190">
        <v>41418</v>
      </c>
      <c r="B160" s="191">
        <v>863</v>
      </c>
      <c r="C160" s="191">
        <v>16047</v>
      </c>
      <c r="D160" s="191">
        <v>9009</v>
      </c>
      <c r="E160" s="191">
        <v>9079</v>
      </c>
      <c r="F160" s="191">
        <v>3111</v>
      </c>
      <c r="G160" s="191">
        <v>3111</v>
      </c>
      <c r="H160" s="192">
        <f t="shared" si="16"/>
        <v>1</v>
      </c>
      <c r="I160" s="191">
        <v>5968</v>
      </c>
      <c r="J160" s="191">
        <v>5520</v>
      </c>
      <c r="K160" s="192">
        <f t="shared" si="17"/>
        <v>0.92493297587131362</v>
      </c>
      <c r="L160" s="191">
        <v>5516</v>
      </c>
      <c r="M160" s="191">
        <v>8956</v>
      </c>
      <c r="N160" s="192">
        <f t="shared" si="18"/>
        <v>9.6359982134881644E-2</v>
      </c>
      <c r="O160" s="192">
        <f t="shared" si="19"/>
        <v>0.95065535851966076</v>
      </c>
      <c r="P160" s="191">
        <f t="shared" si="20"/>
        <v>13229.79</v>
      </c>
      <c r="Q160"/>
      <c r="R160" s="191">
        <v>27</v>
      </c>
      <c r="S160" s="191">
        <v>863</v>
      </c>
      <c r="T160" s="191">
        <f t="shared" si="21"/>
        <v>46.285714285714221</v>
      </c>
      <c r="U160" s="191">
        <f t="shared" si="23"/>
        <v>909.28571428571422</v>
      </c>
      <c r="V160" s="192">
        <f t="shared" si="22"/>
        <v>9.9988413857026989E-2</v>
      </c>
    </row>
    <row r="161" spans="1:22" s="191" customFormat="1">
      <c r="A161" s="190">
        <v>41425</v>
      </c>
      <c r="B161" s="191">
        <v>885</v>
      </c>
      <c r="C161" s="191">
        <v>16411</v>
      </c>
      <c r="D161" s="191">
        <v>9341</v>
      </c>
      <c r="E161" s="191">
        <v>9195</v>
      </c>
      <c r="F161" s="191">
        <v>2981</v>
      </c>
      <c r="G161" s="191">
        <v>2981</v>
      </c>
      <c r="H161" s="192">
        <f t="shared" si="16"/>
        <v>1</v>
      </c>
      <c r="I161" s="191">
        <v>6214</v>
      </c>
      <c r="J161" s="191">
        <v>5350</v>
      </c>
      <c r="K161" s="192">
        <f t="shared" si="17"/>
        <v>0.86095912455745094</v>
      </c>
      <c r="L161" s="191">
        <v>5347</v>
      </c>
      <c r="M161" s="191">
        <v>8822</v>
      </c>
      <c r="N161" s="192">
        <f t="shared" si="18"/>
        <v>9.4423033325776465E-2</v>
      </c>
      <c r="O161" s="192">
        <f t="shared" si="19"/>
        <v>0.90603588907014687</v>
      </c>
      <c r="P161" s="191">
        <f t="shared" si="20"/>
        <v>13567.05</v>
      </c>
      <c r="Q161"/>
      <c r="R161" s="191">
        <v>0</v>
      </c>
      <c r="S161" s="191">
        <v>833</v>
      </c>
      <c r="T161" s="191">
        <f t="shared" si="21"/>
        <v>0</v>
      </c>
      <c r="U161" s="191">
        <f t="shared" si="23"/>
        <v>833</v>
      </c>
      <c r="V161" s="192">
        <f t="shared" si="22"/>
        <v>9.998799663905894E-2</v>
      </c>
    </row>
    <row r="162" spans="1:22" s="191" customFormat="1">
      <c r="A162" s="190">
        <v>41432</v>
      </c>
      <c r="B162" s="191">
        <v>884</v>
      </c>
      <c r="C162" s="191">
        <v>15992</v>
      </c>
      <c r="D162" s="191">
        <v>9203</v>
      </c>
      <c r="E162" s="191">
        <v>9359</v>
      </c>
      <c r="F162" s="191">
        <v>3170</v>
      </c>
      <c r="G162" s="191">
        <v>3170</v>
      </c>
      <c r="H162" s="192">
        <f t="shared" si="16"/>
        <v>1</v>
      </c>
      <c r="I162" s="191">
        <v>6189</v>
      </c>
      <c r="J162" s="191">
        <v>5481</v>
      </c>
      <c r="K162" s="192">
        <f t="shared" si="17"/>
        <v>0.88560349006301498</v>
      </c>
      <c r="L162" s="191">
        <v>5478</v>
      </c>
      <c r="M162" s="191">
        <v>8648</v>
      </c>
      <c r="N162" s="192">
        <f t="shared" si="18"/>
        <v>9.9676225716928774E-2</v>
      </c>
      <c r="O162" s="192">
        <f t="shared" si="19"/>
        <v>0.92435089218933641</v>
      </c>
      <c r="P162" s="191">
        <f t="shared" si="20"/>
        <v>13551.72</v>
      </c>
      <c r="Q162"/>
      <c r="R162" s="191">
        <v>0</v>
      </c>
      <c r="S162" s="191">
        <v>862</v>
      </c>
      <c r="T162" s="191">
        <f t="shared" si="21"/>
        <v>81.857142857143117</v>
      </c>
      <c r="U162" s="191">
        <f t="shared" si="23"/>
        <v>943.85714285714312</v>
      </c>
      <c r="V162" s="192">
        <f t="shared" si="22"/>
        <v>9.9641659923708242E-2</v>
      </c>
    </row>
    <row r="163" spans="1:22" s="191" customFormat="1">
      <c r="A163" s="190">
        <v>41439</v>
      </c>
      <c r="B163" s="191">
        <v>873</v>
      </c>
      <c r="C163" s="191">
        <v>16450</v>
      </c>
      <c r="D163" s="191">
        <v>9100</v>
      </c>
      <c r="E163" s="191">
        <v>9167</v>
      </c>
      <c r="F163" s="191">
        <v>3080</v>
      </c>
      <c r="G163" s="191">
        <v>3080</v>
      </c>
      <c r="H163" s="192">
        <f t="shared" si="16"/>
        <v>1</v>
      </c>
      <c r="I163" s="191">
        <v>6087</v>
      </c>
      <c r="J163" s="191">
        <v>5436</v>
      </c>
      <c r="K163" s="192">
        <f t="shared" si="17"/>
        <v>0.89305076392311489</v>
      </c>
      <c r="L163" s="191">
        <v>5434</v>
      </c>
      <c r="M163" s="191">
        <v>8840</v>
      </c>
      <c r="N163" s="192">
        <f t="shared" si="18"/>
        <v>9.6040723981900458E-2</v>
      </c>
      <c r="O163" s="192">
        <f t="shared" si="19"/>
        <v>0.92898440056725207</v>
      </c>
      <c r="P163" s="191">
        <f t="shared" si="20"/>
        <v>13383.09</v>
      </c>
      <c r="Q163"/>
      <c r="R163" s="191">
        <v>65</v>
      </c>
      <c r="S163" s="191">
        <v>849</v>
      </c>
      <c r="T163" s="191">
        <f t="shared" si="21"/>
        <v>23.571428571428442</v>
      </c>
      <c r="U163" s="191">
        <f t="shared" si="23"/>
        <v>872.57142857142844</v>
      </c>
      <c r="V163" s="192">
        <f t="shared" si="22"/>
        <v>9.9694692343823388E-2</v>
      </c>
    </row>
    <row r="164" spans="1:22" s="191" customFormat="1">
      <c r="A164" s="190">
        <v>41446</v>
      </c>
      <c r="B164" s="191">
        <v>885</v>
      </c>
      <c r="C164" s="191">
        <v>16293</v>
      </c>
      <c r="D164" s="191">
        <v>9133</v>
      </c>
      <c r="E164" s="191">
        <v>9177</v>
      </c>
      <c r="F164" s="191">
        <v>3105</v>
      </c>
      <c r="G164" s="191">
        <v>3105</v>
      </c>
      <c r="H164" s="192">
        <f t="shared" si="16"/>
        <v>1</v>
      </c>
      <c r="I164" s="191">
        <v>6072</v>
      </c>
      <c r="J164" s="191">
        <v>5540</v>
      </c>
      <c r="K164" s="192">
        <f t="shared" si="17"/>
        <v>0.91238471673254284</v>
      </c>
      <c r="L164" s="191">
        <v>5538</v>
      </c>
      <c r="M164" s="191">
        <v>8894</v>
      </c>
      <c r="N164" s="192">
        <f t="shared" si="18"/>
        <v>9.6469530020238364E-2</v>
      </c>
      <c r="O164" s="192">
        <f t="shared" si="19"/>
        <v>0.94202898550724634</v>
      </c>
      <c r="P164" s="191">
        <f t="shared" si="20"/>
        <v>13567.05</v>
      </c>
      <c r="Q164"/>
      <c r="R164" s="191">
        <v>38</v>
      </c>
      <c r="S164" s="191">
        <v>858</v>
      </c>
      <c r="T164" s="191">
        <f t="shared" si="21"/>
        <v>87.428571428571558</v>
      </c>
      <c r="U164" s="191">
        <f t="shared" si="23"/>
        <v>945.42857142857156</v>
      </c>
      <c r="V164" s="192">
        <f t="shared" si="22"/>
        <v>9.9248120300751877E-2</v>
      </c>
    </row>
    <row r="165" spans="1:22" s="191" customFormat="1">
      <c r="A165" s="190">
        <v>41453</v>
      </c>
      <c r="B165" s="191">
        <v>863</v>
      </c>
      <c r="C165" s="191">
        <v>15445</v>
      </c>
      <c r="D165" s="191">
        <v>9382</v>
      </c>
      <c r="E165" s="191">
        <v>9428</v>
      </c>
      <c r="F165" s="191">
        <v>3143</v>
      </c>
      <c r="G165" s="191">
        <v>3143</v>
      </c>
      <c r="H165" s="192">
        <f t="shared" si="16"/>
        <v>1</v>
      </c>
      <c r="I165" s="191">
        <v>6284</v>
      </c>
      <c r="J165" s="191">
        <v>5711</v>
      </c>
      <c r="K165" s="192">
        <f t="shared" si="17"/>
        <v>0.90881604073838318</v>
      </c>
      <c r="L165" s="191">
        <v>5709</v>
      </c>
      <c r="M165" s="191">
        <v>9294</v>
      </c>
      <c r="N165" s="192">
        <f t="shared" si="18"/>
        <v>9.543791693565741E-2</v>
      </c>
      <c r="O165" s="192">
        <f t="shared" si="19"/>
        <v>0.93911752227407719</v>
      </c>
      <c r="P165" s="191">
        <f t="shared" si="20"/>
        <v>13229.79</v>
      </c>
      <c r="Q165"/>
      <c r="R165" s="191">
        <v>0</v>
      </c>
      <c r="S165" s="191">
        <v>887</v>
      </c>
      <c r="T165" s="191">
        <f t="shared" si="21"/>
        <v>97.142857142856883</v>
      </c>
      <c r="U165" s="191">
        <f t="shared" si="23"/>
        <v>984.14285714285688</v>
      </c>
      <c r="V165" s="192">
        <f t="shared" si="22"/>
        <v>0.10018070928393946</v>
      </c>
    </row>
    <row r="166" spans="1:22" s="191" customFormat="1">
      <c r="A166" s="190">
        <v>41460</v>
      </c>
      <c r="B166" s="191">
        <v>881</v>
      </c>
      <c r="C166" s="191">
        <v>15719</v>
      </c>
      <c r="D166" s="191">
        <v>9586</v>
      </c>
      <c r="E166" s="191">
        <v>9596</v>
      </c>
      <c r="F166" s="191">
        <v>3087</v>
      </c>
      <c r="G166" s="191">
        <v>3087</v>
      </c>
      <c r="H166" s="192">
        <f t="shared" si="16"/>
        <v>1</v>
      </c>
      <c r="I166" s="191">
        <v>6510</v>
      </c>
      <c r="J166" s="191">
        <v>5648</v>
      </c>
      <c r="K166" s="192">
        <f t="shared" si="17"/>
        <v>0.86758832565284183</v>
      </c>
      <c r="L166" s="191">
        <v>5647</v>
      </c>
      <c r="M166" s="191">
        <v>9299</v>
      </c>
      <c r="N166" s="192">
        <f t="shared" si="18"/>
        <v>9.6354446714700503E-2</v>
      </c>
      <c r="O166" s="192">
        <f t="shared" si="19"/>
        <v>0.91027511463109634</v>
      </c>
      <c r="P166" s="191">
        <f t="shared" si="20"/>
        <v>13505.73</v>
      </c>
      <c r="Q166"/>
      <c r="R166" s="191">
        <v>25</v>
      </c>
      <c r="S166" s="191">
        <v>896</v>
      </c>
      <c r="T166" s="191">
        <f t="shared" si="21"/>
        <v>-29.142857142856883</v>
      </c>
      <c r="U166" s="191">
        <f t="shared" si="23"/>
        <v>866.85714285714312</v>
      </c>
      <c r="V166" s="192">
        <f t="shared" si="22"/>
        <v>0.10257584430452203</v>
      </c>
    </row>
    <row r="167" spans="1:22" s="191" customFormat="1">
      <c r="A167" s="190">
        <v>41467</v>
      </c>
      <c r="B167" s="191">
        <v>876</v>
      </c>
      <c r="C167" s="191">
        <v>16578</v>
      </c>
      <c r="D167" s="191">
        <v>9047</v>
      </c>
      <c r="E167" s="191">
        <v>8967</v>
      </c>
      <c r="F167" s="191">
        <v>2984</v>
      </c>
      <c r="G167" s="191">
        <v>2984</v>
      </c>
      <c r="H167" s="192">
        <f t="shared" si="16"/>
        <v>1</v>
      </c>
      <c r="I167" s="191">
        <v>5983</v>
      </c>
      <c r="J167" s="191">
        <v>5320</v>
      </c>
      <c r="K167" s="192">
        <f t="shared" si="17"/>
        <v>0.88918602707671734</v>
      </c>
      <c r="L167" s="191">
        <v>5318</v>
      </c>
      <c r="M167" s="191">
        <v>8729</v>
      </c>
      <c r="N167" s="192">
        <f t="shared" si="18"/>
        <v>9.4856226371863903E-2</v>
      </c>
      <c r="O167" s="192">
        <f t="shared" si="19"/>
        <v>0.92606222816995654</v>
      </c>
      <c r="P167" s="191">
        <f t="shared" si="20"/>
        <v>13429.08</v>
      </c>
      <c r="Q167"/>
      <c r="R167" s="191">
        <v>50</v>
      </c>
      <c r="S167" s="191">
        <v>828</v>
      </c>
      <c r="T167" s="191">
        <f t="shared" si="21"/>
        <v>-24.714285714285779</v>
      </c>
      <c r="U167" s="191">
        <f t="shared" si="23"/>
        <v>803.28571428571422</v>
      </c>
      <c r="V167" s="192">
        <f t="shared" si="22"/>
        <v>9.9710982658959543E-2</v>
      </c>
    </row>
    <row r="168" spans="1:22" s="191" customFormat="1">
      <c r="A168" s="190">
        <v>41474</v>
      </c>
      <c r="B168" s="191">
        <v>853</v>
      </c>
      <c r="C168" s="191">
        <v>17257</v>
      </c>
      <c r="D168" s="191">
        <v>9213</v>
      </c>
      <c r="E168" s="191">
        <v>9287</v>
      </c>
      <c r="F168" s="191">
        <v>3047</v>
      </c>
      <c r="G168" s="191">
        <v>3047</v>
      </c>
      <c r="H168" s="192">
        <f t="shared" si="16"/>
        <v>1</v>
      </c>
      <c r="I168" s="191">
        <v>6240</v>
      </c>
      <c r="J168" s="191">
        <v>5458</v>
      </c>
      <c r="K168" s="192">
        <f t="shared" si="17"/>
        <v>0.87467948717948718</v>
      </c>
      <c r="L168" s="191">
        <v>5456</v>
      </c>
      <c r="M168" s="191">
        <v>8982</v>
      </c>
      <c r="N168" s="192">
        <f t="shared" si="18"/>
        <v>9.46337118681808E-2</v>
      </c>
      <c r="O168" s="192">
        <f t="shared" si="19"/>
        <v>0.91579627436201139</v>
      </c>
      <c r="P168" s="191">
        <f t="shared" si="20"/>
        <v>13076.49</v>
      </c>
      <c r="Q168"/>
      <c r="R168" s="191">
        <v>41</v>
      </c>
      <c r="S168" s="191">
        <v>850</v>
      </c>
      <c r="T168" s="191">
        <f t="shared" si="21"/>
        <v>-53</v>
      </c>
      <c r="U168" s="191">
        <f t="shared" si="23"/>
        <v>797</v>
      </c>
      <c r="V168" s="192">
        <f t="shared" si="22"/>
        <v>9.9941211052322163E-2</v>
      </c>
    </row>
    <row r="169" spans="1:22" s="191" customFormat="1">
      <c r="A169" s="190">
        <v>41481</v>
      </c>
      <c r="B169" s="191">
        <v>832</v>
      </c>
      <c r="C169" s="191">
        <v>16453</v>
      </c>
      <c r="D169" s="191">
        <v>9504</v>
      </c>
      <c r="E169" s="191">
        <v>9215</v>
      </c>
      <c r="F169" s="191">
        <v>3090</v>
      </c>
      <c r="G169" s="191">
        <v>3090</v>
      </c>
      <c r="H169" s="192">
        <f t="shared" si="16"/>
        <v>1</v>
      </c>
      <c r="I169" s="191">
        <v>6125</v>
      </c>
      <c r="J169" s="191">
        <v>5542</v>
      </c>
      <c r="K169" s="192">
        <f t="shared" si="17"/>
        <v>0.90481632653061228</v>
      </c>
      <c r="L169" s="191">
        <v>5539</v>
      </c>
      <c r="M169" s="191">
        <v>9147</v>
      </c>
      <c r="N169" s="192">
        <f t="shared" si="18"/>
        <v>9.3801246310265665E-2</v>
      </c>
      <c r="O169" s="192">
        <f t="shared" si="19"/>
        <v>0.93673358654367878</v>
      </c>
      <c r="P169" s="191">
        <f t="shared" si="20"/>
        <v>12754.56</v>
      </c>
      <c r="Q169"/>
      <c r="R169" s="191">
        <v>13</v>
      </c>
      <c r="S169" s="191">
        <v>858</v>
      </c>
      <c r="T169" s="191">
        <f t="shared" si="21"/>
        <v>101.85714285714266</v>
      </c>
      <c r="U169" s="191">
        <f t="shared" si="23"/>
        <v>959.85714285714266</v>
      </c>
      <c r="V169" s="192">
        <f t="shared" si="22"/>
        <v>9.9397590361445784E-2</v>
      </c>
    </row>
    <row r="170" spans="1:22" s="191" customFormat="1">
      <c r="A170" s="190">
        <v>41488</v>
      </c>
      <c r="B170" s="191">
        <v>853</v>
      </c>
      <c r="C170" s="191">
        <v>16716</v>
      </c>
      <c r="D170" s="191">
        <v>9552</v>
      </c>
      <c r="E170" s="191">
        <v>9316</v>
      </c>
      <c r="F170" s="191">
        <v>3066</v>
      </c>
      <c r="G170" s="191">
        <v>3066</v>
      </c>
      <c r="H170" s="192">
        <f t="shared" si="16"/>
        <v>1</v>
      </c>
      <c r="I170" s="191">
        <v>6250</v>
      </c>
      <c r="J170" s="191">
        <v>5571</v>
      </c>
      <c r="K170" s="192">
        <f t="shared" si="17"/>
        <v>0.89136000000000004</v>
      </c>
      <c r="L170" s="191">
        <v>5568</v>
      </c>
      <c r="M170" s="191">
        <v>9246</v>
      </c>
      <c r="N170" s="192">
        <f t="shared" si="18"/>
        <v>9.3553969284014715E-2</v>
      </c>
      <c r="O170" s="192">
        <f t="shared" si="19"/>
        <v>0.92711464147702882</v>
      </c>
      <c r="P170" s="191">
        <f t="shared" si="20"/>
        <v>13076.49</v>
      </c>
      <c r="Q170"/>
      <c r="R170" s="191">
        <v>56</v>
      </c>
      <c r="S170" s="191">
        <v>865</v>
      </c>
      <c r="T170" s="191">
        <f t="shared" si="21"/>
        <v>6.4285714285715585</v>
      </c>
      <c r="U170" s="191">
        <f t="shared" si="23"/>
        <v>871.42857142857156</v>
      </c>
      <c r="V170" s="192">
        <f t="shared" si="22"/>
        <v>0.10015051522519393</v>
      </c>
    </row>
    <row r="171" spans="1:22" s="191" customFormat="1">
      <c r="A171" s="190">
        <v>41495</v>
      </c>
      <c r="B171" s="191">
        <v>857</v>
      </c>
      <c r="C171" s="191">
        <v>16425</v>
      </c>
      <c r="D171" s="191">
        <v>9072</v>
      </c>
      <c r="E171" s="191">
        <v>9081</v>
      </c>
      <c r="F171" s="191">
        <v>3071</v>
      </c>
      <c r="G171" s="191">
        <v>3071</v>
      </c>
      <c r="H171" s="192">
        <f t="shared" si="16"/>
        <v>1</v>
      </c>
      <c r="I171" s="191">
        <v>6010</v>
      </c>
      <c r="J171" s="191">
        <v>5478</v>
      </c>
      <c r="K171" s="192">
        <f t="shared" si="17"/>
        <v>0.91148086522462557</v>
      </c>
      <c r="L171" s="191">
        <v>5476</v>
      </c>
      <c r="M171" s="191">
        <v>9190</v>
      </c>
      <c r="N171" s="192">
        <f t="shared" si="18"/>
        <v>9.3253536452665944E-2</v>
      </c>
      <c r="O171" s="192">
        <f t="shared" si="19"/>
        <v>0.94141614359652026</v>
      </c>
      <c r="P171" s="191">
        <f t="shared" si="20"/>
        <v>13137.81</v>
      </c>
      <c r="Q171"/>
      <c r="R171" s="191">
        <v>36</v>
      </c>
      <c r="S171" s="191">
        <v>857</v>
      </c>
      <c r="T171" s="191">
        <f t="shared" si="21"/>
        <v>77.571428571428442</v>
      </c>
      <c r="U171" s="191">
        <f t="shared" si="23"/>
        <v>934.57142857142844</v>
      </c>
      <c r="V171" s="192">
        <f t="shared" si="22"/>
        <v>0.1002456427652357</v>
      </c>
    </row>
    <row r="172" spans="1:22" s="191" customFormat="1">
      <c r="A172" s="190">
        <v>41502</v>
      </c>
      <c r="B172" s="191">
        <v>844</v>
      </c>
      <c r="C172" s="191">
        <v>16482</v>
      </c>
      <c r="D172" s="191">
        <v>9436</v>
      </c>
      <c r="E172" s="191">
        <v>9269</v>
      </c>
      <c r="F172" s="191">
        <v>3092</v>
      </c>
      <c r="G172" s="191">
        <v>3092</v>
      </c>
      <c r="H172" s="192">
        <f t="shared" si="16"/>
        <v>1</v>
      </c>
      <c r="I172" s="191">
        <v>6177</v>
      </c>
      <c r="J172" s="191">
        <v>5560</v>
      </c>
      <c r="K172" s="192">
        <f t="shared" si="17"/>
        <v>0.90011332361988017</v>
      </c>
      <c r="L172" s="191">
        <v>5558</v>
      </c>
      <c r="M172" s="191">
        <v>9200</v>
      </c>
      <c r="N172" s="192">
        <f t="shared" si="18"/>
        <v>9.4347826086956521E-2</v>
      </c>
      <c r="O172" s="192">
        <f t="shared" si="19"/>
        <v>0.93343402740317183</v>
      </c>
      <c r="P172" s="191">
        <f t="shared" si="20"/>
        <v>12938.52</v>
      </c>
      <c r="Q172"/>
      <c r="R172" s="191">
        <v>19</v>
      </c>
      <c r="S172" s="191">
        <v>868</v>
      </c>
      <c r="T172" s="191">
        <f t="shared" si="21"/>
        <v>-13.142857142856883</v>
      </c>
      <c r="U172" s="191">
        <f t="shared" si="23"/>
        <v>854.85714285714312</v>
      </c>
      <c r="V172" s="192">
        <f t="shared" si="22"/>
        <v>0.10032362459546926</v>
      </c>
    </row>
    <row r="173" spans="1:22" s="191" customFormat="1">
      <c r="A173" s="190">
        <v>41509</v>
      </c>
      <c r="B173" s="191">
        <v>820</v>
      </c>
      <c r="C173" s="191">
        <v>16250</v>
      </c>
      <c r="D173" s="191">
        <v>9403</v>
      </c>
      <c r="E173" s="191">
        <v>9218</v>
      </c>
      <c r="F173" s="191">
        <v>3098</v>
      </c>
      <c r="G173" s="191">
        <v>3098</v>
      </c>
      <c r="H173" s="192">
        <f t="shared" si="16"/>
        <v>1</v>
      </c>
      <c r="I173" s="191">
        <v>6120</v>
      </c>
      <c r="J173" s="191">
        <v>5562</v>
      </c>
      <c r="K173" s="192">
        <f t="shared" si="17"/>
        <v>0.9088235294117647</v>
      </c>
      <c r="L173" s="191">
        <v>5560</v>
      </c>
      <c r="M173" s="191">
        <v>9031</v>
      </c>
      <c r="N173" s="192">
        <f t="shared" si="18"/>
        <v>9.6002657513010736E-2</v>
      </c>
      <c r="O173" s="192">
        <f t="shared" si="19"/>
        <v>0.93946626166196567</v>
      </c>
      <c r="P173" s="191">
        <f t="shared" si="20"/>
        <v>12570.6</v>
      </c>
      <c r="Q173"/>
      <c r="R173" s="191">
        <v>4</v>
      </c>
      <c r="S173" s="191">
        <v>867</v>
      </c>
      <c r="T173" s="191">
        <f t="shared" si="21"/>
        <v>-9.857142857143117</v>
      </c>
      <c r="U173" s="191">
        <f t="shared" si="23"/>
        <v>857.14285714285688</v>
      </c>
      <c r="V173" s="192">
        <f t="shared" si="22"/>
        <v>0.10011547344110855</v>
      </c>
    </row>
    <row r="174" spans="1:22" s="191" customFormat="1">
      <c r="A174" s="190">
        <v>41516</v>
      </c>
      <c r="B174" s="191">
        <v>819</v>
      </c>
      <c r="C174" s="191">
        <v>16216</v>
      </c>
      <c r="D174" s="191">
        <v>9065</v>
      </c>
      <c r="E174" s="191">
        <v>9224</v>
      </c>
      <c r="F174" s="191">
        <v>3097</v>
      </c>
      <c r="G174" s="191">
        <v>3097</v>
      </c>
      <c r="H174" s="192">
        <f t="shared" si="16"/>
        <v>1</v>
      </c>
      <c r="I174" s="191">
        <v>6127</v>
      </c>
      <c r="J174" s="191">
        <v>5510</v>
      </c>
      <c r="K174" s="192">
        <f t="shared" si="17"/>
        <v>0.89929818834666231</v>
      </c>
      <c r="L174" s="191">
        <v>5507</v>
      </c>
      <c r="M174" s="191">
        <v>9094</v>
      </c>
      <c r="N174" s="192">
        <f t="shared" si="18"/>
        <v>9.4677809544754785E-2</v>
      </c>
      <c r="O174" s="192">
        <f t="shared" si="19"/>
        <v>0.93310928013876848</v>
      </c>
      <c r="P174" s="191">
        <f t="shared" si="20"/>
        <v>12555.27</v>
      </c>
      <c r="Q174"/>
      <c r="R174" s="191">
        <v>37</v>
      </c>
      <c r="S174" s="191">
        <v>861</v>
      </c>
      <c r="T174" s="191">
        <f t="shared" si="21"/>
        <v>-0.142857142856883</v>
      </c>
      <c r="U174" s="191">
        <f t="shared" si="23"/>
        <v>860.85714285714312</v>
      </c>
      <c r="V174" s="192">
        <f t="shared" si="22"/>
        <v>0.10003485535029627</v>
      </c>
    </row>
    <row r="175" spans="1:22" s="191" customFormat="1">
      <c r="A175" s="190">
        <v>41523</v>
      </c>
      <c r="B175" s="191">
        <v>848</v>
      </c>
      <c r="C175" s="191">
        <v>16269</v>
      </c>
      <c r="D175" s="191">
        <v>9069</v>
      </c>
      <c r="E175" s="191">
        <v>8916</v>
      </c>
      <c r="F175" s="191">
        <v>2919</v>
      </c>
      <c r="G175" s="191">
        <v>2919</v>
      </c>
      <c r="H175" s="192">
        <f t="shared" si="16"/>
        <v>1</v>
      </c>
      <c r="I175" s="191">
        <v>5997</v>
      </c>
      <c r="J175" s="191">
        <v>5395</v>
      </c>
      <c r="K175" s="192">
        <f t="shared" si="17"/>
        <v>0.89961647490411878</v>
      </c>
      <c r="L175" s="191">
        <v>5392</v>
      </c>
      <c r="M175" s="191">
        <v>8605</v>
      </c>
      <c r="N175" s="192">
        <f t="shared" si="18"/>
        <v>9.6920395119116792E-2</v>
      </c>
      <c r="O175" s="192">
        <f t="shared" si="19"/>
        <v>0.9324809331538807</v>
      </c>
      <c r="P175" s="191">
        <f t="shared" si="20"/>
        <v>12999.84</v>
      </c>
      <c r="Q175"/>
      <c r="R175" s="191">
        <v>15</v>
      </c>
      <c r="S175" s="191">
        <v>834</v>
      </c>
      <c r="T175" s="191">
        <f t="shared" si="21"/>
        <v>21.428571428571104</v>
      </c>
      <c r="U175" s="191">
        <f t="shared" si="23"/>
        <v>855.4285714285711</v>
      </c>
      <c r="V175" s="192">
        <f t="shared" si="22"/>
        <v>0.10031272552321385</v>
      </c>
    </row>
    <row r="176" spans="1:22" s="191" customFormat="1">
      <c r="A176" s="190">
        <v>41530</v>
      </c>
      <c r="B176" s="191">
        <v>838</v>
      </c>
      <c r="C176" s="191">
        <v>16178</v>
      </c>
      <c r="D176" s="191">
        <v>9288</v>
      </c>
      <c r="E176" s="191">
        <v>9031</v>
      </c>
      <c r="F176" s="191">
        <v>3024</v>
      </c>
      <c r="G176" s="191">
        <v>3024</v>
      </c>
      <c r="H176" s="192">
        <f t="shared" si="16"/>
        <v>1</v>
      </c>
      <c r="I176" s="191">
        <v>6006</v>
      </c>
      <c r="J176" s="191">
        <v>5404</v>
      </c>
      <c r="K176" s="192">
        <f t="shared" si="17"/>
        <v>0.89976689976689972</v>
      </c>
      <c r="L176" s="191">
        <v>5402</v>
      </c>
      <c r="M176" s="191">
        <v>9028</v>
      </c>
      <c r="N176" s="192">
        <f t="shared" si="18"/>
        <v>9.3265396544085069E-2</v>
      </c>
      <c r="O176" s="192">
        <f t="shared" si="19"/>
        <v>0.93322998560513781</v>
      </c>
      <c r="P176" s="191">
        <f t="shared" si="20"/>
        <v>12846.54</v>
      </c>
      <c r="Q176"/>
      <c r="R176" s="191">
        <v>3</v>
      </c>
      <c r="S176" s="191">
        <v>842</v>
      </c>
      <c r="T176" s="191">
        <f t="shared" si="21"/>
        <v>12</v>
      </c>
      <c r="U176" s="191">
        <f t="shared" si="23"/>
        <v>854</v>
      </c>
      <c r="V176" s="192">
        <f t="shared" si="22"/>
        <v>9.9905078310393927E-2</v>
      </c>
    </row>
    <row r="177" spans="1:22" s="191" customFormat="1">
      <c r="A177" s="190">
        <v>41537</v>
      </c>
      <c r="B177" s="191">
        <v>832</v>
      </c>
      <c r="C177" s="191">
        <v>15613</v>
      </c>
      <c r="D177" s="191">
        <v>9030</v>
      </c>
      <c r="E177" s="191">
        <v>8965</v>
      </c>
      <c r="F177" s="191">
        <v>3049</v>
      </c>
      <c r="G177" s="191">
        <v>3049</v>
      </c>
      <c r="H177" s="192">
        <f t="shared" si="16"/>
        <v>1</v>
      </c>
      <c r="I177" s="191">
        <v>5917</v>
      </c>
      <c r="J177" s="191">
        <v>5440</v>
      </c>
      <c r="K177" s="192">
        <f t="shared" si="17"/>
        <v>0.91938482339023153</v>
      </c>
      <c r="L177" s="191">
        <v>5438</v>
      </c>
      <c r="M177" s="191">
        <v>8846</v>
      </c>
      <c r="N177" s="192">
        <f t="shared" si="18"/>
        <v>9.631471851684377E-2</v>
      </c>
      <c r="O177" s="192">
        <f t="shared" si="19"/>
        <v>0.94690462911321804</v>
      </c>
      <c r="P177" s="191">
        <f t="shared" si="20"/>
        <v>12754.56</v>
      </c>
      <c r="Q177"/>
      <c r="R177" s="191">
        <v>48</v>
      </c>
      <c r="S177" s="191">
        <v>852</v>
      </c>
      <c r="T177" s="191">
        <f t="shared" si="21"/>
        <v>108.71428571428578</v>
      </c>
      <c r="U177" s="191">
        <f t="shared" si="23"/>
        <v>960.71428571428578</v>
      </c>
      <c r="V177" s="192">
        <f t="shared" si="22"/>
        <v>0.10036517846625044</v>
      </c>
    </row>
    <row r="178" spans="1:22" s="191" customFormat="1">
      <c r="A178" s="190">
        <v>41544</v>
      </c>
      <c r="B178" s="191">
        <v>875</v>
      </c>
      <c r="C178" s="191">
        <v>15509</v>
      </c>
      <c r="D178" s="191">
        <v>8929</v>
      </c>
      <c r="E178" s="191">
        <v>8915</v>
      </c>
      <c r="F178" s="191">
        <v>3028</v>
      </c>
      <c r="G178" s="191">
        <v>3028</v>
      </c>
      <c r="H178" s="192">
        <f t="shared" si="16"/>
        <v>1</v>
      </c>
      <c r="I178" s="191">
        <v>5887</v>
      </c>
      <c r="J178" s="191">
        <v>5415</v>
      </c>
      <c r="K178" s="192">
        <f t="shared" si="17"/>
        <v>0.91982333956174622</v>
      </c>
      <c r="L178" s="191">
        <v>5413</v>
      </c>
      <c r="M178" s="191">
        <v>8527</v>
      </c>
      <c r="N178" s="192">
        <f t="shared" si="18"/>
        <v>9.9214260584027214E-2</v>
      </c>
      <c r="O178" s="192">
        <f t="shared" si="19"/>
        <v>0.94705552439708351</v>
      </c>
      <c r="P178" s="191">
        <f t="shared" si="20"/>
        <v>13413.75</v>
      </c>
      <c r="Q178"/>
      <c r="R178" s="191">
        <v>14</v>
      </c>
      <c r="S178" s="191">
        <v>846</v>
      </c>
      <c r="T178" s="191">
        <f t="shared" si="21"/>
        <v>57.857142857143117</v>
      </c>
      <c r="U178" s="191">
        <f t="shared" si="23"/>
        <v>903.85714285714312</v>
      </c>
      <c r="V178" s="192">
        <f t="shared" si="22"/>
        <v>0.10020135023096056</v>
      </c>
    </row>
    <row r="179" spans="1:22" s="191" customFormat="1">
      <c r="A179" s="190">
        <v>41551</v>
      </c>
      <c r="B179" s="191">
        <v>868</v>
      </c>
      <c r="C179" s="191">
        <v>15390</v>
      </c>
      <c r="D179" s="191">
        <v>9249</v>
      </c>
      <c r="E179" s="191">
        <v>8959</v>
      </c>
      <c r="F179" s="191">
        <v>3082</v>
      </c>
      <c r="G179" s="191">
        <v>3082</v>
      </c>
      <c r="H179" s="192">
        <f t="shared" si="16"/>
        <v>1</v>
      </c>
      <c r="I179" s="191">
        <v>5876</v>
      </c>
      <c r="J179" s="191">
        <v>5573</v>
      </c>
      <c r="K179" s="192">
        <f t="shared" si="17"/>
        <v>0.94843430905377812</v>
      </c>
      <c r="L179" s="191">
        <v>5571</v>
      </c>
      <c r="M179" s="191">
        <v>8846</v>
      </c>
      <c r="N179" s="192">
        <f t="shared" si="18"/>
        <v>9.8123445625141303E-2</v>
      </c>
      <c r="O179" s="192">
        <f t="shared" si="19"/>
        <v>0.96606764147784352</v>
      </c>
      <c r="P179" s="191">
        <f t="shared" si="20"/>
        <v>13306.44</v>
      </c>
      <c r="Q179"/>
      <c r="R179" s="191">
        <v>0</v>
      </c>
      <c r="S179" s="191">
        <v>868</v>
      </c>
      <c r="T179" s="191">
        <f t="shared" si="21"/>
        <v>17</v>
      </c>
      <c r="U179" s="191">
        <f t="shared" si="23"/>
        <v>885</v>
      </c>
      <c r="V179" s="192">
        <f t="shared" si="22"/>
        <v>0.10028885037550549</v>
      </c>
    </row>
    <row r="180" spans="1:22" s="191" customFormat="1">
      <c r="A180" s="190">
        <v>41558</v>
      </c>
      <c r="B180" s="191">
        <v>869</v>
      </c>
      <c r="C180" s="191">
        <v>15419</v>
      </c>
      <c r="D180" s="191">
        <v>9335</v>
      </c>
      <c r="E180" s="191">
        <v>9054</v>
      </c>
      <c r="F180" s="191">
        <v>3066</v>
      </c>
      <c r="G180" s="191">
        <v>3066</v>
      </c>
      <c r="H180" s="192">
        <f t="shared" si="16"/>
        <v>1</v>
      </c>
      <c r="I180" s="191">
        <v>5988</v>
      </c>
      <c r="J180" s="191">
        <v>5524</v>
      </c>
      <c r="K180" s="192">
        <f t="shared" si="17"/>
        <v>0.92251169004676015</v>
      </c>
      <c r="L180" s="191">
        <v>5522</v>
      </c>
      <c r="M180" s="191">
        <v>9077</v>
      </c>
      <c r="N180" s="192">
        <f t="shared" si="18"/>
        <v>9.441445411479564E-2</v>
      </c>
      <c r="O180" s="192">
        <f t="shared" si="19"/>
        <v>0.94875193284736026</v>
      </c>
      <c r="P180" s="191">
        <f t="shared" si="20"/>
        <v>13321.77</v>
      </c>
      <c r="Q180"/>
      <c r="R180" s="191">
        <v>0</v>
      </c>
      <c r="S180" s="191">
        <v>857</v>
      </c>
      <c r="T180" s="191">
        <f t="shared" si="21"/>
        <v>7.8571428571426623</v>
      </c>
      <c r="U180" s="191">
        <f t="shared" si="23"/>
        <v>864.85714285714266</v>
      </c>
      <c r="V180" s="192">
        <f t="shared" si="22"/>
        <v>9.9767171129220025E-2</v>
      </c>
    </row>
    <row r="181" spans="1:22" s="191" customFormat="1">
      <c r="A181" s="190">
        <v>41565</v>
      </c>
      <c r="B181" s="191">
        <v>897</v>
      </c>
      <c r="C181" s="191">
        <v>15499</v>
      </c>
      <c r="D181" s="191">
        <v>9130</v>
      </c>
      <c r="E181" s="191">
        <v>8906</v>
      </c>
      <c r="F181" s="191">
        <v>3007</v>
      </c>
      <c r="G181" s="191">
        <v>3007</v>
      </c>
      <c r="H181" s="192">
        <f t="shared" si="16"/>
        <v>1</v>
      </c>
      <c r="I181" s="191">
        <v>5899</v>
      </c>
      <c r="J181" s="191">
        <v>5508</v>
      </c>
      <c r="K181" s="192">
        <f t="shared" si="17"/>
        <v>0.93371757925072041</v>
      </c>
      <c r="L181" s="191">
        <v>5506</v>
      </c>
      <c r="M181" s="191">
        <v>8797</v>
      </c>
      <c r="N181" s="192">
        <f t="shared" si="18"/>
        <v>9.6737524155962262E-2</v>
      </c>
      <c r="O181" s="192">
        <f t="shared" si="19"/>
        <v>0.9560970132494947</v>
      </c>
      <c r="P181" s="191">
        <f t="shared" si="20"/>
        <v>13751.01</v>
      </c>
      <c r="Q181"/>
      <c r="R181" s="191">
        <v>0</v>
      </c>
      <c r="S181" s="191">
        <v>851</v>
      </c>
      <c r="T181" s="191">
        <f t="shared" si="21"/>
        <v>34.571428571428442</v>
      </c>
      <c r="U181" s="191">
        <f t="shared" si="23"/>
        <v>885.57142857142844</v>
      </c>
      <c r="V181" s="192">
        <f t="shared" si="22"/>
        <v>9.9941280093951854E-2</v>
      </c>
    </row>
    <row r="182" spans="1:22" s="191" customFormat="1">
      <c r="A182" s="190">
        <v>41572</v>
      </c>
      <c r="B182" s="191">
        <v>911</v>
      </c>
      <c r="C182" s="191">
        <v>14961</v>
      </c>
      <c r="D182" s="191">
        <v>9434</v>
      </c>
      <c r="E182" s="191">
        <v>9068</v>
      </c>
      <c r="F182" s="191">
        <v>3059</v>
      </c>
      <c r="G182" s="191">
        <v>3059</v>
      </c>
      <c r="H182" s="192">
        <f t="shared" si="16"/>
        <v>1</v>
      </c>
      <c r="I182" s="191">
        <v>6009</v>
      </c>
      <c r="J182" s="191">
        <v>5588</v>
      </c>
      <c r="K182" s="192">
        <f t="shared" si="17"/>
        <v>0.92993842569479113</v>
      </c>
      <c r="L182" s="191">
        <v>5586</v>
      </c>
      <c r="M182" s="191">
        <v>9054</v>
      </c>
      <c r="N182" s="192">
        <f t="shared" si="18"/>
        <v>9.6090125911199475E-2</v>
      </c>
      <c r="O182" s="192">
        <f t="shared" si="19"/>
        <v>0.95357300397000444</v>
      </c>
      <c r="P182" s="191">
        <f t="shared" si="20"/>
        <v>13965.63</v>
      </c>
      <c r="Q182"/>
      <c r="R182" s="191">
        <v>0</v>
      </c>
      <c r="S182" s="191">
        <v>870</v>
      </c>
      <c r="T182" s="191">
        <f t="shared" si="21"/>
        <v>117.85714285714312</v>
      </c>
      <c r="U182" s="191">
        <f t="shared" si="23"/>
        <v>987.85714285714312</v>
      </c>
      <c r="V182" s="192">
        <f t="shared" si="22"/>
        <v>0.10061292933965538</v>
      </c>
    </row>
    <row r="183" spans="1:22" s="191" customFormat="1">
      <c r="A183" s="190">
        <v>41579</v>
      </c>
      <c r="B183" s="191">
        <v>902</v>
      </c>
      <c r="C183" s="191">
        <v>15165</v>
      </c>
      <c r="D183" s="191">
        <v>8352</v>
      </c>
      <c r="E183" s="191">
        <v>9136</v>
      </c>
      <c r="F183" s="191">
        <v>3058</v>
      </c>
      <c r="G183" s="191">
        <v>3058</v>
      </c>
      <c r="H183" s="192">
        <f t="shared" si="16"/>
        <v>1</v>
      </c>
      <c r="I183" s="191">
        <v>6078</v>
      </c>
      <c r="J183" s="191">
        <v>5536</v>
      </c>
      <c r="K183" s="192">
        <f t="shared" si="17"/>
        <v>0.9108259295820994</v>
      </c>
      <c r="L183" s="191">
        <v>5534</v>
      </c>
      <c r="M183" s="191">
        <v>9292</v>
      </c>
      <c r="N183" s="192">
        <f t="shared" si="18"/>
        <v>9.2445114076625048E-2</v>
      </c>
      <c r="O183" s="192">
        <f t="shared" si="19"/>
        <v>0.94067425569176888</v>
      </c>
      <c r="P183" s="191">
        <f t="shared" si="20"/>
        <v>13827.66</v>
      </c>
      <c r="Q183"/>
      <c r="R183" s="191">
        <v>0</v>
      </c>
      <c r="S183" s="191">
        <v>859</v>
      </c>
      <c r="T183" s="191">
        <f t="shared" si="21"/>
        <v>13.857142857142662</v>
      </c>
      <c r="U183" s="191">
        <f t="shared" si="23"/>
        <v>872.85714285714266</v>
      </c>
      <c r="V183" s="192">
        <f t="shared" si="22"/>
        <v>9.9953455899464749E-2</v>
      </c>
    </row>
    <row r="184" spans="1:22" s="191" customFormat="1">
      <c r="A184" s="190">
        <v>41586</v>
      </c>
      <c r="B184" s="191">
        <v>927</v>
      </c>
      <c r="C184" s="191">
        <v>15153</v>
      </c>
      <c r="D184" s="191">
        <v>9434</v>
      </c>
      <c r="E184" s="191">
        <v>9496</v>
      </c>
      <c r="F184" s="191">
        <v>3098</v>
      </c>
      <c r="G184" s="191">
        <v>3098</v>
      </c>
      <c r="H184" s="192">
        <f t="shared" si="16"/>
        <v>1</v>
      </c>
      <c r="I184" s="191">
        <v>6398</v>
      </c>
      <c r="J184" s="191">
        <v>5584</v>
      </c>
      <c r="K184" s="192">
        <f t="shared" si="17"/>
        <v>0.87277274148171302</v>
      </c>
      <c r="L184" s="191">
        <v>5581</v>
      </c>
      <c r="M184" s="191">
        <v>9032</v>
      </c>
      <c r="N184" s="192">
        <f t="shared" si="18"/>
        <v>9.676705048715678E-2</v>
      </c>
      <c r="O184" s="192">
        <f t="shared" si="19"/>
        <v>0.91427969671440612</v>
      </c>
      <c r="P184" s="191">
        <f t="shared" si="20"/>
        <v>14210.91</v>
      </c>
      <c r="Q184"/>
      <c r="R184" s="191">
        <v>0</v>
      </c>
      <c r="S184" s="191">
        <v>874</v>
      </c>
      <c r="T184" s="191">
        <f t="shared" si="21"/>
        <v>54.714285714285779</v>
      </c>
      <c r="U184" s="191">
        <f t="shared" si="23"/>
        <v>928.71428571428578</v>
      </c>
      <c r="V184" s="192">
        <f t="shared" si="22"/>
        <v>0.10066804883667357</v>
      </c>
    </row>
    <row r="185" spans="1:22" s="191" customFormat="1">
      <c r="A185" s="190">
        <v>41593</v>
      </c>
      <c r="B185" s="191">
        <v>904</v>
      </c>
      <c r="C185" s="191">
        <v>15083</v>
      </c>
      <c r="D185" s="191">
        <v>9268</v>
      </c>
      <c r="E185" s="191">
        <v>9552</v>
      </c>
      <c r="F185" s="191">
        <v>3043</v>
      </c>
      <c r="G185" s="191">
        <v>3043</v>
      </c>
      <c r="H185" s="192">
        <f t="shared" si="16"/>
        <v>1</v>
      </c>
      <c r="I185" s="191">
        <v>6510</v>
      </c>
      <c r="J185" s="191">
        <v>5497</v>
      </c>
      <c r="K185" s="192">
        <f t="shared" si="17"/>
        <v>0.84439324116743475</v>
      </c>
      <c r="L185" s="191">
        <v>5496</v>
      </c>
      <c r="M185" s="191">
        <v>8924</v>
      </c>
      <c r="N185" s="192">
        <f t="shared" si="18"/>
        <v>9.5584939489018375E-2</v>
      </c>
      <c r="O185" s="192">
        <f t="shared" si="19"/>
        <v>0.89405360134003353</v>
      </c>
      <c r="P185" s="191">
        <f t="shared" si="20"/>
        <v>13858.32</v>
      </c>
      <c r="Q185"/>
      <c r="R185" s="191">
        <v>0</v>
      </c>
      <c r="S185" s="191">
        <v>853</v>
      </c>
      <c r="T185" s="191">
        <f t="shared" si="21"/>
        <v>61</v>
      </c>
      <c r="U185" s="191">
        <f t="shared" si="23"/>
        <v>914</v>
      </c>
      <c r="V185" s="192">
        <f t="shared" si="22"/>
        <v>9.9882903981264634E-2</v>
      </c>
    </row>
    <row r="186" spans="1:22" s="191" customFormat="1">
      <c r="A186" s="190">
        <v>41600</v>
      </c>
      <c r="B186" s="191">
        <v>927</v>
      </c>
      <c r="C186" s="191">
        <v>15022</v>
      </c>
      <c r="D186" s="191">
        <v>9420</v>
      </c>
      <c r="E186" s="191">
        <v>9421</v>
      </c>
      <c r="F186" s="191">
        <v>3002</v>
      </c>
      <c r="G186" s="191">
        <v>3002</v>
      </c>
      <c r="H186" s="192">
        <f t="shared" si="16"/>
        <v>1</v>
      </c>
      <c r="I186" s="191">
        <v>6420</v>
      </c>
      <c r="J186" s="191">
        <v>5397</v>
      </c>
      <c r="K186" s="192">
        <f t="shared" si="17"/>
        <v>0.84065420560747661</v>
      </c>
      <c r="L186" s="191">
        <v>5395</v>
      </c>
      <c r="M186" s="191">
        <v>8909</v>
      </c>
      <c r="N186" s="192">
        <f t="shared" si="18"/>
        <v>9.3949938264676167E-2</v>
      </c>
      <c r="O186" s="192">
        <f t="shared" si="19"/>
        <v>0.89151894703322365</v>
      </c>
      <c r="P186" s="191">
        <f t="shared" si="20"/>
        <v>14210.91</v>
      </c>
      <c r="Q186"/>
      <c r="R186" s="191">
        <v>0</v>
      </c>
      <c r="S186" s="191">
        <v>837</v>
      </c>
      <c r="T186" s="191">
        <f t="shared" si="21"/>
        <v>98.714285714285779</v>
      </c>
      <c r="U186" s="191">
        <f t="shared" si="23"/>
        <v>935.71428571428578</v>
      </c>
      <c r="V186" s="192">
        <f t="shared" si="22"/>
        <v>9.9654720800095256E-2</v>
      </c>
    </row>
    <row r="187" spans="1:22" s="191" customFormat="1">
      <c r="A187" s="190">
        <v>41607</v>
      </c>
      <c r="B187" s="191">
        <v>913</v>
      </c>
      <c r="C187" s="191">
        <v>15124</v>
      </c>
      <c r="D187" s="191">
        <v>8977</v>
      </c>
      <c r="E187" s="191">
        <v>9387</v>
      </c>
      <c r="F187" s="191">
        <v>2957</v>
      </c>
      <c r="G187" s="191">
        <v>2957</v>
      </c>
      <c r="H187" s="192">
        <f t="shared" si="16"/>
        <v>1</v>
      </c>
      <c r="I187" s="191">
        <v>6430</v>
      </c>
      <c r="J187" s="191">
        <v>5398</v>
      </c>
      <c r="K187" s="192">
        <f t="shared" si="17"/>
        <v>0.83950233281493003</v>
      </c>
      <c r="L187" s="191">
        <v>5396</v>
      </c>
      <c r="M187" s="191">
        <v>8873</v>
      </c>
      <c r="N187" s="192">
        <f t="shared" si="18"/>
        <v>9.4331116871407647E-2</v>
      </c>
      <c r="O187" s="192">
        <f t="shared" si="19"/>
        <v>0.89006072227548738</v>
      </c>
      <c r="P187" s="191">
        <f t="shared" si="20"/>
        <v>13996.29</v>
      </c>
      <c r="Q187"/>
      <c r="R187" s="191">
        <v>0</v>
      </c>
      <c r="S187" s="191">
        <v>837</v>
      </c>
      <c r="T187" s="191">
        <f t="shared" si="21"/>
        <v>61.428571428571558</v>
      </c>
      <c r="U187" s="191">
        <f t="shared" si="23"/>
        <v>898.42857142857156</v>
      </c>
      <c r="V187" s="192">
        <f t="shared" si="22"/>
        <v>0.10017953321364452</v>
      </c>
    </row>
    <row r="188" spans="1:22" s="191" customFormat="1">
      <c r="A188" s="190">
        <v>41614</v>
      </c>
      <c r="B188" s="191">
        <v>944</v>
      </c>
      <c r="C188" s="191">
        <v>15448</v>
      </c>
      <c r="D188" s="191">
        <v>8982</v>
      </c>
      <c r="E188" s="191">
        <v>9428</v>
      </c>
      <c r="F188" s="191">
        <v>2891</v>
      </c>
      <c r="G188" s="191">
        <v>2891</v>
      </c>
      <c r="H188" s="192">
        <f t="shared" si="16"/>
        <v>1</v>
      </c>
      <c r="I188" s="191">
        <v>6537</v>
      </c>
      <c r="J188" s="191">
        <v>5406</v>
      </c>
      <c r="K188" s="192">
        <f t="shared" si="17"/>
        <v>0.82698485543827449</v>
      </c>
      <c r="L188" s="191">
        <v>5404</v>
      </c>
      <c r="M188" s="191">
        <v>8348</v>
      </c>
      <c r="N188" s="192">
        <f t="shared" si="18"/>
        <v>9.8945855294681362E-2</v>
      </c>
      <c r="O188" s="192">
        <f t="shared" si="19"/>
        <v>0.88003818413237167</v>
      </c>
      <c r="P188" s="191">
        <f t="shared" si="20"/>
        <v>14471.52</v>
      </c>
      <c r="Q188"/>
      <c r="R188" s="191">
        <v>0</v>
      </c>
      <c r="S188" s="191">
        <v>826</v>
      </c>
      <c r="T188" s="191">
        <f t="shared" si="21"/>
        <v>71.714285714285779</v>
      </c>
      <c r="U188" s="191">
        <f t="shared" si="23"/>
        <v>897.71428571428578</v>
      </c>
      <c r="V188" s="192">
        <f t="shared" si="22"/>
        <v>9.9554055682776907E-2</v>
      </c>
    </row>
    <row r="189" spans="1:22" s="191" customFormat="1">
      <c r="A189" s="190">
        <v>41621</v>
      </c>
      <c r="B189" s="191">
        <v>928</v>
      </c>
      <c r="C189" s="191">
        <v>15625</v>
      </c>
      <c r="D189" s="191">
        <v>9311</v>
      </c>
      <c r="E189" s="191">
        <v>9376</v>
      </c>
      <c r="F189" s="191">
        <v>2983</v>
      </c>
      <c r="G189" s="191">
        <v>2983</v>
      </c>
      <c r="H189" s="192">
        <f t="shared" si="16"/>
        <v>1</v>
      </c>
      <c r="I189" s="191">
        <v>6393</v>
      </c>
      <c r="J189" s="191">
        <v>5300</v>
      </c>
      <c r="K189" s="192">
        <f t="shared" si="17"/>
        <v>0.82903175348036917</v>
      </c>
      <c r="L189" s="191">
        <v>5299</v>
      </c>
      <c r="M189" s="191">
        <v>9016</v>
      </c>
      <c r="N189" s="192">
        <f t="shared" si="18"/>
        <v>9.1725820763087842E-2</v>
      </c>
      <c r="O189" s="192">
        <f t="shared" si="19"/>
        <v>0.88342576791808869</v>
      </c>
      <c r="P189" s="191">
        <f t="shared" si="20"/>
        <v>14226.24</v>
      </c>
      <c r="Q189"/>
      <c r="R189" s="191">
        <v>0</v>
      </c>
      <c r="S189" s="191">
        <v>827</v>
      </c>
      <c r="T189" s="191">
        <f t="shared" si="21"/>
        <v>75.714285714285325</v>
      </c>
      <c r="U189" s="191">
        <f t="shared" si="23"/>
        <v>902.71428571428532</v>
      </c>
      <c r="V189" s="192">
        <f t="shared" si="22"/>
        <v>9.9843052034287089E-2</v>
      </c>
    </row>
    <row r="190" spans="1:22" s="191" customFormat="1">
      <c r="A190" s="190">
        <v>41628</v>
      </c>
      <c r="B190" s="191">
        <v>926</v>
      </c>
      <c r="C190" s="191">
        <v>15660</v>
      </c>
      <c r="D190" s="191">
        <v>9715</v>
      </c>
      <c r="E190" s="191">
        <v>9916</v>
      </c>
      <c r="F190" s="191">
        <v>3163</v>
      </c>
      <c r="G190" s="191">
        <v>3163</v>
      </c>
      <c r="H190" s="192">
        <f t="shared" si="16"/>
        <v>1</v>
      </c>
      <c r="I190" s="191">
        <v>6752</v>
      </c>
      <c r="J190" s="191">
        <v>5693</v>
      </c>
      <c r="K190" s="192">
        <f t="shared" si="17"/>
        <v>0.84315758293838861</v>
      </c>
      <c r="L190" s="191">
        <v>5691</v>
      </c>
      <c r="M190" s="191">
        <v>9176</v>
      </c>
      <c r="N190" s="192">
        <f t="shared" si="18"/>
        <v>9.54664341761116E-2</v>
      </c>
      <c r="O190" s="192">
        <f t="shared" si="19"/>
        <v>0.89310205728116177</v>
      </c>
      <c r="P190" s="191">
        <f t="shared" si="20"/>
        <v>14195.58</v>
      </c>
      <c r="Q190"/>
      <c r="R190" s="191">
        <v>0</v>
      </c>
      <c r="S190" s="191">
        <v>876</v>
      </c>
      <c r="T190" s="191">
        <f t="shared" si="21"/>
        <v>45</v>
      </c>
      <c r="U190" s="191">
        <f t="shared" si="23"/>
        <v>921</v>
      </c>
      <c r="V190" s="192">
        <f t="shared" si="22"/>
        <v>9.8915989159891596E-2</v>
      </c>
    </row>
    <row r="191" spans="1:22" s="191" customFormat="1">
      <c r="A191" s="190">
        <v>41635</v>
      </c>
      <c r="B191" s="191">
        <v>913</v>
      </c>
      <c r="C191" s="191">
        <v>15582</v>
      </c>
      <c r="D191" s="191">
        <v>9078</v>
      </c>
      <c r="E191" s="191">
        <v>9002</v>
      </c>
      <c r="F191" s="191">
        <v>2871</v>
      </c>
      <c r="G191" s="191">
        <v>2871</v>
      </c>
      <c r="H191" s="192">
        <f t="shared" si="16"/>
        <v>1</v>
      </c>
      <c r="I191" s="191">
        <v>6131</v>
      </c>
      <c r="J191" s="191">
        <v>5190</v>
      </c>
      <c r="K191" s="192">
        <f t="shared" si="17"/>
        <v>0.84651769694992662</v>
      </c>
      <c r="L191" s="191">
        <v>5189</v>
      </c>
      <c r="M191" s="191">
        <v>8893</v>
      </c>
      <c r="N191" s="192">
        <f t="shared" si="18"/>
        <v>9.0857978185089394E-2</v>
      </c>
      <c r="O191" s="192">
        <f t="shared" si="19"/>
        <v>0.8954676738502555</v>
      </c>
      <c r="P191" s="191">
        <f t="shared" si="20"/>
        <v>13996.29</v>
      </c>
      <c r="Q191"/>
      <c r="R191" s="191">
        <v>0</v>
      </c>
      <c r="S191" s="191">
        <v>808</v>
      </c>
      <c r="T191" s="191">
        <f t="shared" si="21"/>
        <v>116.14285714285734</v>
      </c>
      <c r="U191" s="191">
        <f t="shared" si="23"/>
        <v>924.14285714285734</v>
      </c>
      <c r="V191" s="192">
        <f t="shared" si="22"/>
        <v>0.10023570276640616</v>
      </c>
    </row>
    <row r="192" spans="1:22" s="191" customFormat="1">
      <c r="A192" s="190">
        <v>41642</v>
      </c>
      <c r="B192" s="191">
        <v>919</v>
      </c>
      <c r="C192" s="191">
        <v>16138</v>
      </c>
      <c r="D192" s="191">
        <v>9120</v>
      </c>
      <c r="E192" s="191">
        <v>8782</v>
      </c>
      <c r="F192" s="191">
        <v>2634</v>
      </c>
      <c r="G192" s="191">
        <v>2634</v>
      </c>
      <c r="H192" s="192">
        <f t="shared" si="16"/>
        <v>1</v>
      </c>
      <c r="I192" s="191">
        <v>6148</v>
      </c>
      <c r="J192" s="191">
        <v>4888</v>
      </c>
      <c r="K192" s="192">
        <f t="shared" si="17"/>
        <v>0.79505530253741052</v>
      </c>
      <c r="L192" s="191">
        <v>4887</v>
      </c>
      <c r="M192" s="191">
        <v>8274</v>
      </c>
      <c r="N192" s="192">
        <f t="shared" si="18"/>
        <v>9.1370558375634514E-2</v>
      </c>
      <c r="O192" s="192">
        <f t="shared" si="19"/>
        <v>0.85652470963334093</v>
      </c>
      <c r="P192" s="191">
        <f t="shared" si="20"/>
        <v>14088.27</v>
      </c>
      <c r="Q192"/>
      <c r="R192" s="191">
        <v>0</v>
      </c>
      <c r="S192" s="191">
        <v>756</v>
      </c>
      <c r="T192" s="191">
        <f t="shared" si="21"/>
        <v>83.571428571428442</v>
      </c>
      <c r="U192" s="191">
        <f t="shared" si="23"/>
        <v>839.57142857142844</v>
      </c>
      <c r="V192" s="192">
        <f t="shared" si="22"/>
        <v>0.10050518479127891</v>
      </c>
    </row>
    <row r="193" spans="1:22" s="191" customFormat="1">
      <c r="A193" s="190">
        <v>41649</v>
      </c>
      <c r="B193" s="191">
        <v>868</v>
      </c>
      <c r="C193" s="191">
        <v>16078</v>
      </c>
      <c r="D193" s="191">
        <v>8325</v>
      </c>
      <c r="E193" s="191">
        <v>8874</v>
      </c>
      <c r="F193" s="191">
        <v>2781</v>
      </c>
      <c r="G193" s="191">
        <v>2781</v>
      </c>
      <c r="H193" s="192">
        <f t="shared" si="16"/>
        <v>1</v>
      </c>
      <c r="I193" s="191">
        <v>6093</v>
      </c>
      <c r="J193" s="191">
        <v>5171</v>
      </c>
      <c r="K193" s="192">
        <f t="shared" si="17"/>
        <v>0.84867881175118987</v>
      </c>
      <c r="L193" s="191">
        <v>5170</v>
      </c>
      <c r="M193" s="191">
        <v>8021</v>
      </c>
      <c r="N193" s="192">
        <f t="shared" si="18"/>
        <v>9.93641690562274E-2</v>
      </c>
      <c r="O193" s="192">
        <f t="shared" si="19"/>
        <v>0.89610096912328152</v>
      </c>
      <c r="P193" s="191">
        <f t="shared" si="20"/>
        <v>13306.44</v>
      </c>
      <c r="Q193"/>
      <c r="R193" s="191">
        <v>0</v>
      </c>
      <c r="S193" s="191">
        <v>797</v>
      </c>
      <c r="T193" s="191">
        <f t="shared" si="21"/>
        <v>79.571428571428896</v>
      </c>
      <c r="U193" s="191">
        <f t="shared" si="23"/>
        <v>876.5714285714289</v>
      </c>
      <c r="V193" s="192">
        <f t="shared" si="22"/>
        <v>0.10022635814889336</v>
      </c>
    </row>
    <row r="194" spans="1:22" s="191" customFormat="1">
      <c r="A194" s="190">
        <v>41656</v>
      </c>
      <c r="B194" s="191">
        <v>905</v>
      </c>
      <c r="C194" s="191">
        <v>17018</v>
      </c>
      <c r="D194" s="191">
        <v>8475</v>
      </c>
      <c r="E194" s="191">
        <v>8938</v>
      </c>
      <c r="F194" s="191">
        <v>2890</v>
      </c>
      <c r="G194" s="191">
        <v>2890</v>
      </c>
      <c r="H194" s="192">
        <f t="shared" si="16"/>
        <v>1</v>
      </c>
      <c r="I194" s="191">
        <v>6048</v>
      </c>
      <c r="J194" s="191">
        <v>5101</v>
      </c>
      <c r="K194" s="192">
        <f t="shared" si="17"/>
        <v>0.84341931216931221</v>
      </c>
      <c r="L194" s="191">
        <v>5099</v>
      </c>
      <c r="M194" s="191">
        <v>8059</v>
      </c>
      <c r="N194" s="192">
        <f t="shared" si="18"/>
        <v>9.9516068991189977E-2</v>
      </c>
      <c r="O194" s="192">
        <f t="shared" si="19"/>
        <v>0.89404788543298275</v>
      </c>
      <c r="P194" s="191">
        <f t="shared" si="20"/>
        <v>13873.65</v>
      </c>
      <c r="Q194"/>
      <c r="R194" s="191">
        <v>0</v>
      </c>
      <c r="S194" s="191">
        <v>802</v>
      </c>
      <c r="T194" s="191">
        <f t="shared" si="21"/>
        <v>-31.285714285714675</v>
      </c>
      <c r="U194" s="191">
        <f t="shared" si="23"/>
        <v>770.71428571428532</v>
      </c>
      <c r="V194" s="192">
        <f t="shared" si="22"/>
        <v>0.10036290827180579</v>
      </c>
    </row>
    <row r="195" spans="1:22" s="191" customFormat="1">
      <c r="A195" s="190">
        <v>41663</v>
      </c>
      <c r="B195" s="191">
        <v>900</v>
      </c>
      <c r="C195" s="191">
        <v>16932</v>
      </c>
      <c r="D195" s="191">
        <v>9187</v>
      </c>
      <c r="E195" s="191">
        <v>9035</v>
      </c>
      <c r="F195" s="191">
        <v>2871</v>
      </c>
      <c r="G195" s="191">
        <v>2871</v>
      </c>
      <c r="H195" s="192">
        <f t="shared" si="16"/>
        <v>1</v>
      </c>
      <c r="I195" s="191">
        <v>6164</v>
      </c>
      <c r="J195" s="191">
        <v>5284</v>
      </c>
      <c r="K195" s="192">
        <f t="shared" si="17"/>
        <v>0.85723556132381573</v>
      </c>
      <c r="L195" s="191">
        <v>5283</v>
      </c>
      <c r="M195" s="191">
        <v>8584</v>
      </c>
      <c r="N195" s="192">
        <f t="shared" si="18"/>
        <v>9.4944082013047534E-2</v>
      </c>
      <c r="O195" s="192">
        <f t="shared" si="19"/>
        <v>0.90260099612617595</v>
      </c>
      <c r="P195" s="191">
        <f t="shared" si="20"/>
        <v>13797</v>
      </c>
      <c r="Q195"/>
      <c r="R195" s="191">
        <v>0</v>
      </c>
      <c r="S195" s="191">
        <v>815</v>
      </c>
      <c r="T195" s="191">
        <f t="shared" si="21"/>
        <v>97.285714285714675</v>
      </c>
      <c r="U195" s="191">
        <f t="shared" si="23"/>
        <v>912.28571428571468</v>
      </c>
      <c r="V195" s="192">
        <f t="shared" si="22"/>
        <v>9.9938687921520539E-2</v>
      </c>
    </row>
    <row r="196" spans="1:22" s="191" customFormat="1">
      <c r="A196" s="190">
        <v>41670</v>
      </c>
      <c r="B196" s="191">
        <v>895</v>
      </c>
      <c r="C196" s="191">
        <v>16739</v>
      </c>
      <c r="D196" s="191">
        <v>8796</v>
      </c>
      <c r="E196" s="191">
        <v>8977</v>
      </c>
      <c r="F196" s="191">
        <v>2951</v>
      </c>
      <c r="G196" s="191">
        <v>2951</v>
      </c>
      <c r="H196" s="192">
        <f t="shared" si="16"/>
        <v>1</v>
      </c>
      <c r="I196" s="191">
        <v>6026</v>
      </c>
      <c r="J196" s="191">
        <v>5105</v>
      </c>
      <c r="K196" s="192">
        <f t="shared" si="17"/>
        <v>0.84716229671423826</v>
      </c>
      <c r="L196" s="191">
        <v>5103</v>
      </c>
      <c r="M196" s="191">
        <v>8452</v>
      </c>
      <c r="N196" s="192">
        <f t="shared" si="18"/>
        <v>9.4770468528159013E-2</v>
      </c>
      <c r="O196" s="192">
        <f t="shared" si="19"/>
        <v>0.89740447811072743</v>
      </c>
      <c r="P196" s="191">
        <f t="shared" si="20"/>
        <v>13720.35</v>
      </c>
      <c r="Q196"/>
      <c r="R196" s="191">
        <v>0</v>
      </c>
      <c r="S196" s="191">
        <v>801</v>
      </c>
      <c r="T196" s="191">
        <f t="shared" si="21"/>
        <v>121.57142857142844</v>
      </c>
      <c r="U196" s="191">
        <f t="shared" si="23"/>
        <v>922.57142857142844</v>
      </c>
      <c r="V196" s="192">
        <f t="shared" si="22"/>
        <v>9.9428997020854018E-2</v>
      </c>
    </row>
    <row r="197" spans="1:22" s="191" customFormat="1">
      <c r="A197" s="190">
        <v>41677</v>
      </c>
      <c r="B197" s="191">
        <v>902</v>
      </c>
      <c r="C197" s="191">
        <v>17062</v>
      </c>
      <c r="D197" s="191">
        <v>8866</v>
      </c>
      <c r="E197" s="191">
        <v>9078</v>
      </c>
      <c r="F197" s="191">
        <v>2933</v>
      </c>
      <c r="G197" s="191">
        <v>2933</v>
      </c>
      <c r="H197" s="192">
        <f t="shared" si="16"/>
        <v>1</v>
      </c>
      <c r="I197" s="191">
        <v>6145</v>
      </c>
      <c r="J197" s="191">
        <v>5252</v>
      </c>
      <c r="K197" s="192">
        <f t="shared" si="17"/>
        <v>0.85467860048820177</v>
      </c>
      <c r="L197" s="191">
        <v>5251</v>
      </c>
      <c r="M197" s="191">
        <v>8325</v>
      </c>
      <c r="N197" s="192">
        <f t="shared" si="18"/>
        <v>9.8018018018018016E-2</v>
      </c>
      <c r="O197" s="192">
        <f t="shared" si="19"/>
        <v>0.90163031504736724</v>
      </c>
      <c r="P197" s="191">
        <f t="shared" si="20"/>
        <v>13827.66</v>
      </c>
      <c r="Q197"/>
      <c r="R197" s="191">
        <v>0</v>
      </c>
      <c r="S197" s="191">
        <v>816</v>
      </c>
      <c r="T197" s="191">
        <f t="shared" si="21"/>
        <v>39.857142857142662</v>
      </c>
      <c r="U197" s="191">
        <f t="shared" si="23"/>
        <v>855.85714285714266</v>
      </c>
      <c r="V197" s="192">
        <f t="shared" si="22"/>
        <v>9.9694563225412342E-2</v>
      </c>
    </row>
    <row r="198" spans="1:22" s="191" customFormat="1">
      <c r="A198" s="190">
        <v>41684</v>
      </c>
      <c r="B198" s="191">
        <v>903</v>
      </c>
      <c r="C198" s="191">
        <v>17203</v>
      </c>
      <c r="D198" s="191">
        <v>8776</v>
      </c>
      <c r="E198" s="191">
        <v>8811</v>
      </c>
      <c r="F198" s="191">
        <v>2915</v>
      </c>
      <c r="G198" s="191">
        <v>2915</v>
      </c>
      <c r="H198" s="192">
        <f t="shared" ref="H198:H261" si="24">G198/F198</f>
        <v>1</v>
      </c>
      <c r="I198" s="191">
        <v>5895</v>
      </c>
      <c r="J198" s="191">
        <v>5154</v>
      </c>
      <c r="K198" s="192">
        <f t="shared" ref="K198:K261" si="25">J198/I198</f>
        <v>0.87430025445292625</v>
      </c>
      <c r="L198" s="191">
        <v>5152</v>
      </c>
      <c r="M198" s="191">
        <v>8030</v>
      </c>
      <c r="N198" s="192">
        <f t="shared" ref="N198:N261" si="26">S198/M198</f>
        <v>0.10037359900373599</v>
      </c>
      <c r="O198" s="192">
        <f t="shared" ref="O198:O261" si="27">(J198+G198)/E198</f>
        <v>0.91578708432641021</v>
      </c>
      <c r="P198" s="191">
        <f t="shared" ref="P198:P261" si="28">B198*42*365/1000</f>
        <v>13842.99</v>
      </c>
      <c r="Q198"/>
      <c r="R198" s="191">
        <v>0</v>
      </c>
      <c r="S198" s="191">
        <v>806</v>
      </c>
      <c r="T198" s="191">
        <f t="shared" ref="T198:T261" si="29">U198-S198</f>
        <v>76.857142857143117</v>
      </c>
      <c r="U198" s="191">
        <f t="shared" si="23"/>
        <v>882.85714285714312</v>
      </c>
      <c r="V198" s="192">
        <f t="shared" ref="V198:V261" si="30">S198/(G198+J198)</f>
        <v>9.9888462015119597E-2</v>
      </c>
    </row>
    <row r="199" spans="1:22" s="191" customFormat="1">
      <c r="A199" s="190">
        <v>41691</v>
      </c>
      <c r="B199" s="191">
        <v>905</v>
      </c>
      <c r="C199" s="191">
        <v>17024</v>
      </c>
      <c r="D199" s="191">
        <v>8693</v>
      </c>
      <c r="E199" s="191">
        <v>9094</v>
      </c>
      <c r="F199" s="191">
        <v>2965</v>
      </c>
      <c r="G199" s="191">
        <v>2965</v>
      </c>
      <c r="H199" s="192">
        <f t="shared" si="24"/>
        <v>1</v>
      </c>
      <c r="I199" s="191">
        <v>6129</v>
      </c>
      <c r="J199" s="191">
        <v>5399</v>
      </c>
      <c r="K199" s="192">
        <f t="shared" si="25"/>
        <v>0.88089410996899986</v>
      </c>
      <c r="L199" s="191">
        <v>5397</v>
      </c>
      <c r="M199" s="191">
        <v>8535</v>
      </c>
      <c r="N199" s="192">
        <f t="shared" si="26"/>
        <v>9.7832454598711191E-2</v>
      </c>
      <c r="O199" s="192">
        <f t="shared" si="27"/>
        <v>0.91972729272047504</v>
      </c>
      <c r="P199" s="191">
        <f t="shared" si="28"/>
        <v>13873.65</v>
      </c>
      <c r="Q199"/>
      <c r="R199" s="191">
        <v>0</v>
      </c>
      <c r="S199" s="191">
        <v>835</v>
      </c>
      <c r="T199" s="191">
        <f t="shared" si="29"/>
        <v>95.571428571428442</v>
      </c>
      <c r="U199" s="191">
        <f t="shared" ref="U199:U262" si="31">C198/7+B199+R199-C199/7</f>
        <v>930.57142857142844</v>
      </c>
      <c r="V199" s="192">
        <f t="shared" si="30"/>
        <v>9.9832615973218561E-2</v>
      </c>
    </row>
    <row r="200" spans="1:22" s="191" customFormat="1">
      <c r="A200" s="190">
        <v>41698</v>
      </c>
      <c r="B200" s="191">
        <v>894</v>
      </c>
      <c r="C200" s="191">
        <v>16611</v>
      </c>
      <c r="D200" s="191">
        <v>9037</v>
      </c>
      <c r="E200" s="191">
        <v>9379</v>
      </c>
      <c r="F200" s="191">
        <v>3013</v>
      </c>
      <c r="G200" s="191">
        <v>3013</v>
      </c>
      <c r="H200" s="192">
        <f t="shared" si="24"/>
        <v>1</v>
      </c>
      <c r="I200" s="191">
        <v>6366</v>
      </c>
      <c r="J200" s="191">
        <v>5462</v>
      </c>
      <c r="K200" s="192">
        <f t="shared" si="25"/>
        <v>0.85799560163367894</v>
      </c>
      <c r="L200" s="191">
        <v>5460</v>
      </c>
      <c r="M200" s="191">
        <v>8411</v>
      </c>
      <c r="N200" s="192">
        <f t="shared" si="26"/>
        <v>0.10058257044346688</v>
      </c>
      <c r="O200" s="192">
        <f t="shared" si="27"/>
        <v>0.90361445783132532</v>
      </c>
      <c r="P200" s="191">
        <f t="shared" si="28"/>
        <v>13705.02</v>
      </c>
      <c r="Q200"/>
      <c r="R200" s="191">
        <v>0</v>
      </c>
      <c r="S200" s="191">
        <v>846</v>
      </c>
      <c r="T200" s="191">
        <f t="shared" si="29"/>
        <v>107</v>
      </c>
      <c r="U200" s="191">
        <f t="shared" si="31"/>
        <v>953</v>
      </c>
      <c r="V200" s="192">
        <f t="shared" si="30"/>
        <v>9.9823008849557526E-2</v>
      </c>
    </row>
    <row r="201" spans="1:22" s="191" customFormat="1">
      <c r="A201" s="190">
        <v>41705</v>
      </c>
      <c r="B201" s="191">
        <v>869</v>
      </c>
      <c r="C201" s="191">
        <v>15908</v>
      </c>
      <c r="D201" s="191">
        <v>9357</v>
      </c>
      <c r="E201" s="191">
        <v>9203</v>
      </c>
      <c r="F201" s="191">
        <v>2992</v>
      </c>
      <c r="G201" s="191">
        <v>2992</v>
      </c>
      <c r="H201" s="192">
        <f t="shared" si="24"/>
        <v>1</v>
      </c>
      <c r="I201" s="191">
        <v>6211</v>
      </c>
      <c r="J201" s="191">
        <v>5453</v>
      </c>
      <c r="K201" s="192">
        <f t="shared" si="25"/>
        <v>0.8779584607953631</v>
      </c>
      <c r="L201" s="191">
        <v>5450</v>
      </c>
      <c r="M201" s="191">
        <v>8949</v>
      </c>
      <c r="N201" s="192">
        <f t="shared" si="26"/>
        <v>9.3976980668231083E-2</v>
      </c>
      <c r="O201" s="192">
        <f t="shared" si="27"/>
        <v>0.91763555362381832</v>
      </c>
      <c r="P201" s="191">
        <f t="shared" si="28"/>
        <v>13321.77</v>
      </c>
      <c r="Q201"/>
      <c r="R201" s="191">
        <v>0</v>
      </c>
      <c r="S201" s="191">
        <v>841</v>
      </c>
      <c r="T201" s="191">
        <f t="shared" si="29"/>
        <v>128.42857142857156</v>
      </c>
      <c r="U201" s="191">
        <f t="shared" si="31"/>
        <v>969.42857142857156</v>
      </c>
      <c r="V201" s="192">
        <f t="shared" si="30"/>
        <v>9.9585553582001191E-2</v>
      </c>
    </row>
    <row r="202" spans="1:22" s="191" customFormat="1">
      <c r="A202" s="190">
        <v>41712</v>
      </c>
      <c r="B202" s="191">
        <v>891</v>
      </c>
      <c r="C202" s="191">
        <v>15277</v>
      </c>
      <c r="D202" s="191">
        <v>9231</v>
      </c>
      <c r="E202" s="191">
        <v>9362</v>
      </c>
      <c r="F202" s="191">
        <v>3020</v>
      </c>
      <c r="G202" s="191">
        <v>3020</v>
      </c>
      <c r="H202" s="192">
        <f t="shared" si="24"/>
        <v>1</v>
      </c>
      <c r="I202" s="191">
        <v>6342</v>
      </c>
      <c r="J202" s="191">
        <v>5475</v>
      </c>
      <c r="K202" s="192">
        <f t="shared" si="25"/>
        <v>0.86329233680227058</v>
      </c>
      <c r="L202" s="191">
        <v>5472</v>
      </c>
      <c r="M202" s="191">
        <v>8512</v>
      </c>
      <c r="N202" s="192">
        <f t="shared" si="26"/>
        <v>9.9271616541353386E-2</v>
      </c>
      <c r="O202" s="192">
        <f t="shared" si="27"/>
        <v>0.90739158299508649</v>
      </c>
      <c r="P202" s="191">
        <f t="shared" si="28"/>
        <v>13659.03</v>
      </c>
      <c r="Q202"/>
      <c r="R202" s="191">
        <v>0</v>
      </c>
      <c r="S202" s="191">
        <v>845</v>
      </c>
      <c r="T202" s="191">
        <f t="shared" si="29"/>
        <v>136.14285714285688</v>
      </c>
      <c r="U202" s="191">
        <f t="shared" si="31"/>
        <v>981.14285714285688</v>
      </c>
      <c r="V202" s="192">
        <f t="shared" si="30"/>
        <v>9.9470276633313717E-2</v>
      </c>
    </row>
    <row r="203" spans="1:22" s="191" customFormat="1">
      <c r="A203" s="190">
        <v>41719</v>
      </c>
      <c r="B203" s="191">
        <v>885</v>
      </c>
      <c r="C203" s="191">
        <v>15653</v>
      </c>
      <c r="D203" s="191">
        <v>9000</v>
      </c>
      <c r="E203" s="191">
        <v>9339</v>
      </c>
      <c r="F203" s="191">
        <v>3039</v>
      </c>
      <c r="G203" s="191">
        <v>3039</v>
      </c>
      <c r="H203" s="192">
        <f t="shared" si="24"/>
        <v>1</v>
      </c>
      <c r="I203" s="191">
        <v>6300</v>
      </c>
      <c r="J203" s="191">
        <v>5540</v>
      </c>
      <c r="K203" s="192">
        <f t="shared" si="25"/>
        <v>0.87936507936507935</v>
      </c>
      <c r="L203" s="191">
        <v>5537</v>
      </c>
      <c r="M203" s="191">
        <v>9002</v>
      </c>
      <c r="N203" s="192">
        <f t="shared" si="26"/>
        <v>9.5201066429682291E-2</v>
      </c>
      <c r="O203" s="192">
        <f t="shared" si="27"/>
        <v>0.91862083734875255</v>
      </c>
      <c r="P203" s="191">
        <f t="shared" si="28"/>
        <v>13567.05</v>
      </c>
      <c r="Q203"/>
      <c r="R203" s="191">
        <v>0</v>
      </c>
      <c r="S203" s="191">
        <v>857</v>
      </c>
      <c r="T203" s="191">
        <f t="shared" si="29"/>
        <v>-25.714285714285779</v>
      </c>
      <c r="U203" s="191">
        <f t="shared" si="31"/>
        <v>831.28571428571422</v>
      </c>
      <c r="V203" s="192">
        <f t="shared" si="30"/>
        <v>9.9895092668143143E-2</v>
      </c>
    </row>
    <row r="204" spans="1:22" s="191" customFormat="1">
      <c r="A204" s="190">
        <v>41726</v>
      </c>
      <c r="B204" s="191">
        <v>922</v>
      </c>
      <c r="C204" s="191">
        <v>15875</v>
      </c>
      <c r="D204" s="191">
        <v>9043</v>
      </c>
      <c r="E204" s="191">
        <v>9525</v>
      </c>
      <c r="F204" s="191">
        <v>3030</v>
      </c>
      <c r="G204" s="191">
        <v>3030</v>
      </c>
      <c r="H204" s="192">
        <f t="shared" si="24"/>
        <v>1</v>
      </c>
      <c r="I204" s="191">
        <v>6495</v>
      </c>
      <c r="J204" s="191">
        <v>5510</v>
      </c>
      <c r="K204" s="192">
        <f t="shared" si="25"/>
        <v>0.84834488067744418</v>
      </c>
      <c r="L204" s="191">
        <v>5508</v>
      </c>
      <c r="M204" s="191">
        <v>8713</v>
      </c>
      <c r="N204" s="192">
        <f t="shared" si="26"/>
        <v>9.7555377022839437E-2</v>
      </c>
      <c r="O204" s="192">
        <f t="shared" si="27"/>
        <v>0.89658792650918639</v>
      </c>
      <c r="P204" s="191">
        <f t="shared" si="28"/>
        <v>14134.26</v>
      </c>
      <c r="Q204"/>
      <c r="R204" s="191">
        <v>11</v>
      </c>
      <c r="S204" s="191">
        <v>850</v>
      </c>
      <c r="T204" s="191">
        <f t="shared" si="29"/>
        <v>51.285714285714675</v>
      </c>
      <c r="U204" s="191">
        <f t="shared" si="31"/>
        <v>901.28571428571468</v>
      </c>
      <c r="V204" s="192">
        <f t="shared" si="30"/>
        <v>9.9531615925058547E-2</v>
      </c>
    </row>
    <row r="205" spans="1:22" s="191" customFormat="1">
      <c r="A205" s="190">
        <v>41733</v>
      </c>
      <c r="B205" s="191">
        <v>896</v>
      </c>
      <c r="C205" s="191">
        <v>16407</v>
      </c>
      <c r="D205" s="191">
        <v>9370</v>
      </c>
      <c r="E205" s="191">
        <v>9840</v>
      </c>
      <c r="F205" s="191">
        <v>3091</v>
      </c>
      <c r="G205" s="191">
        <v>3091</v>
      </c>
      <c r="H205" s="192">
        <f t="shared" si="24"/>
        <v>1</v>
      </c>
      <c r="I205" s="191">
        <v>6749</v>
      </c>
      <c r="J205" s="191">
        <v>5471</v>
      </c>
      <c r="K205" s="192">
        <f t="shared" si="25"/>
        <v>0.81063861312787078</v>
      </c>
      <c r="L205" s="191">
        <v>5469</v>
      </c>
      <c r="M205" s="191">
        <v>8996</v>
      </c>
      <c r="N205" s="192">
        <f t="shared" si="26"/>
        <v>9.4708759448643848E-2</v>
      </c>
      <c r="O205" s="192">
        <f t="shared" si="27"/>
        <v>0.87012195121951219</v>
      </c>
      <c r="P205" s="191">
        <f t="shared" si="28"/>
        <v>13735.68</v>
      </c>
      <c r="Q205"/>
      <c r="R205" s="191">
        <v>38</v>
      </c>
      <c r="S205" s="191">
        <v>852</v>
      </c>
      <c r="T205" s="191">
        <f t="shared" si="29"/>
        <v>6</v>
      </c>
      <c r="U205" s="191">
        <f t="shared" si="31"/>
        <v>858</v>
      </c>
      <c r="V205" s="192">
        <f t="shared" si="30"/>
        <v>9.9509460406447092E-2</v>
      </c>
    </row>
    <row r="206" spans="1:22" s="191" customFormat="1">
      <c r="A206" s="190">
        <v>41740</v>
      </c>
      <c r="B206" s="191">
        <v>939</v>
      </c>
      <c r="C206" s="191">
        <v>15952</v>
      </c>
      <c r="D206" s="191">
        <v>8939</v>
      </c>
      <c r="E206" s="191">
        <v>9636</v>
      </c>
      <c r="F206" s="191">
        <v>3033</v>
      </c>
      <c r="G206" s="191">
        <v>3033</v>
      </c>
      <c r="H206" s="192">
        <f t="shared" si="24"/>
        <v>1</v>
      </c>
      <c r="I206" s="191">
        <v>6603</v>
      </c>
      <c r="J206" s="191">
        <v>5529</v>
      </c>
      <c r="K206" s="192">
        <f t="shared" si="25"/>
        <v>0.83734666060881413</v>
      </c>
      <c r="L206" s="191">
        <v>5526</v>
      </c>
      <c r="M206" s="191">
        <v>8616</v>
      </c>
      <c r="N206" s="192">
        <f t="shared" si="26"/>
        <v>9.8421541318477246E-2</v>
      </c>
      <c r="O206" s="192">
        <f t="shared" si="27"/>
        <v>0.88854296388542964</v>
      </c>
      <c r="P206" s="191">
        <f t="shared" si="28"/>
        <v>14394.87</v>
      </c>
      <c r="Q206"/>
      <c r="R206" s="191">
        <v>0</v>
      </c>
      <c r="S206" s="191">
        <v>848</v>
      </c>
      <c r="T206" s="191">
        <f t="shared" si="29"/>
        <v>156</v>
      </c>
      <c r="U206" s="191">
        <f t="shared" si="31"/>
        <v>1004</v>
      </c>
      <c r="V206" s="192">
        <f t="shared" si="30"/>
        <v>9.9042279841158612E-2</v>
      </c>
    </row>
    <row r="207" spans="1:22" s="191" customFormat="1">
      <c r="A207" s="190">
        <v>41747</v>
      </c>
      <c r="B207" s="191">
        <v>910</v>
      </c>
      <c r="C207" s="191">
        <v>16518</v>
      </c>
      <c r="D207" s="191">
        <v>8891</v>
      </c>
      <c r="E207" s="191">
        <v>9706</v>
      </c>
      <c r="F207" s="191">
        <v>3023</v>
      </c>
      <c r="G207" s="191">
        <v>3023</v>
      </c>
      <c r="H207" s="192">
        <f t="shared" si="24"/>
        <v>1</v>
      </c>
      <c r="I207" s="191">
        <v>6683</v>
      </c>
      <c r="J207" s="191">
        <v>5553</v>
      </c>
      <c r="K207" s="192">
        <f t="shared" si="25"/>
        <v>0.83091426006284608</v>
      </c>
      <c r="L207" s="191">
        <v>5551</v>
      </c>
      <c r="M207" s="191">
        <v>8430</v>
      </c>
      <c r="N207" s="192">
        <f t="shared" si="26"/>
        <v>0.10118623962040332</v>
      </c>
      <c r="O207" s="192">
        <f t="shared" si="27"/>
        <v>0.88357716876159076</v>
      </c>
      <c r="P207" s="191">
        <f t="shared" si="28"/>
        <v>13950.3</v>
      </c>
      <c r="Q207"/>
      <c r="R207" s="191">
        <v>11</v>
      </c>
      <c r="S207" s="191">
        <v>853</v>
      </c>
      <c r="T207" s="191">
        <f t="shared" si="29"/>
        <v>-12.857142857143117</v>
      </c>
      <c r="U207" s="191">
        <f t="shared" si="31"/>
        <v>840.14285714285688</v>
      </c>
      <c r="V207" s="192">
        <f t="shared" si="30"/>
        <v>9.9463619402985079E-2</v>
      </c>
    </row>
    <row r="208" spans="1:22" s="191" customFormat="1">
      <c r="A208" s="190">
        <v>41754</v>
      </c>
      <c r="B208" s="191">
        <v>898</v>
      </c>
      <c r="C208" s="191">
        <v>17212</v>
      </c>
      <c r="D208" s="191">
        <v>8623</v>
      </c>
      <c r="E208" s="191">
        <v>10076</v>
      </c>
      <c r="F208" s="191">
        <v>3066</v>
      </c>
      <c r="G208" s="191">
        <v>3066</v>
      </c>
      <c r="H208" s="192">
        <f t="shared" si="24"/>
        <v>1</v>
      </c>
      <c r="I208" s="191">
        <v>7010</v>
      </c>
      <c r="J208" s="191">
        <v>5606</v>
      </c>
      <c r="K208" s="192">
        <f t="shared" si="25"/>
        <v>0.79971469329529243</v>
      </c>
      <c r="L208" s="191">
        <v>5604</v>
      </c>
      <c r="M208" s="191">
        <v>8693</v>
      </c>
      <c r="N208" s="192">
        <f t="shared" si="26"/>
        <v>9.9505349131485107E-2</v>
      </c>
      <c r="O208" s="192">
        <f t="shared" si="27"/>
        <v>0.86065899166335846</v>
      </c>
      <c r="P208" s="191">
        <f t="shared" si="28"/>
        <v>13766.34</v>
      </c>
      <c r="Q208"/>
      <c r="R208" s="191">
        <v>0</v>
      </c>
      <c r="S208" s="191">
        <v>865</v>
      </c>
      <c r="T208" s="191">
        <f t="shared" si="29"/>
        <v>-66.142857142856883</v>
      </c>
      <c r="U208" s="191">
        <f t="shared" si="31"/>
        <v>798.85714285714312</v>
      </c>
      <c r="V208" s="192">
        <f t="shared" si="30"/>
        <v>9.9746309963099633E-2</v>
      </c>
    </row>
    <row r="209" spans="1:22" s="191" customFormat="1">
      <c r="A209" s="190">
        <v>41761</v>
      </c>
      <c r="B209" s="191">
        <v>894</v>
      </c>
      <c r="C209" s="191">
        <v>17140</v>
      </c>
      <c r="D209" s="191">
        <v>8992</v>
      </c>
      <c r="E209" s="191">
        <v>10060</v>
      </c>
      <c r="F209" s="191">
        <v>3046</v>
      </c>
      <c r="G209" s="191">
        <v>3046</v>
      </c>
      <c r="H209" s="192">
        <f t="shared" si="24"/>
        <v>1</v>
      </c>
      <c r="I209" s="191">
        <v>7014</v>
      </c>
      <c r="J209" s="191">
        <v>5525</v>
      </c>
      <c r="K209" s="192">
        <f t="shared" si="25"/>
        <v>0.78771029369831769</v>
      </c>
      <c r="L209" s="191">
        <v>5523</v>
      </c>
      <c r="M209" s="191">
        <v>8719</v>
      </c>
      <c r="N209" s="192">
        <f t="shared" si="26"/>
        <v>9.7029475857323091E-2</v>
      </c>
      <c r="O209" s="192">
        <f t="shared" si="27"/>
        <v>0.85198807157057654</v>
      </c>
      <c r="P209" s="191">
        <f t="shared" si="28"/>
        <v>13705.02</v>
      </c>
      <c r="Q209"/>
      <c r="R209" s="191">
        <v>0</v>
      </c>
      <c r="S209" s="191">
        <v>846</v>
      </c>
      <c r="T209" s="191">
        <f t="shared" si="29"/>
        <v>58.285714285714221</v>
      </c>
      <c r="U209" s="191">
        <f t="shared" si="31"/>
        <v>904.28571428571422</v>
      </c>
      <c r="V209" s="192">
        <f t="shared" si="30"/>
        <v>9.870493524676234E-2</v>
      </c>
    </row>
    <row r="210" spans="1:22" s="191" customFormat="1">
      <c r="A210" s="190">
        <v>41768</v>
      </c>
      <c r="B210" s="191">
        <v>922</v>
      </c>
      <c r="C210" s="191">
        <v>17302</v>
      </c>
      <c r="D210" s="191">
        <v>9606</v>
      </c>
      <c r="E210" s="191">
        <v>10337</v>
      </c>
      <c r="F210" s="191">
        <v>3158</v>
      </c>
      <c r="G210" s="191">
        <v>3158</v>
      </c>
      <c r="H210" s="192">
        <f t="shared" si="24"/>
        <v>1</v>
      </c>
      <c r="I210" s="191">
        <v>7179</v>
      </c>
      <c r="J210" s="191">
        <v>5799</v>
      </c>
      <c r="K210" s="192">
        <f t="shared" si="25"/>
        <v>0.80777267028834099</v>
      </c>
      <c r="L210" s="191">
        <v>5797</v>
      </c>
      <c r="M210" s="191">
        <v>9191</v>
      </c>
      <c r="N210" s="192">
        <f t="shared" si="26"/>
        <v>9.6833859210096837E-2</v>
      </c>
      <c r="O210" s="192">
        <f t="shared" si="27"/>
        <v>0.86649898423140181</v>
      </c>
      <c r="P210" s="191">
        <f t="shared" si="28"/>
        <v>14134.26</v>
      </c>
      <c r="Q210"/>
      <c r="R210" s="191">
        <v>43</v>
      </c>
      <c r="S210" s="191">
        <v>890</v>
      </c>
      <c r="T210" s="191">
        <f t="shared" si="29"/>
        <v>51.857142857142662</v>
      </c>
      <c r="U210" s="191">
        <f t="shared" si="31"/>
        <v>941.85714285714266</v>
      </c>
      <c r="V210" s="192">
        <f t="shared" si="30"/>
        <v>9.9363626214134193E-2</v>
      </c>
    </row>
    <row r="211" spans="1:22" s="191" customFormat="1">
      <c r="A211" s="190">
        <v>41775</v>
      </c>
      <c r="B211" s="191">
        <v>925</v>
      </c>
      <c r="C211" s="191">
        <v>16990</v>
      </c>
      <c r="D211" s="191">
        <v>9592</v>
      </c>
      <c r="E211" s="191">
        <v>10323</v>
      </c>
      <c r="F211" s="191">
        <v>3162</v>
      </c>
      <c r="G211" s="191">
        <v>3162</v>
      </c>
      <c r="H211" s="192">
        <f t="shared" si="24"/>
        <v>1</v>
      </c>
      <c r="I211" s="191">
        <v>7162</v>
      </c>
      <c r="J211" s="191">
        <v>5707</v>
      </c>
      <c r="K211" s="192">
        <f t="shared" si="25"/>
        <v>0.79684445685562688</v>
      </c>
      <c r="L211" s="191">
        <v>5705</v>
      </c>
      <c r="M211" s="191">
        <v>9174</v>
      </c>
      <c r="N211" s="192">
        <f t="shared" si="26"/>
        <v>9.657728362764334E-2</v>
      </c>
      <c r="O211" s="192">
        <f t="shared" si="27"/>
        <v>0.85914947205269787</v>
      </c>
      <c r="P211" s="191">
        <f t="shared" si="28"/>
        <v>14180.25</v>
      </c>
      <c r="Q211"/>
      <c r="R211" s="191">
        <v>11</v>
      </c>
      <c r="S211" s="191">
        <v>886</v>
      </c>
      <c r="T211" s="191">
        <f t="shared" si="29"/>
        <v>94.571428571428442</v>
      </c>
      <c r="U211" s="191">
        <f t="shared" si="31"/>
        <v>980.57142857142844</v>
      </c>
      <c r="V211" s="192">
        <f t="shared" si="30"/>
        <v>9.9898522945089635E-2</v>
      </c>
    </row>
    <row r="212" spans="1:22" s="191" customFormat="1">
      <c r="A212" s="190">
        <v>41782</v>
      </c>
      <c r="B212" s="191">
        <v>927</v>
      </c>
      <c r="C212" s="191">
        <v>17489</v>
      </c>
      <c r="D212" s="191">
        <v>9526</v>
      </c>
      <c r="E212" s="191">
        <v>10552</v>
      </c>
      <c r="F212" s="191">
        <v>3172</v>
      </c>
      <c r="G212" s="191">
        <v>3172</v>
      </c>
      <c r="H212" s="192">
        <f t="shared" si="24"/>
        <v>1</v>
      </c>
      <c r="I212" s="191">
        <v>7380</v>
      </c>
      <c r="J212" s="191">
        <v>5808</v>
      </c>
      <c r="K212" s="192">
        <f t="shared" si="25"/>
        <v>0.78699186991869918</v>
      </c>
      <c r="L212" s="191">
        <v>5806</v>
      </c>
      <c r="M212" s="191">
        <v>9310</v>
      </c>
      <c r="N212" s="192">
        <f t="shared" si="26"/>
        <v>9.6133190118152523E-2</v>
      </c>
      <c r="O212" s="192">
        <f t="shared" si="27"/>
        <v>0.85102350265352544</v>
      </c>
      <c r="P212" s="191">
        <f t="shared" si="28"/>
        <v>14210.91</v>
      </c>
      <c r="Q212"/>
      <c r="R212" s="191">
        <v>0</v>
      </c>
      <c r="S212" s="191">
        <v>895</v>
      </c>
      <c r="T212" s="191">
        <f t="shared" si="29"/>
        <v>-39.285714285714221</v>
      </c>
      <c r="U212" s="191">
        <f t="shared" si="31"/>
        <v>855.71428571428578</v>
      </c>
      <c r="V212" s="192">
        <f t="shared" si="30"/>
        <v>9.9665924276169271E-2</v>
      </c>
    </row>
    <row r="213" spans="1:22" s="191" customFormat="1">
      <c r="A213" s="190">
        <v>41789</v>
      </c>
      <c r="B213" s="191">
        <v>938</v>
      </c>
      <c r="C213" s="191">
        <v>18250</v>
      </c>
      <c r="D213" s="191">
        <v>9476</v>
      </c>
      <c r="E213" s="191">
        <v>10202</v>
      </c>
      <c r="F213" s="191">
        <v>3030</v>
      </c>
      <c r="G213" s="191">
        <v>3030</v>
      </c>
      <c r="H213" s="192">
        <f t="shared" si="24"/>
        <v>1</v>
      </c>
      <c r="I213" s="191">
        <v>7172</v>
      </c>
      <c r="J213" s="191">
        <v>5605</v>
      </c>
      <c r="K213" s="192">
        <f t="shared" si="25"/>
        <v>0.78151143335192419</v>
      </c>
      <c r="L213" s="191">
        <v>5603</v>
      </c>
      <c r="M213" s="191">
        <v>9104</v>
      </c>
      <c r="N213" s="192">
        <f t="shared" si="26"/>
        <v>9.4683655536028116E-2</v>
      </c>
      <c r="O213" s="192">
        <f t="shared" si="27"/>
        <v>0.84640266614389337</v>
      </c>
      <c r="P213" s="191">
        <f t="shared" si="28"/>
        <v>14379.54</v>
      </c>
      <c r="Q213"/>
      <c r="R213" s="191">
        <v>0</v>
      </c>
      <c r="S213" s="191">
        <v>862</v>
      </c>
      <c r="T213" s="191">
        <f t="shared" si="29"/>
        <v>-32.714285714285779</v>
      </c>
      <c r="U213" s="191">
        <f t="shared" si="31"/>
        <v>829.28571428571422</v>
      </c>
      <c r="V213" s="192">
        <f t="shared" si="30"/>
        <v>9.9826288361320209E-2</v>
      </c>
    </row>
    <row r="214" spans="1:22" s="191" customFormat="1">
      <c r="A214" s="190">
        <v>41796</v>
      </c>
      <c r="B214" s="191">
        <v>944</v>
      </c>
      <c r="C214" s="191">
        <v>18422</v>
      </c>
      <c r="D214" s="191">
        <v>8855</v>
      </c>
      <c r="E214" s="191">
        <v>9958</v>
      </c>
      <c r="F214" s="191">
        <v>3111</v>
      </c>
      <c r="G214" s="191">
        <v>3111</v>
      </c>
      <c r="H214" s="192">
        <f t="shared" si="24"/>
        <v>1</v>
      </c>
      <c r="I214" s="191">
        <v>6847</v>
      </c>
      <c r="J214" s="191">
        <v>5597</v>
      </c>
      <c r="K214" s="192">
        <f t="shared" si="25"/>
        <v>0.81743829414342051</v>
      </c>
      <c r="L214" s="191">
        <v>5594</v>
      </c>
      <c r="M214" s="191">
        <v>8624</v>
      </c>
      <c r="N214" s="192">
        <f t="shared" si="26"/>
        <v>0.10076530612244898</v>
      </c>
      <c r="O214" s="192">
        <f t="shared" si="27"/>
        <v>0.87447278569993969</v>
      </c>
      <c r="P214" s="191">
        <f t="shared" si="28"/>
        <v>14471.52</v>
      </c>
      <c r="Q214"/>
      <c r="R214" s="191">
        <v>0</v>
      </c>
      <c r="S214" s="191">
        <v>869</v>
      </c>
      <c r="T214" s="191">
        <f t="shared" si="29"/>
        <v>50.428571428571558</v>
      </c>
      <c r="U214" s="191">
        <f t="shared" si="31"/>
        <v>919.42857142857156</v>
      </c>
      <c r="V214" s="192">
        <f t="shared" si="30"/>
        <v>9.979329352319706E-2</v>
      </c>
    </row>
    <row r="215" spans="1:22" s="191" customFormat="1">
      <c r="A215" s="190">
        <v>41803</v>
      </c>
      <c r="B215" s="191">
        <v>972</v>
      </c>
      <c r="C215" s="191">
        <v>17850</v>
      </c>
      <c r="D215" s="191">
        <v>9840</v>
      </c>
      <c r="E215" s="191">
        <v>10355</v>
      </c>
      <c r="F215" s="191">
        <v>3180</v>
      </c>
      <c r="G215" s="191">
        <v>3180</v>
      </c>
      <c r="H215" s="192">
        <f t="shared" si="24"/>
        <v>1</v>
      </c>
      <c r="I215" s="191">
        <v>7175</v>
      </c>
      <c r="J215" s="191">
        <v>5751</v>
      </c>
      <c r="K215" s="192">
        <f t="shared" si="25"/>
        <v>0.80153310104529618</v>
      </c>
      <c r="L215" s="191">
        <v>5749</v>
      </c>
      <c r="M215" s="191">
        <v>9258</v>
      </c>
      <c r="N215" s="192">
        <f t="shared" si="26"/>
        <v>9.6241088788075177E-2</v>
      </c>
      <c r="O215" s="192">
        <f t="shared" si="27"/>
        <v>0.86248189280540799</v>
      </c>
      <c r="P215" s="191">
        <f t="shared" si="28"/>
        <v>14900.76</v>
      </c>
      <c r="Q215"/>
      <c r="R215" s="191">
        <v>0</v>
      </c>
      <c r="S215" s="191">
        <v>891</v>
      </c>
      <c r="T215" s="191">
        <f t="shared" si="29"/>
        <v>162.71428571428578</v>
      </c>
      <c r="U215" s="191">
        <f t="shared" si="31"/>
        <v>1053.7142857142858</v>
      </c>
      <c r="V215" s="192">
        <f t="shared" si="30"/>
        <v>9.9764863957003694E-2</v>
      </c>
    </row>
    <row r="216" spans="1:22" s="191" customFormat="1">
      <c r="A216" s="190">
        <v>41810</v>
      </c>
      <c r="B216" s="191">
        <v>938</v>
      </c>
      <c r="C216" s="191">
        <v>18183</v>
      </c>
      <c r="D216" s="191">
        <v>9054</v>
      </c>
      <c r="E216" s="191">
        <v>10130</v>
      </c>
      <c r="F216" s="191">
        <v>3181</v>
      </c>
      <c r="G216" s="191">
        <v>3181</v>
      </c>
      <c r="H216" s="192">
        <f t="shared" si="24"/>
        <v>1</v>
      </c>
      <c r="I216" s="191">
        <v>6949</v>
      </c>
      <c r="J216" s="191">
        <v>5722</v>
      </c>
      <c r="K216" s="192">
        <f t="shared" si="25"/>
        <v>0.82342783134263919</v>
      </c>
      <c r="L216" s="191">
        <v>5719</v>
      </c>
      <c r="M216" s="191">
        <v>8813</v>
      </c>
      <c r="N216" s="192">
        <f t="shared" si="26"/>
        <v>0.10110064677181436</v>
      </c>
      <c r="O216" s="192">
        <f t="shared" si="27"/>
        <v>0.87887462981243836</v>
      </c>
      <c r="P216" s="191">
        <f t="shared" si="28"/>
        <v>14379.54</v>
      </c>
      <c r="Q216"/>
      <c r="R216" s="191">
        <v>0</v>
      </c>
      <c r="S216" s="191">
        <v>891</v>
      </c>
      <c r="T216" s="191">
        <f t="shared" si="29"/>
        <v>-0.5714285714284415</v>
      </c>
      <c r="U216" s="191">
        <f t="shared" si="31"/>
        <v>890.42857142857156</v>
      </c>
      <c r="V216" s="192">
        <f t="shared" si="30"/>
        <v>0.10007862518252275</v>
      </c>
    </row>
    <row r="217" spans="1:22" s="191" customFormat="1">
      <c r="A217" s="190">
        <v>41817</v>
      </c>
      <c r="B217" s="191">
        <v>953</v>
      </c>
      <c r="C217" s="191">
        <v>18204</v>
      </c>
      <c r="D217" s="191">
        <v>9436</v>
      </c>
      <c r="E217" s="191">
        <v>10166</v>
      </c>
      <c r="F217" s="191">
        <v>3107</v>
      </c>
      <c r="G217" s="191">
        <v>3107</v>
      </c>
      <c r="H217" s="192">
        <f t="shared" si="24"/>
        <v>1</v>
      </c>
      <c r="I217" s="191">
        <v>7059</v>
      </c>
      <c r="J217" s="191">
        <v>5723</v>
      </c>
      <c r="K217" s="192">
        <f t="shared" si="25"/>
        <v>0.8107380648817113</v>
      </c>
      <c r="L217" s="191">
        <v>5721</v>
      </c>
      <c r="M217" s="191">
        <v>9168</v>
      </c>
      <c r="N217" s="192">
        <f t="shared" si="26"/>
        <v>9.6313263525305406E-2</v>
      </c>
      <c r="O217" s="192">
        <f t="shared" si="27"/>
        <v>0.8685815463309069</v>
      </c>
      <c r="P217" s="191">
        <f t="shared" si="28"/>
        <v>14609.49</v>
      </c>
      <c r="Q217"/>
      <c r="R217" s="191">
        <v>0</v>
      </c>
      <c r="S217" s="191">
        <v>883</v>
      </c>
      <c r="T217" s="191">
        <f t="shared" si="29"/>
        <v>67</v>
      </c>
      <c r="U217" s="191">
        <f t="shared" si="31"/>
        <v>950</v>
      </c>
      <c r="V217" s="192">
        <f t="shared" si="30"/>
        <v>0.1</v>
      </c>
    </row>
    <row r="218" spans="1:22" s="191" customFormat="1">
      <c r="A218" s="190">
        <v>41824</v>
      </c>
      <c r="B218" s="191">
        <v>927</v>
      </c>
      <c r="C218" s="191">
        <v>18286</v>
      </c>
      <c r="D218" s="191">
        <v>9425</v>
      </c>
      <c r="E218" s="191">
        <v>10073</v>
      </c>
      <c r="F218" s="191">
        <v>3097</v>
      </c>
      <c r="G218" s="191">
        <v>3097</v>
      </c>
      <c r="H218" s="192">
        <f t="shared" si="24"/>
        <v>1</v>
      </c>
      <c r="I218" s="191">
        <v>6976</v>
      </c>
      <c r="J218" s="191">
        <v>5773</v>
      </c>
      <c r="K218" s="192">
        <f t="shared" si="25"/>
        <v>0.82755160550458717</v>
      </c>
      <c r="L218" s="191">
        <v>5771</v>
      </c>
      <c r="M218" s="191">
        <v>8935</v>
      </c>
      <c r="N218" s="192">
        <f t="shared" si="26"/>
        <v>9.8824846110800224E-2</v>
      </c>
      <c r="O218" s="192">
        <f t="shared" si="27"/>
        <v>0.88057182567259007</v>
      </c>
      <c r="P218" s="191">
        <f t="shared" si="28"/>
        <v>14210.91</v>
      </c>
      <c r="Q218"/>
      <c r="R218" s="191">
        <v>9</v>
      </c>
      <c r="S218" s="191">
        <v>883</v>
      </c>
      <c r="T218" s="191">
        <f t="shared" si="29"/>
        <v>41.285714285714221</v>
      </c>
      <c r="U218" s="191">
        <f t="shared" si="31"/>
        <v>924.28571428571422</v>
      </c>
      <c r="V218" s="192">
        <f t="shared" si="30"/>
        <v>9.9549041713641484E-2</v>
      </c>
    </row>
    <row r="219" spans="1:22" s="191" customFormat="1">
      <c r="A219" s="190">
        <v>41831</v>
      </c>
      <c r="B219" s="191">
        <v>943</v>
      </c>
      <c r="C219" s="191">
        <v>17945</v>
      </c>
      <c r="D219" s="191">
        <v>9139</v>
      </c>
      <c r="E219" s="191">
        <v>9775</v>
      </c>
      <c r="F219" s="191">
        <v>3005</v>
      </c>
      <c r="G219" s="191">
        <v>3005</v>
      </c>
      <c r="H219" s="192">
        <f t="shared" si="24"/>
        <v>1</v>
      </c>
      <c r="I219" s="191">
        <v>6771</v>
      </c>
      <c r="J219" s="191">
        <v>5516</v>
      </c>
      <c r="K219" s="192">
        <f t="shared" si="25"/>
        <v>0.81465071629006058</v>
      </c>
      <c r="L219" s="191">
        <v>5513</v>
      </c>
      <c r="M219" s="191">
        <v>9057</v>
      </c>
      <c r="N219" s="192">
        <f t="shared" si="26"/>
        <v>9.3960472562658715E-2</v>
      </c>
      <c r="O219" s="192">
        <f t="shared" si="27"/>
        <v>0.87171355498721226</v>
      </c>
      <c r="P219" s="191">
        <f t="shared" si="28"/>
        <v>14456.19</v>
      </c>
      <c r="Q219"/>
      <c r="R219" s="191">
        <v>5</v>
      </c>
      <c r="S219" s="191">
        <v>851</v>
      </c>
      <c r="T219" s="191">
        <f t="shared" si="29"/>
        <v>145.71428571428578</v>
      </c>
      <c r="U219" s="191">
        <f t="shared" si="31"/>
        <v>996.71428571428578</v>
      </c>
      <c r="V219" s="192">
        <f t="shared" si="30"/>
        <v>9.9870907170519899E-2</v>
      </c>
    </row>
    <row r="220" spans="1:22" s="191" customFormat="1">
      <c r="A220" s="190">
        <v>41838</v>
      </c>
      <c r="B220" s="191">
        <v>959</v>
      </c>
      <c r="C220" s="191">
        <v>17940</v>
      </c>
      <c r="D220" s="191">
        <v>9357</v>
      </c>
      <c r="E220" s="191">
        <v>9788</v>
      </c>
      <c r="F220" s="191">
        <v>3103</v>
      </c>
      <c r="G220" s="191">
        <v>3103</v>
      </c>
      <c r="H220" s="192">
        <f t="shared" si="24"/>
        <v>1</v>
      </c>
      <c r="I220" s="191">
        <v>6686</v>
      </c>
      <c r="J220" s="191">
        <v>5678</v>
      </c>
      <c r="K220" s="192">
        <f t="shared" si="25"/>
        <v>0.84923721208495362</v>
      </c>
      <c r="L220" s="191">
        <v>5676</v>
      </c>
      <c r="M220" s="191">
        <v>8792</v>
      </c>
      <c r="N220" s="192">
        <f t="shared" si="26"/>
        <v>9.9181073703366693E-2</v>
      </c>
      <c r="O220" s="192">
        <f t="shared" si="27"/>
        <v>0.89711892112791169</v>
      </c>
      <c r="P220" s="191">
        <f t="shared" si="28"/>
        <v>14701.47</v>
      </c>
      <c r="Q220"/>
      <c r="R220" s="191">
        <v>0</v>
      </c>
      <c r="S220" s="191">
        <v>872</v>
      </c>
      <c r="T220" s="191">
        <f t="shared" si="29"/>
        <v>87.714285714285779</v>
      </c>
      <c r="U220" s="191">
        <f t="shared" si="31"/>
        <v>959.71428571428578</v>
      </c>
      <c r="V220" s="192">
        <f t="shared" si="30"/>
        <v>9.9305318300876896E-2</v>
      </c>
    </row>
    <row r="221" spans="1:22" s="191" customFormat="1">
      <c r="A221" s="190">
        <v>41845</v>
      </c>
      <c r="B221" s="191">
        <v>954</v>
      </c>
      <c r="C221" s="191">
        <v>18587</v>
      </c>
      <c r="D221" s="191">
        <v>9337</v>
      </c>
      <c r="E221" s="191">
        <v>9942</v>
      </c>
      <c r="F221" s="191">
        <v>3119</v>
      </c>
      <c r="G221" s="191">
        <v>3119</v>
      </c>
      <c r="H221" s="192">
        <f t="shared" si="24"/>
        <v>1</v>
      </c>
      <c r="I221" s="191">
        <v>6823</v>
      </c>
      <c r="J221" s="191">
        <v>5661</v>
      </c>
      <c r="K221" s="192">
        <f t="shared" si="25"/>
        <v>0.82969368313058767</v>
      </c>
      <c r="L221" s="191">
        <v>5658</v>
      </c>
      <c r="M221" s="191">
        <v>9006</v>
      </c>
      <c r="N221" s="192">
        <f t="shared" si="26"/>
        <v>9.7379524761270264E-2</v>
      </c>
      <c r="O221" s="192">
        <f t="shared" si="27"/>
        <v>0.88312210822772075</v>
      </c>
      <c r="P221" s="191">
        <f t="shared" si="28"/>
        <v>14624.82</v>
      </c>
      <c r="Q221"/>
      <c r="R221" s="191">
        <v>7</v>
      </c>
      <c r="S221" s="191">
        <v>877</v>
      </c>
      <c r="T221" s="191">
        <f t="shared" si="29"/>
        <v>-8.4285714285715585</v>
      </c>
      <c r="U221" s="191">
        <f t="shared" si="31"/>
        <v>868.57142857142844</v>
      </c>
      <c r="V221" s="192">
        <f t="shared" si="30"/>
        <v>9.9886104783599092E-2</v>
      </c>
    </row>
    <row r="222" spans="1:22" s="191" customFormat="1">
      <c r="A222" s="190">
        <v>41852</v>
      </c>
      <c r="B222" s="191">
        <v>902</v>
      </c>
      <c r="C222" s="191">
        <v>18260</v>
      </c>
      <c r="D222" s="191">
        <v>9759</v>
      </c>
      <c r="E222" s="191">
        <v>10035</v>
      </c>
      <c r="F222" s="191">
        <v>3099</v>
      </c>
      <c r="G222" s="191">
        <v>3099</v>
      </c>
      <c r="H222" s="192">
        <f t="shared" si="24"/>
        <v>1</v>
      </c>
      <c r="I222" s="191">
        <v>6936</v>
      </c>
      <c r="J222" s="191">
        <v>5660</v>
      </c>
      <c r="K222" s="192">
        <f t="shared" si="25"/>
        <v>0.81603229527104959</v>
      </c>
      <c r="L222" s="191">
        <v>5657</v>
      </c>
      <c r="M222" s="191">
        <v>9359</v>
      </c>
      <c r="N222" s="192">
        <f t="shared" si="26"/>
        <v>9.3492894540014956E-2</v>
      </c>
      <c r="O222" s="192">
        <f t="shared" si="27"/>
        <v>0.87284504235176885</v>
      </c>
      <c r="P222" s="191">
        <f t="shared" si="28"/>
        <v>13827.66</v>
      </c>
      <c r="Q222"/>
      <c r="R222" s="191">
        <v>0</v>
      </c>
      <c r="S222" s="191">
        <v>875</v>
      </c>
      <c r="T222" s="191">
        <f t="shared" si="29"/>
        <v>73.714285714285779</v>
      </c>
      <c r="U222" s="191">
        <f t="shared" si="31"/>
        <v>948.71428571428578</v>
      </c>
      <c r="V222" s="192">
        <f t="shared" si="30"/>
        <v>9.9897248544354375E-2</v>
      </c>
    </row>
    <row r="223" spans="1:22" s="191" customFormat="1">
      <c r="A223" s="190">
        <v>41859</v>
      </c>
      <c r="B223" s="191">
        <v>931</v>
      </c>
      <c r="C223" s="191">
        <v>17760</v>
      </c>
      <c r="D223" s="191">
        <v>9518</v>
      </c>
      <c r="E223" s="191">
        <v>10060</v>
      </c>
      <c r="F223" s="191">
        <v>3132</v>
      </c>
      <c r="G223" s="191">
        <v>3132</v>
      </c>
      <c r="H223" s="192">
        <f t="shared" si="24"/>
        <v>1</v>
      </c>
      <c r="I223" s="191">
        <v>6929</v>
      </c>
      <c r="J223" s="191">
        <v>5770</v>
      </c>
      <c r="K223" s="192">
        <f t="shared" si="25"/>
        <v>0.83273199595901282</v>
      </c>
      <c r="L223" s="191">
        <v>5767</v>
      </c>
      <c r="M223" s="191">
        <v>8922</v>
      </c>
      <c r="N223" s="192">
        <f t="shared" si="26"/>
        <v>9.97534185160278E-2</v>
      </c>
      <c r="O223" s="192">
        <f t="shared" si="27"/>
        <v>0.88489065606361827</v>
      </c>
      <c r="P223" s="191">
        <f t="shared" si="28"/>
        <v>14272.23</v>
      </c>
      <c r="Q223"/>
      <c r="R223" s="191">
        <v>0</v>
      </c>
      <c r="S223" s="191">
        <v>890</v>
      </c>
      <c r="T223" s="191">
        <f t="shared" si="29"/>
        <v>112.4285714285711</v>
      </c>
      <c r="U223" s="191">
        <f t="shared" si="31"/>
        <v>1002.4285714285711</v>
      </c>
      <c r="V223" s="192">
        <f t="shared" si="30"/>
        <v>9.9977533138620539E-2</v>
      </c>
    </row>
    <row r="224" spans="1:22" s="191" customFormat="1">
      <c r="A224" s="190">
        <v>41866</v>
      </c>
      <c r="B224" s="191">
        <v>937</v>
      </c>
      <c r="C224" s="191">
        <v>18251</v>
      </c>
      <c r="D224" s="191">
        <v>9152</v>
      </c>
      <c r="E224" s="191">
        <v>9647</v>
      </c>
      <c r="F224" s="191">
        <v>3059</v>
      </c>
      <c r="G224" s="191">
        <v>3059</v>
      </c>
      <c r="H224" s="192">
        <f t="shared" si="24"/>
        <v>1</v>
      </c>
      <c r="I224" s="191">
        <v>6589</v>
      </c>
      <c r="J224" s="191">
        <v>5608</v>
      </c>
      <c r="K224" s="192">
        <f t="shared" si="25"/>
        <v>0.85111549552284105</v>
      </c>
      <c r="L224" s="191">
        <v>5606</v>
      </c>
      <c r="M224" s="191">
        <v>8775</v>
      </c>
      <c r="N224" s="192">
        <f t="shared" si="26"/>
        <v>9.8461538461538461E-2</v>
      </c>
      <c r="O224" s="192">
        <f t="shared" si="27"/>
        <v>0.89841401471960192</v>
      </c>
      <c r="P224" s="191">
        <f t="shared" si="28"/>
        <v>14364.21</v>
      </c>
      <c r="Q224"/>
      <c r="R224" s="191">
        <v>0</v>
      </c>
      <c r="S224" s="191">
        <v>864</v>
      </c>
      <c r="T224" s="191">
        <f t="shared" si="29"/>
        <v>2.857142857143117</v>
      </c>
      <c r="U224" s="191">
        <f t="shared" si="31"/>
        <v>866.85714285714312</v>
      </c>
      <c r="V224" s="192">
        <f t="shared" si="30"/>
        <v>9.9688473520249218E-2</v>
      </c>
    </row>
    <row r="225" spans="1:22" s="191" customFormat="1">
      <c r="A225" s="190">
        <v>41873</v>
      </c>
      <c r="B225" s="191">
        <v>913</v>
      </c>
      <c r="C225" s="191">
        <v>17317</v>
      </c>
      <c r="D225" s="191">
        <v>9514</v>
      </c>
      <c r="E225" s="191">
        <v>9866</v>
      </c>
      <c r="F225" s="191">
        <v>3126</v>
      </c>
      <c r="G225" s="191">
        <v>3126</v>
      </c>
      <c r="H225" s="192">
        <f t="shared" si="24"/>
        <v>1</v>
      </c>
      <c r="I225" s="191">
        <v>6740</v>
      </c>
      <c r="J225" s="191">
        <v>5778</v>
      </c>
      <c r="K225" s="192">
        <f t="shared" si="25"/>
        <v>0.85727002967359045</v>
      </c>
      <c r="L225" s="191">
        <v>5775</v>
      </c>
      <c r="M225" s="191">
        <v>9100</v>
      </c>
      <c r="N225" s="192">
        <f t="shared" si="26"/>
        <v>9.7692307692307689E-2</v>
      </c>
      <c r="O225" s="192">
        <f t="shared" si="27"/>
        <v>0.90249341171700792</v>
      </c>
      <c r="P225" s="191">
        <f t="shared" si="28"/>
        <v>13996.29</v>
      </c>
      <c r="Q225"/>
      <c r="R225" s="191">
        <v>0</v>
      </c>
      <c r="S225" s="191">
        <v>889</v>
      </c>
      <c r="T225" s="191">
        <f t="shared" si="29"/>
        <v>157.42857142857156</v>
      </c>
      <c r="U225" s="191">
        <f t="shared" si="31"/>
        <v>1046.4285714285716</v>
      </c>
      <c r="V225" s="192">
        <f t="shared" si="30"/>
        <v>9.984276729559749E-2</v>
      </c>
    </row>
    <row r="226" spans="1:22" s="191" customFormat="1">
      <c r="A226" s="190">
        <v>41880</v>
      </c>
      <c r="B226" s="191">
        <v>921</v>
      </c>
      <c r="C226" s="191">
        <v>17673</v>
      </c>
      <c r="D226" s="191">
        <v>9572</v>
      </c>
      <c r="E226" s="191">
        <v>9435</v>
      </c>
      <c r="F226" s="191">
        <v>3147</v>
      </c>
      <c r="G226" s="191">
        <v>3147</v>
      </c>
      <c r="H226" s="192">
        <f t="shared" si="24"/>
        <v>1</v>
      </c>
      <c r="I226" s="191">
        <v>6288</v>
      </c>
      <c r="J226" s="191">
        <v>5655</v>
      </c>
      <c r="K226" s="192">
        <f t="shared" si="25"/>
        <v>0.89933206106870234</v>
      </c>
      <c r="L226" s="191">
        <v>5653</v>
      </c>
      <c r="M226" s="191">
        <v>9480</v>
      </c>
      <c r="N226" s="192">
        <f t="shared" si="26"/>
        <v>9.2827004219409287E-2</v>
      </c>
      <c r="O226" s="192">
        <f t="shared" si="27"/>
        <v>0.93290937996820344</v>
      </c>
      <c r="P226" s="191">
        <f t="shared" si="28"/>
        <v>14118.93</v>
      </c>
      <c r="Q226"/>
      <c r="R226" s="191">
        <v>0</v>
      </c>
      <c r="S226" s="191">
        <v>880</v>
      </c>
      <c r="T226" s="191">
        <f t="shared" si="29"/>
        <v>-9.857142857143117</v>
      </c>
      <c r="U226" s="191">
        <f t="shared" si="31"/>
        <v>870.14285714285688</v>
      </c>
      <c r="V226" s="192">
        <f t="shared" si="30"/>
        <v>9.9977277891388328E-2</v>
      </c>
    </row>
    <row r="227" spans="1:22" s="191" customFormat="1">
      <c r="A227" s="190">
        <v>41887</v>
      </c>
      <c r="B227" s="191">
        <v>927</v>
      </c>
      <c r="C227" s="191">
        <v>18021</v>
      </c>
      <c r="D227" s="191">
        <v>8965</v>
      </c>
      <c r="E227" s="191">
        <v>9497</v>
      </c>
      <c r="F227" s="191">
        <v>3062</v>
      </c>
      <c r="G227" s="191">
        <v>3062</v>
      </c>
      <c r="H227" s="192">
        <f t="shared" si="24"/>
        <v>1</v>
      </c>
      <c r="I227" s="191">
        <v>6436</v>
      </c>
      <c r="J227" s="191">
        <v>5491</v>
      </c>
      <c r="K227" s="192">
        <f t="shared" si="25"/>
        <v>0.85316967060285887</v>
      </c>
      <c r="L227" s="191">
        <v>5488</v>
      </c>
      <c r="M227" s="191">
        <v>8611</v>
      </c>
      <c r="N227" s="192">
        <f t="shared" si="26"/>
        <v>9.8710951109046569E-2</v>
      </c>
      <c r="O227" s="192">
        <f t="shared" si="27"/>
        <v>0.90060018953353693</v>
      </c>
      <c r="P227" s="191">
        <f t="shared" si="28"/>
        <v>14210.91</v>
      </c>
      <c r="Q227"/>
      <c r="R227" s="191">
        <v>0</v>
      </c>
      <c r="S227" s="191">
        <v>850</v>
      </c>
      <c r="T227" s="191">
        <f t="shared" si="29"/>
        <v>27.285714285714221</v>
      </c>
      <c r="U227" s="191">
        <f t="shared" si="31"/>
        <v>877.28571428571422</v>
      </c>
      <c r="V227" s="192">
        <f t="shared" si="30"/>
        <v>9.9380334385595695E-2</v>
      </c>
    </row>
    <row r="228" spans="1:22" s="191" customFormat="1">
      <c r="A228" s="190">
        <v>41894</v>
      </c>
      <c r="B228" s="191">
        <v>931</v>
      </c>
      <c r="C228" s="191">
        <v>18805</v>
      </c>
      <c r="D228" s="191">
        <v>9174</v>
      </c>
      <c r="E228" s="191">
        <v>9240</v>
      </c>
      <c r="F228" s="191">
        <v>3061</v>
      </c>
      <c r="G228" s="191">
        <v>3061</v>
      </c>
      <c r="H228" s="192">
        <f t="shared" si="24"/>
        <v>1</v>
      </c>
      <c r="I228" s="191">
        <v>6178</v>
      </c>
      <c r="J228" s="191">
        <v>5436</v>
      </c>
      <c r="K228" s="192">
        <f t="shared" si="25"/>
        <v>0.87989640660407897</v>
      </c>
      <c r="L228" s="191">
        <v>5434</v>
      </c>
      <c r="M228" s="191">
        <v>8707</v>
      </c>
      <c r="N228" s="192">
        <f t="shared" si="26"/>
        <v>9.7163202021362124E-2</v>
      </c>
      <c r="O228" s="192">
        <f t="shared" si="27"/>
        <v>0.91958874458874462</v>
      </c>
      <c r="P228" s="191">
        <f t="shared" si="28"/>
        <v>14272.23</v>
      </c>
      <c r="Q228"/>
      <c r="R228" s="191">
        <v>0</v>
      </c>
      <c r="S228" s="191">
        <v>846</v>
      </c>
      <c r="T228" s="191">
        <f t="shared" si="29"/>
        <v>-27</v>
      </c>
      <c r="U228" s="191">
        <f t="shared" si="31"/>
        <v>819</v>
      </c>
      <c r="V228" s="192">
        <f t="shared" si="30"/>
        <v>9.9564552194892311E-2</v>
      </c>
    </row>
    <row r="229" spans="1:22" s="191" customFormat="1">
      <c r="A229" s="190">
        <v>41901</v>
      </c>
      <c r="B229" s="191">
        <v>889</v>
      </c>
      <c r="C229" s="191">
        <v>18592</v>
      </c>
      <c r="D229" s="191">
        <v>9135</v>
      </c>
      <c r="E229" s="191">
        <v>9717</v>
      </c>
      <c r="F229" s="191">
        <v>3127</v>
      </c>
      <c r="G229" s="191">
        <v>3127</v>
      </c>
      <c r="H229" s="192">
        <f t="shared" si="24"/>
        <v>1</v>
      </c>
      <c r="I229" s="191">
        <v>6590</v>
      </c>
      <c r="J229" s="191">
        <v>5736</v>
      </c>
      <c r="K229" s="192">
        <f t="shared" si="25"/>
        <v>0.87040971168437031</v>
      </c>
      <c r="L229" s="191">
        <v>5735</v>
      </c>
      <c r="M229" s="191">
        <v>8781</v>
      </c>
      <c r="N229" s="192">
        <f t="shared" si="26"/>
        <v>0.1008996697414873</v>
      </c>
      <c r="O229" s="192">
        <f t="shared" si="27"/>
        <v>0.91211279201399609</v>
      </c>
      <c r="P229" s="191">
        <f t="shared" si="28"/>
        <v>13628.37</v>
      </c>
      <c r="Q229"/>
      <c r="R229" s="191">
        <v>0</v>
      </c>
      <c r="S229" s="191">
        <v>886</v>
      </c>
      <c r="T229" s="191">
        <f t="shared" si="29"/>
        <v>33.428571428571558</v>
      </c>
      <c r="U229" s="191">
        <f t="shared" si="31"/>
        <v>919.42857142857156</v>
      </c>
      <c r="V229" s="192">
        <f t="shared" si="30"/>
        <v>9.9966151415999099E-2</v>
      </c>
    </row>
    <row r="230" spans="1:22" s="191" customFormat="1">
      <c r="A230" s="190">
        <v>41908</v>
      </c>
      <c r="B230" s="191">
        <v>881</v>
      </c>
      <c r="C230" s="191">
        <v>18828</v>
      </c>
      <c r="D230" s="191">
        <v>9045</v>
      </c>
      <c r="E230" s="191">
        <v>9238</v>
      </c>
      <c r="F230" s="191">
        <v>3056</v>
      </c>
      <c r="G230" s="191">
        <v>3056</v>
      </c>
      <c r="H230" s="192">
        <f t="shared" si="24"/>
        <v>1</v>
      </c>
      <c r="I230" s="191">
        <v>6182</v>
      </c>
      <c r="J230" s="191">
        <v>5552</v>
      </c>
      <c r="K230" s="192">
        <f t="shared" si="25"/>
        <v>0.89809123261080559</v>
      </c>
      <c r="L230" s="191">
        <v>5551</v>
      </c>
      <c r="M230" s="191">
        <v>8660</v>
      </c>
      <c r="N230" s="192">
        <f t="shared" si="26"/>
        <v>9.9538106235565818E-2</v>
      </c>
      <c r="O230" s="192">
        <f t="shared" si="27"/>
        <v>0.93180342065382116</v>
      </c>
      <c r="P230" s="191">
        <f t="shared" si="28"/>
        <v>13505.73</v>
      </c>
      <c r="Q230"/>
      <c r="R230" s="191">
        <v>0</v>
      </c>
      <c r="S230" s="191">
        <v>862</v>
      </c>
      <c r="T230" s="191">
        <f t="shared" si="29"/>
        <v>-14.714285714285779</v>
      </c>
      <c r="U230" s="191">
        <f t="shared" si="31"/>
        <v>847.28571428571422</v>
      </c>
      <c r="V230" s="192">
        <f t="shared" si="30"/>
        <v>0.10013940520446096</v>
      </c>
    </row>
    <row r="231" spans="1:22" s="191" customFormat="1">
      <c r="A231" s="190">
        <v>41915</v>
      </c>
      <c r="B231" s="191">
        <v>901</v>
      </c>
      <c r="C231" s="191">
        <v>18651</v>
      </c>
      <c r="D231" s="191">
        <v>8874</v>
      </c>
      <c r="E231" s="191">
        <v>9270</v>
      </c>
      <c r="F231" s="191">
        <v>3076</v>
      </c>
      <c r="G231" s="191">
        <v>3076</v>
      </c>
      <c r="H231" s="192">
        <f t="shared" si="24"/>
        <v>1</v>
      </c>
      <c r="I231" s="191">
        <v>6194</v>
      </c>
      <c r="J231" s="191">
        <v>5471</v>
      </c>
      <c r="K231" s="192">
        <f t="shared" si="25"/>
        <v>0.88327413626089768</v>
      </c>
      <c r="L231" s="191">
        <v>5469</v>
      </c>
      <c r="M231" s="191">
        <v>8645</v>
      </c>
      <c r="N231" s="192">
        <f t="shared" si="26"/>
        <v>9.9248120300751877E-2</v>
      </c>
      <c r="O231" s="192">
        <f t="shared" si="27"/>
        <v>0.92200647249190937</v>
      </c>
      <c r="P231" s="191">
        <f t="shared" si="28"/>
        <v>13812.33</v>
      </c>
      <c r="Q231"/>
      <c r="R231" s="191">
        <v>0</v>
      </c>
      <c r="S231" s="191">
        <v>858</v>
      </c>
      <c r="T231" s="191">
        <f t="shared" si="29"/>
        <v>68.285714285714221</v>
      </c>
      <c r="U231" s="191">
        <f t="shared" si="31"/>
        <v>926.28571428571422</v>
      </c>
      <c r="V231" s="192">
        <f t="shared" si="30"/>
        <v>0.10038610038610038</v>
      </c>
    </row>
    <row r="232" spans="1:22" s="191" customFormat="1">
      <c r="A232" s="190">
        <v>41922</v>
      </c>
      <c r="B232" s="191">
        <v>885</v>
      </c>
      <c r="C232" s="191">
        <v>18356</v>
      </c>
      <c r="D232" s="191">
        <v>9254</v>
      </c>
      <c r="E232" s="191">
        <v>9508</v>
      </c>
      <c r="F232" s="191">
        <v>3127</v>
      </c>
      <c r="G232" s="191">
        <v>3127</v>
      </c>
      <c r="H232" s="192">
        <f t="shared" si="24"/>
        <v>1</v>
      </c>
      <c r="I232" s="191">
        <v>6381</v>
      </c>
      <c r="J232" s="191">
        <v>5731</v>
      </c>
      <c r="K232" s="192">
        <f t="shared" si="25"/>
        <v>0.89813508854411539</v>
      </c>
      <c r="L232" s="191">
        <v>5728</v>
      </c>
      <c r="M232" s="191">
        <v>9043</v>
      </c>
      <c r="N232" s="192">
        <f t="shared" si="26"/>
        <v>9.7865752515758048E-2</v>
      </c>
      <c r="O232" s="192">
        <f t="shared" si="27"/>
        <v>0.93163651661758518</v>
      </c>
      <c r="P232" s="191">
        <f t="shared" si="28"/>
        <v>13567.05</v>
      </c>
      <c r="Q232"/>
      <c r="R232" s="191">
        <v>3</v>
      </c>
      <c r="S232" s="191">
        <v>885</v>
      </c>
      <c r="T232" s="191">
        <f t="shared" si="29"/>
        <v>45.142857142857338</v>
      </c>
      <c r="U232" s="191">
        <f t="shared" si="31"/>
        <v>930.14285714285734</v>
      </c>
      <c r="V232" s="192">
        <f t="shared" si="30"/>
        <v>9.9909686159403932E-2</v>
      </c>
    </row>
    <row r="233" spans="1:22" s="191" customFormat="1">
      <c r="A233" s="190">
        <v>41929</v>
      </c>
      <c r="B233" s="191">
        <v>896</v>
      </c>
      <c r="C233" s="191">
        <v>17940</v>
      </c>
      <c r="D233" s="191">
        <v>9313</v>
      </c>
      <c r="E233" s="191">
        <v>9548</v>
      </c>
      <c r="F233" s="191">
        <v>3068</v>
      </c>
      <c r="G233" s="191">
        <v>3068</v>
      </c>
      <c r="H233" s="192">
        <f t="shared" si="24"/>
        <v>1</v>
      </c>
      <c r="I233" s="191">
        <v>6480</v>
      </c>
      <c r="J233" s="191">
        <v>5684</v>
      </c>
      <c r="K233" s="192">
        <f t="shared" si="25"/>
        <v>0.87716049382716055</v>
      </c>
      <c r="L233" s="191">
        <v>5682</v>
      </c>
      <c r="M233" s="191">
        <v>8836</v>
      </c>
      <c r="N233" s="192">
        <f t="shared" si="26"/>
        <v>9.913988229968311E-2</v>
      </c>
      <c r="O233" s="192">
        <f t="shared" si="27"/>
        <v>0.91663175534143271</v>
      </c>
      <c r="P233" s="191">
        <f t="shared" si="28"/>
        <v>13735.68</v>
      </c>
      <c r="Q233"/>
      <c r="R233" s="191">
        <v>0</v>
      </c>
      <c r="S233" s="191">
        <v>876</v>
      </c>
      <c r="T233" s="191">
        <f t="shared" si="29"/>
        <v>79.428571428571558</v>
      </c>
      <c r="U233" s="191">
        <f t="shared" si="31"/>
        <v>955.42857142857156</v>
      </c>
      <c r="V233" s="192">
        <f t="shared" si="30"/>
        <v>0.10009140767824497</v>
      </c>
    </row>
    <row r="234" spans="1:22" s="191" customFormat="1">
      <c r="A234" s="190">
        <v>41936</v>
      </c>
      <c r="B234" s="191">
        <v>937</v>
      </c>
      <c r="C234" s="191">
        <v>17039</v>
      </c>
      <c r="D234" s="191">
        <v>9078</v>
      </c>
      <c r="E234" s="191">
        <v>9467</v>
      </c>
      <c r="F234" s="191">
        <v>3108</v>
      </c>
      <c r="G234" s="191">
        <v>3108</v>
      </c>
      <c r="H234" s="192">
        <f t="shared" si="24"/>
        <v>1</v>
      </c>
      <c r="I234" s="191">
        <v>6359</v>
      </c>
      <c r="J234" s="191">
        <v>5627</v>
      </c>
      <c r="K234" s="192">
        <f t="shared" si="25"/>
        <v>0.88488756093725429</v>
      </c>
      <c r="L234" s="191">
        <v>5625</v>
      </c>
      <c r="M234" s="191">
        <v>8867</v>
      </c>
      <c r="N234" s="192">
        <f t="shared" si="26"/>
        <v>9.9018833878425624E-2</v>
      </c>
      <c r="O234" s="192">
        <f t="shared" si="27"/>
        <v>0.9226787789162354</v>
      </c>
      <c r="P234" s="191">
        <f t="shared" si="28"/>
        <v>14364.21</v>
      </c>
      <c r="Q234"/>
      <c r="R234" s="191">
        <v>0</v>
      </c>
      <c r="S234" s="191">
        <v>878</v>
      </c>
      <c r="T234" s="191">
        <f t="shared" si="29"/>
        <v>187.71428571428532</v>
      </c>
      <c r="U234" s="191">
        <f t="shared" si="31"/>
        <v>1065.7142857142853</v>
      </c>
      <c r="V234" s="192">
        <f t="shared" si="30"/>
        <v>0.10051516886090441</v>
      </c>
    </row>
    <row r="235" spans="1:22" s="191" customFormat="1">
      <c r="A235" s="190">
        <v>41943</v>
      </c>
      <c r="B235" s="191">
        <v>929</v>
      </c>
      <c r="C235" s="191">
        <v>17169</v>
      </c>
      <c r="D235" s="191">
        <v>9695</v>
      </c>
      <c r="E235" s="191">
        <v>9458</v>
      </c>
      <c r="F235" s="191">
        <v>3072</v>
      </c>
      <c r="G235" s="191">
        <v>3072</v>
      </c>
      <c r="H235" s="192">
        <f t="shared" si="24"/>
        <v>1</v>
      </c>
      <c r="I235" s="191">
        <v>6386</v>
      </c>
      <c r="J235" s="191">
        <v>5531</v>
      </c>
      <c r="K235" s="192">
        <f t="shared" si="25"/>
        <v>0.86611337300344504</v>
      </c>
      <c r="L235" s="191">
        <v>5529</v>
      </c>
      <c r="M235" s="191">
        <v>9162</v>
      </c>
      <c r="N235" s="192">
        <f t="shared" si="26"/>
        <v>9.3865968129229427E-2</v>
      </c>
      <c r="O235" s="192">
        <f t="shared" si="27"/>
        <v>0.90960033833791498</v>
      </c>
      <c r="P235" s="191">
        <f t="shared" si="28"/>
        <v>14241.57</v>
      </c>
      <c r="Q235"/>
      <c r="R235" s="191">
        <v>0</v>
      </c>
      <c r="S235" s="191">
        <v>860</v>
      </c>
      <c r="T235" s="191">
        <f t="shared" si="29"/>
        <v>50.428571428571558</v>
      </c>
      <c r="U235" s="191">
        <f t="shared" si="31"/>
        <v>910.42857142857156</v>
      </c>
      <c r="V235" s="192">
        <f t="shared" si="30"/>
        <v>9.9965128443566198E-2</v>
      </c>
    </row>
    <row r="236" spans="1:22" s="191" customFormat="1">
      <c r="A236" s="190">
        <v>41950</v>
      </c>
      <c r="B236" s="191">
        <v>946</v>
      </c>
      <c r="C236" s="191">
        <v>17705</v>
      </c>
      <c r="D236" s="191">
        <v>9345</v>
      </c>
      <c r="E236" s="191">
        <v>9429</v>
      </c>
      <c r="F236" s="191">
        <v>3088</v>
      </c>
      <c r="G236" s="191">
        <v>3088</v>
      </c>
      <c r="H236" s="192">
        <f t="shared" si="24"/>
        <v>1</v>
      </c>
      <c r="I236" s="191">
        <v>6341</v>
      </c>
      <c r="J236" s="191">
        <v>5528</v>
      </c>
      <c r="K236" s="192">
        <f t="shared" si="25"/>
        <v>0.87178678441886137</v>
      </c>
      <c r="L236" s="191">
        <v>5526</v>
      </c>
      <c r="M236" s="191">
        <v>9005</v>
      </c>
      <c r="N236" s="192">
        <f t="shared" si="26"/>
        <v>9.5502498611882286E-2</v>
      </c>
      <c r="O236" s="192">
        <f t="shared" si="27"/>
        <v>0.91377664651606749</v>
      </c>
      <c r="P236" s="191">
        <f t="shared" si="28"/>
        <v>14502.18</v>
      </c>
      <c r="Q236"/>
      <c r="R236" s="191">
        <v>0</v>
      </c>
      <c r="S236" s="191">
        <v>860</v>
      </c>
      <c r="T236" s="191">
        <f t="shared" si="29"/>
        <v>9.4285714285715585</v>
      </c>
      <c r="U236" s="191">
        <f t="shared" si="31"/>
        <v>869.42857142857156</v>
      </c>
      <c r="V236" s="192">
        <f t="shared" si="30"/>
        <v>9.9814298978644383E-2</v>
      </c>
    </row>
    <row r="237" spans="1:22" s="191" customFormat="1">
      <c r="A237" s="190">
        <v>41957</v>
      </c>
      <c r="B237" s="191">
        <v>970</v>
      </c>
      <c r="C237" s="191">
        <v>17335</v>
      </c>
      <c r="D237" s="191">
        <v>9630</v>
      </c>
      <c r="E237" s="191">
        <v>9554</v>
      </c>
      <c r="F237" s="191">
        <v>3042</v>
      </c>
      <c r="G237" s="191">
        <v>3042</v>
      </c>
      <c r="H237" s="192">
        <f t="shared" si="24"/>
        <v>1</v>
      </c>
      <c r="I237" s="191">
        <v>6512</v>
      </c>
      <c r="J237" s="191">
        <v>5487</v>
      </c>
      <c r="K237" s="192">
        <f t="shared" si="25"/>
        <v>0.84259828009828008</v>
      </c>
      <c r="L237" s="191">
        <v>5484</v>
      </c>
      <c r="M237" s="191">
        <v>9194</v>
      </c>
      <c r="N237" s="192">
        <f t="shared" si="26"/>
        <v>9.2886665216445508E-2</v>
      </c>
      <c r="O237" s="192">
        <f t="shared" si="27"/>
        <v>0.89271509315469966</v>
      </c>
      <c r="P237" s="191">
        <f t="shared" si="28"/>
        <v>14870.1</v>
      </c>
      <c r="Q237"/>
      <c r="R237" s="191">
        <v>0</v>
      </c>
      <c r="S237" s="191">
        <v>854</v>
      </c>
      <c r="T237" s="191">
        <f t="shared" si="29"/>
        <v>168.85714285714266</v>
      </c>
      <c r="U237" s="191">
        <f t="shared" si="31"/>
        <v>1022.8571428571427</v>
      </c>
      <c r="V237" s="192">
        <f t="shared" si="30"/>
        <v>0.10012897174346348</v>
      </c>
    </row>
    <row r="238" spans="1:22" s="191" customFormat="1">
      <c r="A238" s="190">
        <v>41964</v>
      </c>
      <c r="B238" s="191">
        <v>982</v>
      </c>
      <c r="C238" s="191">
        <v>17072</v>
      </c>
      <c r="D238" s="191">
        <v>9641</v>
      </c>
      <c r="E238" s="191">
        <v>9613</v>
      </c>
      <c r="F238" s="191">
        <v>3114</v>
      </c>
      <c r="G238" s="191">
        <v>3114</v>
      </c>
      <c r="H238" s="192">
        <f t="shared" si="24"/>
        <v>1</v>
      </c>
      <c r="I238" s="191">
        <v>6499</v>
      </c>
      <c r="J238" s="191">
        <v>5610</v>
      </c>
      <c r="K238" s="192">
        <f t="shared" si="25"/>
        <v>0.86320972457301126</v>
      </c>
      <c r="L238" s="191">
        <v>5609</v>
      </c>
      <c r="M238" s="191">
        <v>9254</v>
      </c>
      <c r="N238" s="192">
        <f t="shared" si="26"/>
        <v>9.4445645126431818E-2</v>
      </c>
      <c r="O238" s="192">
        <f t="shared" si="27"/>
        <v>0.90752106522417564</v>
      </c>
      <c r="P238" s="191">
        <f t="shared" si="28"/>
        <v>15054.06</v>
      </c>
      <c r="Q238"/>
      <c r="R238" s="191">
        <v>0</v>
      </c>
      <c r="S238" s="191">
        <v>874</v>
      </c>
      <c r="T238" s="191">
        <f t="shared" si="29"/>
        <v>145.5714285714289</v>
      </c>
      <c r="U238" s="191">
        <f t="shared" si="31"/>
        <v>1019.5714285714289</v>
      </c>
      <c r="V238" s="192">
        <f t="shared" si="30"/>
        <v>0.10018340210912426</v>
      </c>
    </row>
    <row r="239" spans="1:22" s="191" customFormat="1">
      <c r="A239" s="190">
        <v>41971</v>
      </c>
      <c r="B239" s="191">
        <v>962</v>
      </c>
      <c r="C239" s="191">
        <v>17289</v>
      </c>
      <c r="D239" s="191">
        <v>9593</v>
      </c>
      <c r="E239" s="191">
        <v>9557</v>
      </c>
      <c r="F239" s="191">
        <v>3032</v>
      </c>
      <c r="G239" s="191">
        <v>3032</v>
      </c>
      <c r="H239" s="192">
        <f t="shared" si="24"/>
        <v>1</v>
      </c>
      <c r="I239" s="191">
        <v>6525</v>
      </c>
      <c r="J239" s="191">
        <v>5537</v>
      </c>
      <c r="K239" s="192">
        <f t="shared" si="25"/>
        <v>0.84858237547892723</v>
      </c>
      <c r="L239" s="191">
        <v>5535</v>
      </c>
      <c r="M239" s="191">
        <v>9425</v>
      </c>
      <c r="N239" s="192">
        <f t="shared" si="26"/>
        <v>9.0822281167108748E-2</v>
      </c>
      <c r="O239" s="192">
        <f t="shared" si="27"/>
        <v>0.89662027833001989</v>
      </c>
      <c r="P239" s="191">
        <f t="shared" si="28"/>
        <v>14747.46</v>
      </c>
      <c r="Q239"/>
      <c r="R239" s="191">
        <v>0</v>
      </c>
      <c r="S239" s="191">
        <v>856</v>
      </c>
      <c r="T239" s="191">
        <f t="shared" si="29"/>
        <v>75</v>
      </c>
      <c r="U239" s="191">
        <f t="shared" si="31"/>
        <v>931</v>
      </c>
      <c r="V239" s="192">
        <f t="shared" si="30"/>
        <v>9.9894970241568445E-2</v>
      </c>
    </row>
    <row r="240" spans="1:22" s="191" customFormat="1">
      <c r="A240" s="190">
        <v>41978</v>
      </c>
      <c r="B240" s="191">
        <v>988</v>
      </c>
      <c r="C240" s="191">
        <v>17750</v>
      </c>
      <c r="D240" s="191">
        <v>9169</v>
      </c>
      <c r="E240" s="191">
        <v>9530</v>
      </c>
      <c r="F240" s="191">
        <v>2961</v>
      </c>
      <c r="G240" s="191">
        <v>2961</v>
      </c>
      <c r="H240" s="192">
        <f t="shared" si="24"/>
        <v>1</v>
      </c>
      <c r="I240" s="191">
        <v>6569</v>
      </c>
      <c r="J240" s="191">
        <v>5430</v>
      </c>
      <c r="K240" s="192">
        <f t="shared" si="25"/>
        <v>0.82660983406911248</v>
      </c>
      <c r="L240" s="191">
        <v>5429</v>
      </c>
      <c r="M240" s="191">
        <v>8549</v>
      </c>
      <c r="N240" s="192">
        <f t="shared" si="26"/>
        <v>9.8023160603579365E-2</v>
      </c>
      <c r="O240" s="192">
        <f t="shared" si="27"/>
        <v>0.88048268625393489</v>
      </c>
      <c r="P240" s="191">
        <f t="shared" si="28"/>
        <v>15146.04</v>
      </c>
      <c r="Q240"/>
      <c r="R240" s="191">
        <v>0</v>
      </c>
      <c r="S240" s="191">
        <v>838</v>
      </c>
      <c r="T240" s="191">
        <f t="shared" si="29"/>
        <v>84.142857142856883</v>
      </c>
      <c r="U240" s="191">
        <f t="shared" si="31"/>
        <v>922.14285714285688</v>
      </c>
      <c r="V240" s="192">
        <f t="shared" si="30"/>
        <v>9.9868907162435946E-2</v>
      </c>
    </row>
    <row r="241" spans="1:22" s="191" customFormat="1">
      <c r="A241" s="190">
        <v>41985</v>
      </c>
      <c r="B241" s="191">
        <v>990</v>
      </c>
      <c r="C241" s="191">
        <v>17659</v>
      </c>
      <c r="D241" s="191">
        <v>9652</v>
      </c>
      <c r="E241" s="191">
        <v>9885</v>
      </c>
      <c r="F241" s="191">
        <v>3083</v>
      </c>
      <c r="G241" s="191">
        <v>3083</v>
      </c>
      <c r="H241" s="192">
        <f t="shared" si="24"/>
        <v>1</v>
      </c>
      <c r="I241" s="191">
        <v>6801</v>
      </c>
      <c r="J241" s="191">
        <v>5500</v>
      </c>
      <c r="K241" s="192">
        <f t="shared" si="25"/>
        <v>0.80870460226437291</v>
      </c>
      <c r="L241" s="191">
        <v>5498</v>
      </c>
      <c r="M241" s="191">
        <v>9373</v>
      </c>
      <c r="N241" s="192">
        <f t="shared" si="26"/>
        <v>9.1432839005654534E-2</v>
      </c>
      <c r="O241" s="192">
        <f t="shared" si="27"/>
        <v>0.8682852807283763</v>
      </c>
      <c r="P241" s="191">
        <f t="shared" si="28"/>
        <v>15176.7</v>
      </c>
      <c r="Q241"/>
      <c r="R241" s="191">
        <v>0</v>
      </c>
      <c r="S241" s="191">
        <v>857</v>
      </c>
      <c r="T241" s="191">
        <f t="shared" si="29"/>
        <v>146</v>
      </c>
      <c r="U241" s="191">
        <f t="shared" si="31"/>
        <v>1003</v>
      </c>
      <c r="V241" s="192">
        <f t="shared" si="30"/>
        <v>9.9848537807293483E-2</v>
      </c>
    </row>
    <row r="242" spans="1:22" s="191" customFormat="1">
      <c r="A242" s="190">
        <v>41992</v>
      </c>
      <c r="B242" s="191">
        <v>992</v>
      </c>
      <c r="C242" s="191">
        <v>17615</v>
      </c>
      <c r="D242" s="191">
        <v>9920</v>
      </c>
      <c r="E242" s="191">
        <v>9990</v>
      </c>
      <c r="F242" s="191">
        <v>3165</v>
      </c>
      <c r="G242" s="191">
        <v>3165</v>
      </c>
      <c r="H242" s="192">
        <f t="shared" si="24"/>
        <v>1</v>
      </c>
      <c r="I242" s="191">
        <v>6825</v>
      </c>
      <c r="J242" s="191">
        <v>5635</v>
      </c>
      <c r="K242" s="192">
        <f t="shared" si="25"/>
        <v>0.82564102564102559</v>
      </c>
      <c r="L242" s="191">
        <v>5634</v>
      </c>
      <c r="M242" s="191">
        <v>9518</v>
      </c>
      <c r="N242" s="192">
        <f t="shared" si="26"/>
        <v>9.2456398403025844E-2</v>
      </c>
      <c r="O242" s="192">
        <f t="shared" si="27"/>
        <v>0.8808808808808809</v>
      </c>
      <c r="P242" s="191">
        <f t="shared" si="28"/>
        <v>15207.36</v>
      </c>
      <c r="Q242"/>
      <c r="R242" s="191">
        <v>0</v>
      </c>
      <c r="S242" s="191">
        <v>880</v>
      </c>
      <c r="T242" s="191">
        <f t="shared" si="29"/>
        <v>118.28571428571422</v>
      </c>
      <c r="U242" s="191">
        <f t="shared" si="31"/>
        <v>998.28571428571422</v>
      </c>
      <c r="V242" s="192">
        <f t="shared" si="30"/>
        <v>0.1</v>
      </c>
    </row>
    <row r="243" spans="1:22" s="191" customFormat="1">
      <c r="A243" s="190">
        <v>41999</v>
      </c>
      <c r="B243" s="191">
        <v>972</v>
      </c>
      <c r="C243" s="191">
        <v>18094</v>
      </c>
      <c r="D243" s="191">
        <v>10195</v>
      </c>
      <c r="E243" s="191">
        <v>9759</v>
      </c>
      <c r="F243" s="191">
        <v>3064</v>
      </c>
      <c r="G243" s="191">
        <v>3064</v>
      </c>
      <c r="H243" s="192">
        <f t="shared" si="24"/>
        <v>1</v>
      </c>
      <c r="I243" s="191">
        <v>6694</v>
      </c>
      <c r="J243" s="191">
        <v>5475</v>
      </c>
      <c r="K243" s="192">
        <f t="shared" si="25"/>
        <v>0.81789662384224682</v>
      </c>
      <c r="L243" s="191">
        <v>5474</v>
      </c>
      <c r="M243" s="191">
        <v>9614</v>
      </c>
      <c r="N243" s="192">
        <f t="shared" si="26"/>
        <v>8.9036821302267533E-2</v>
      </c>
      <c r="O243" s="192">
        <f t="shared" si="27"/>
        <v>0.87498719131058511</v>
      </c>
      <c r="P243" s="191">
        <f t="shared" si="28"/>
        <v>14900.76</v>
      </c>
      <c r="Q243"/>
      <c r="R243" s="191">
        <v>18</v>
      </c>
      <c r="S243" s="191">
        <v>856</v>
      </c>
      <c r="T243" s="191">
        <f t="shared" si="29"/>
        <v>65.571428571428896</v>
      </c>
      <c r="U243" s="191">
        <f t="shared" si="31"/>
        <v>921.5714285714289</v>
      </c>
      <c r="V243" s="192">
        <f t="shared" si="30"/>
        <v>0.1002459304368193</v>
      </c>
    </row>
    <row r="244" spans="1:22" s="191" customFormat="1">
      <c r="A244" s="190">
        <v>42006</v>
      </c>
      <c r="B244" s="191">
        <v>949</v>
      </c>
      <c r="C244" s="191">
        <v>18845</v>
      </c>
      <c r="D244" s="191">
        <v>8701</v>
      </c>
      <c r="E244" s="191">
        <v>9037</v>
      </c>
      <c r="F244" s="191">
        <v>2790</v>
      </c>
      <c r="G244" s="191">
        <v>2790</v>
      </c>
      <c r="H244" s="192">
        <f t="shared" si="24"/>
        <v>1</v>
      </c>
      <c r="I244" s="191">
        <v>6247</v>
      </c>
      <c r="J244" s="191">
        <v>5129</v>
      </c>
      <c r="K244" s="192">
        <f t="shared" si="25"/>
        <v>0.82103409636625579</v>
      </c>
      <c r="L244" s="191">
        <v>5129</v>
      </c>
      <c r="M244" s="191">
        <v>8809</v>
      </c>
      <c r="N244" s="192">
        <f t="shared" si="26"/>
        <v>8.9567487796571685E-2</v>
      </c>
      <c r="O244" s="192">
        <f t="shared" si="27"/>
        <v>0.87628637822286159</v>
      </c>
      <c r="P244" s="191">
        <f t="shared" si="28"/>
        <v>14548.17</v>
      </c>
      <c r="Q244"/>
      <c r="R244" s="191">
        <v>0</v>
      </c>
      <c r="S244" s="191">
        <v>789</v>
      </c>
      <c r="T244" s="191">
        <f t="shared" si="29"/>
        <v>52.714285714285325</v>
      </c>
      <c r="U244" s="191">
        <f t="shared" si="31"/>
        <v>841.71428571428532</v>
      </c>
      <c r="V244" s="192">
        <f t="shared" si="30"/>
        <v>9.963379214547291E-2</v>
      </c>
    </row>
    <row r="245" spans="1:22" s="191" customFormat="1">
      <c r="A245" s="190">
        <v>42013</v>
      </c>
      <c r="B245" s="191">
        <v>978</v>
      </c>
      <c r="C245" s="191">
        <v>20229</v>
      </c>
      <c r="D245" s="191">
        <v>9125</v>
      </c>
      <c r="E245" s="191">
        <v>9071</v>
      </c>
      <c r="F245" s="191">
        <v>2875</v>
      </c>
      <c r="G245" s="191">
        <v>2875</v>
      </c>
      <c r="H245" s="192">
        <f t="shared" si="24"/>
        <v>1</v>
      </c>
      <c r="I245" s="191">
        <v>6196</v>
      </c>
      <c r="J245" s="191">
        <v>5288</v>
      </c>
      <c r="K245" s="192">
        <f t="shared" si="25"/>
        <v>0.85345384118786316</v>
      </c>
      <c r="L245" s="191">
        <v>5287</v>
      </c>
      <c r="M245" s="191">
        <v>8875</v>
      </c>
      <c r="N245" s="192">
        <f t="shared" si="26"/>
        <v>9.1830985915492963E-2</v>
      </c>
      <c r="O245" s="192">
        <f t="shared" si="27"/>
        <v>0.89990078271414398</v>
      </c>
      <c r="P245" s="191">
        <f t="shared" si="28"/>
        <v>14992.74</v>
      </c>
      <c r="Q245"/>
      <c r="R245" s="191">
        <v>0</v>
      </c>
      <c r="S245" s="191">
        <v>815</v>
      </c>
      <c r="T245" s="191">
        <f t="shared" si="29"/>
        <v>-34.714285714285325</v>
      </c>
      <c r="U245" s="191">
        <f t="shared" si="31"/>
        <v>780.28571428571468</v>
      </c>
      <c r="V245" s="192">
        <f t="shared" si="30"/>
        <v>9.9840744824206781E-2</v>
      </c>
    </row>
    <row r="246" spans="1:22" s="191" customFormat="1">
      <c r="A246" s="190">
        <v>42020</v>
      </c>
      <c r="B246" s="191">
        <v>979</v>
      </c>
      <c r="C246" s="191">
        <v>20387</v>
      </c>
      <c r="D246" s="191">
        <v>9215</v>
      </c>
      <c r="E246" s="191">
        <v>9451</v>
      </c>
      <c r="F246" s="191">
        <v>3014</v>
      </c>
      <c r="G246" s="191">
        <v>3014</v>
      </c>
      <c r="H246" s="192">
        <f t="shared" si="24"/>
        <v>1</v>
      </c>
      <c r="I246" s="191">
        <v>6437</v>
      </c>
      <c r="J246" s="191">
        <v>5371</v>
      </c>
      <c r="K246" s="192">
        <f t="shared" si="25"/>
        <v>0.83439490445859876</v>
      </c>
      <c r="L246" s="191">
        <v>5369</v>
      </c>
      <c r="M246" s="191">
        <v>8851</v>
      </c>
      <c r="N246" s="192">
        <f t="shared" si="26"/>
        <v>9.4565585809513047E-2</v>
      </c>
      <c r="O246" s="192">
        <f t="shared" si="27"/>
        <v>0.88720770288858319</v>
      </c>
      <c r="P246" s="191">
        <f t="shared" si="28"/>
        <v>15008.07</v>
      </c>
      <c r="Q246"/>
      <c r="R246" s="191">
        <v>0</v>
      </c>
      <c r="S246" s="191">
        <v>837</v>
      </c>
      <c r="T246" s="191">
        <f t="shared" si="29"/>
        <v>119.4285714285711</v>
      </c>
      <c r="U246" s="191">
        <f t="shared" si="31"/>
        <v>956.4285714285711</v>
      </c>
      <c r="V246" s="192">
        <f t="shared" si="30"/>
        <v>9.9821109123434698E-2</v>
      </c>
    </row>
    <row r="247" spans="1:22" s="191" customFormat="1">
      <c r="A247" s="190">
        <v>42027</v>
      </c>
      <c r="B247" s="191">
        <v>978</v>
      </c>
      <c r="C247" s="191">
        <v>20631</v>
      </c>
      <c r="D247" s="191">
        <v>9177</v>
      </c>
      <c r="E247" s="191">
        <v>9304</v>
      </c>
      <c r="F247" s="191">
        <v>3036</v>
      </c>
      <c r="G247" s="191">
        <v>3036</v>
      </c>
      <c r="H247" s="192">
        <f t="shared" si="24"/>
        <v>1</v>
      </c>
      <c r="I247" s="191">
        <v>6268</v>
      </c>
      <c r="J247" s="191">
        <v>5422</v>
      </c>
      <c r="K247" s="192">
        <f t="shared" si="25"/>
        <v>0.86502871729419273</v>
      </c>
      <c r="L247" s="191">
        <v>5421</v>
      </c>
      <c r="M247" s="191">
        <v>9022</v>
      </c>
      <c r="N247" s="192">
        <f t="shared" si="26"/>
        <v>9.3327421857681225E-2</v>
      </c>
      <c r="O247" s="192">
        <f t="shared" si="27"/>
        <v>0.90907136715391235</v>
      </c>
      <c r="P247" s="191">
        <f t="shared" si="28"/>
        <v>14992.74</v>
      </c>
      <c r="Q247"/>
      <c r="R247" s="191">
        <v>0</v>
      </c>
      <c r="S247" s="191">
        <v>842</v>
      </c>
      <c r="T247" s="191">
        <f t="shared" si="29"/>
        <v>101.14285714285734</v>
      </c>
      <c r="U247" s="191">
        <f t="shared" si="31"/>
        <v>943.14285714285734</v>
      </c>
      <c r="V247" s="192">
        <f t="shared" si="30"/>
        <v>9.9550721210688101E-2</v>
      </c>
    </row>
    <row r="248" spans="1:22" s="191" customFormat="1">
      <c r="A248" s="190">
        <v>42034</v>
      </c>
      <c r="B248" s="191">
        <v>948</v>
      </c>
      <c r="C248" s="191">
        <v>20986</v>
      </c>
      <c r="D248" s="191">
        <v>9087</v>
      </c>
      <c r="E248" s="191">
        <v>9402</v>
      </c>
      <c r="F248" s="191">
        <v>2980</v>
      </c>
      <c r="G248" s="191">
        <v>2980</v>
      </c>
      <c r="H248" s="192">
        <f t="shared" si="24"/>
        <v>1</v>
      </c>
      <c r="I248" s="191">
        <v>6422</v>
      </c>
      <c r="J248" s="191">
        <v>5334</v>
      </c>
      <c r="K248" s="192">
        <f t="shared" si="25"/>
        <v>0.8305823730924945</v>
      </c>
      <c r="L248" s="191">
        <v>5333</v>
      </c>
      <c r="M248" s="191">
        <v>8442</v>
      </c>
      <c r="N248" s="192">
        <f t="shared" si="26"/>
        <v>9.8317934138829666E-2</v>
      </c>
      <c r="O248" s="192">
        <f t="shared" si="27"/>
        <v>0.88427994043820468</v>
      </c>
      <c r="P248" s="191">
        <f t="shared" si="28"/>
        <v>14532.84</v>
      </c>
      <c r="Q248"/>
      <c r="R248" s="191">
        <v>0</v>
      </c>
      <c r="S248" s="191">
        <v>830</v>
      </c>
      <c r="T248" s="191">
        <f t="shared" si="29"/>
        <v>67.285714285714221</v>
      </c>
      <c r="U248" s="191">
        <f t="shared" si="31"/>
        <v>897.28571428571422</v>
      </c>
      <c r="V248" s="192">
        <f t="shared" si="30"/>
        <v>9.9831609333654078E-2</v>
      </c>
    </row>
    <row r="249" spans="1:22" s="191" customFormat="1">
      <c r="A249" s="190">
        <v>42041</v>
      </c>
      <c r="B249" s="191">
        <v>961</v>
      </c>
      <c r="C249" s="191">
        <v>21135</v>
      </c>
      <c r="D249" s="191">
        <v>8708</v>
      </c>
      <c r="E249" s="191">
        <v>9296</v>
      </c>
      <c r="F249" s="191">
        <v>2973</v>
      </c>
      <c r="G249" s="191">
        <v>2973</v>
      </c>
      <c r="H249" s="192">
        <f t="shared" si="24"/>
        <v>1</v>
      </c>
      <c r="I249" s="191">
        <v>6324</v>
      </c>
      <c r="J249" s="191">
        <v>5306</v>
      </c>
      <c r="K249" s="192">
        <f t="shared" si="25"/>
        <v>0.83902593295382666</v>
      </c>
      <c r="L249" s="191">
        <v>5306</v>
      </c>
      <c r="M249" s="191">
        <v>8282</v>
      </c>
      <c r="N249" s="192">
        <f t="shared" si="26"/>
        <v>9.9734363680270471E-2</v>
      </c>
      <c r="O249" s="192">
        <f t="shared" si="27"/>
        <v>0.89059810671256456</v>
      </c>
      <c r="P249" s="191">
        <f t="shared" si="28"/>
        <v>14732.13</v>
      </c>
      <c r="Q249"/>
      <c r="R249" s="191">
        <v>0</v>
      </c>
      <c r="S249" s="191">
        <v>826</v>
      </c>
      <c r="T249" s="191">
        <f t="shared" si="29"/>
        <v>113.71428571428578</v>
      </c>
      <c r="U249" s="191">
        <f t="shared" si="31"/>
        <v>939.71428571428578</v>
      </c>
      <c r="V249" s="192">
        <f t="shared" si="30"/>
        <v>9.977050368401981E-2</v>
      </c>
    </row>
    <row r="250" spans="1:22" s="191" customFormat="1">
      <c r="A250" s="190">
        <v>42048</v>
      </c>
      <c r="B250" s="191">
        <v>964</v>
      </c>
      <c r="C250" s="191">
        <v>21084</v>
      </c>
      <c r="D250" s="191">
        <v>9180</v>
      </c>
      <c r="E250" s="191">
        <v>9273</v>
      </c>
      <c r="F250" s="191">
        <v>3062</v>
      </c>
      <c r="G250" s="191">
        <v>3062</v>
      </c>
      <c r="H250" s="192">
        <f t="shared" si="24"/>
        <v>1</v>
      </c>
      <c r="I250" s="191">
        <v>6211</v>
      </c>
      <c r="J250" s="191">
        <v>5521</v>
      </c>
      <c r="K250" s="192">
        <f t="shared" si="25"/>
        <v>0.88890677829657061</v>
      </c>
      <c r="L250" s="191">
        <v>5520</v>
      </c>
      <c r="M250" s="191">
        <v>8809</v>
      </c>
      <c r="N250" s="192">
        <f t="shared" si="26"/>
        <v>9.6719264388693382E-2</v>
      </c>
      <c r="O250" s="192">
        <f t="shared" si="27"/>
        <v>0.92559042381106438</v>
      </c>
      <c r="P250" s="191">
        <f t="shared" si="28"/>
        <v>14778.12</v>
      </c>
      <c r="Q250"/>
      <c r="R250" s="191">
        <v>0</v>
      </c>
      <c r="S250" s="191">
        <v>852</v>
      </c>
      <c r="T250" s="191">
        <f t="shared" si="29"/>
        <v>119.28571428571422</v>
      </c>
      <c r="U250" s="191">
        <f t="shared" si="31"/>
        <v>971.28571428571422</v>
      </c>
      <c r="V250" s="192">
        <f t="shared" si="30"/>
        <v>9.926599091226844E-2</v>
      </c>
    </row>
    <row r="251" spans="1:22" s="191" customFormat="1">
      <c r="A251" s="190">
        <v>42055</v>
      </c>
      <c r="B251" s="191">
        <v>947</v>
      </c>
      <c r="C251" s="191">
        <v>21594</v>
      </c>
      <c r="D251" s="191">
        <v>9659</v>
      </c>
      <c r="E251" s="191">
        <v>9633</v>
      </c>
      <c r="F251" s="191">
        <v>3050</v>
      </c>
      <c r="G251" s="191">
        <v>3050</v>
      </c>
      <c r="H251" s="192">
        <f t="shared" si="24"/>
        <v>1</v>
      </c>
      <c r="I251" s="191">
        <v>6584</v>
      </c>
      <c r="J251" s="191">
        <v>5454</v>
      </c>
      <c r="K251" s="192">
        <f t="shared" si="25"/>
        <v>0.82837181044957475</v>
      </c>
      <c r="L251" s="191">
        <v>5453</v>
      </c>
      <c r="M251" s="191">
        <v>8915</v>
      </c>
      <c r="N251" s="192">
        <f t="shared" si="26"/>
        <v>9.4784071789119462E-2</v>
      </c>
      <c r="O251" s="192">
        <f t="shared" si="27"/>
        <v>0.88279871275822697</v>
      </c>
      <c r="P251" s="191">
        <f t="shared" si="28"/>
        <v>14517.51</v>
      </c>
      <c r="Q251"/>
      <c r="R251" s="191">
        <v>0</v>
      </c>
      <c r="S251" s="191">
        <v>845</v>
      </c>
      <c r="T251" s="191">
        <f t="shared" si="29"/>
        <v>29.142857142857338</v>
      </c>
      <c r="U251" s="191">
        <f t="shared" si="31"/>
        <v>874.14285714285734</v>
      </c>
      <c r="V251" s="192">
        <f t="shared" si="30"/>
        <v>9.9365004703668866E-2</v>
      </c>
    </row>
    <row r="252" spans="1:22" s="191" customFormat="1">
      <c r="A252" s="190">
        <v>42062</v>
      </c>
      <c r="B252" s="191">
        <v>931</v>
      </c>
      <c r="C252" s="191">
        <v>21528</v>
      </c>
      <c r="D252" s="191">
        <v>9522</v>
      </c>
      <c r="E252" s="191">
        <v>9541</v>
      </c>
      <c r="F252" s="191">
        <v>3074</v>
      </c>
      <c r="G252" s="191">
        <v>3074</v>
      </c>
      <c r="H252" s="192">
        <f t="shared" si="24"/>
        <v>1</v>
      </c>
      <c r="I252" s="191">
        <v>6468</v>
      </c>
      <c r="J252" s="191">
        <v>5447</v>
      </c>
      <c r="K252" s="192">
        <f t="shared" si="25"/>
        <v>0.84214594928880648</v>
      </c>
      <c r="L252" s="191">
        <v>5446</v>
      </c>
      <c r="M252" s="191">
        <v>8630</v>
      </c>
      <c r="N252" s="192">
        <f t="shared" si="26"/>
        <v>9.8030127462340674E-2</v>
      </c>
      <c r="O252" s="192">
        <f t="shared" si="27"/>
        <v>0.89309296719421449</v>
      </c>
      <c r="P252" s="191">
        <f t="shared" si="28"/>
        <v>14272.23</v>
      </c>
      <c r="Q252"/>
      <c r="R252" s="191">
        <v>0</v>
      </c>
      <c r="S252" s="191">
        <v>846</v>
      </c>
      <c r="T252" s="191">
        <f t="shared" si="29"/>
        <v>94.428571428571104</v>
      </c>
      <c r="U252" s="191">
        <f t="shared" si="31"/>
        <v>940.4285714285711</v>
      </c>
      <c r="V252" s="192">
        <f t="shared" si="30"/>
        <v>9.9284121581973944E-2</v>
      </c>
    </row>
    <row r="253" spans="1:22" s="191" customFormat="1">
      <c r="A253" s="190">
        <v>42069</v>
      </c>
      <c r="B253" s="191">
        <v>944</v>
      </c>
      <c r="C253" s="191">
        <v>21173</v>
      </c>
      <c r="D253" s="191">
        <v>9165</v>
      </c>
      <c r="E253" s="191">
        <v>9465</v>
      </c>
      <c r="F253" s="191">
        <v>2964</v>
      </c>
      <c r="G253" s="191">
        <v>2964</v>
      </c>
      <c r="H253" s="192">
        <f t="shared" si="24"/>
        <v>1</v>
      </c>
      <c r="I253" s="191">
        <v>6501</v>
      </c>
      <c r="J253" s="191">
        <v>5470</v>
      </c>
      <c r="K253" s="192">
        <f t="shared" si="25"/>
        <v>0.84140901399784651</v>
      </c>
      <c r="L253" s="191">
        <v>5469</v>
      </c>
      <c r="M253" s="191">
        <v>8515</v>
      </c>
      <c r="N253" s="192">
        <f t="shared" si="26"/>
        <v>9.8649442160892539E-2</v>
      </c>
      <c r="O253" s="192">
        <f t="shared" si="27"/>
        <v>0.8910723718964606</v>
      </c>
      <c r="P253" s="191">
        <f t="shared" si="28"/>
        <v>14471.52</v>
      </c>
      <c r="Q253"/>
      <c r="R253" s="191">
        <v>0</v>
      </c>
      <c r="S253" s="191">
        <v>840</v>
      </c>
      <c r="T253" s="191">
        <f t="shared" si="29"/>
        <v>154.71428571428578</v>
      </c>
      <c r="U253" s="191">
        <f t="shared" si="31"/>
        <v>994.71428571428578</v>
      </c>
      <c r="V253" s="192">
        <f t="shared" si="30"/>
        <v>9.9596869812663025E-2</v>
      </c>
    </row>
    <row r="254" spans="1:22" s="191" customFormat="1">
      <c r="A254" s="190">
        <v>42076</v>
      </c>
      <c r="B254" s="191">
        <v>947</v>
      </c>
      <c r="C254" s="191">
        <v>20820</v>
      </c>
      <c r="D254" s="191">
        <v>9754</v>
      </c>
      <c r="E254" s="191">
        <v>9556</v>
      </c>
      <c r="F254" s="191">
        <v>3079</v>
      </c>
      <c r="G254" s="191">
        <v>3079</v>
      </c>
      <c r="H254" s="192">
        <f t="shared" si="24"/>
        <v>1</v>
      </c>
      <c r="I254" s="191">
        <v>6477</v>
      </c>
      <c r="J254" s="191">
        <v>5597</v>
      </c>
      <c r="K254" s="192">
        <f t="shared" si="25"/>
        <v>0.86413463023004478</v>
      </c>
      <c r="L254" s="191">
        <v>5596</v>
      </c>
      <c r="M254" s="191">
        <v>9260</v>
      </c>
      <c r="N254" s="192">
        <f t="shared" si="26"/>
        <v>9.3196544276457877E-2</v>
      </c>
      <c r="O254" s="192">
        <f t="shared" si="27"/>
        <v>0.9079112599413981</v>
      </c>
      <c r="P254" s="191">
        <f t="shared" si="28"/>
        <v>14517.51</v>
      </c>
      <c r="Q254"/>
      <c r="R254" s="191">
        <v>0</v>
      </c>
      <c r="S254" s="191">
        <v>863</v>
      </c>
      <c r="T254" s="191">
        <f t="shared" si="29"/>
        <v>134.42857142857156</v>
      </c>
      <c r="U254" s="191">
        <f t="shared" si="31"/>
        <v>997.42857142857156</v>
      </c>
      <c r="V254" s="192">
        <f t="shared" si="30"/>
        <v>9.9469801751959422E-2</v>
      </c>
    </row>
    <row r="255" spans="1:22" s="191" customFormat="1">
      <c r="A255" s="190">
        <v>42083</v>
      </c>
      <c r="B255" s="191">
        <v>953</v>
      </c>
      <c r="C255" s="191">
        <v>21317</v>
      </c>
      <c r="D255" s="191">
        <v>9024</v>
      </c>
      <c r="E255" s="191">
        <v>9589</v>
      </c>
      <c r="F255" s="191">
        <v>3078</v>
      </c>
      <c r="G255" s="191">
        <v>3078</v>
      </c>
      <c r="H255" s="192">
        <f t="shared" si="24"/>
        <v>1</v>
      </c>
      <c r="I255" s="191">
        <v>6511</v>
      </c>
      <c r="J255" s="191">
        <v>5616</v>
      </c>
      <c r="K255" s="192">
        <f t="shared" si="25"/>
        <v>0.86254031638765172</v>
      </c>
      <c r="L255" s="191">
        <v>5614</v>
      </c>
      <c r="M255" s="191">
        <v>8619</v>
      </c>
      <c r="N255" s="192">
        <f t="shared" si="26"/>
        <v>0.10047569323587423</v>
      </c>
      <c r="O255" s="192">
        <f t="shared" si="27"/>
        <v>0.90666388570236733</v>
      </c>
      <c r="P255" s="191">
        <f t="shared" si="28"/>
        <v>14609.49</v>
      </c>
      <c r="Q255"/>
      <c r="R255" s="191">
        <v>0</v>
      </c>
      <c r="S255" s="191">
        <v>866</v>
      </c>
      <c r="T255" s="191">
        <f t="shared" si="29"/>
        <v>16</v>
      </c>
      <c r="U255" s="191">
        <f t="shared" si="31"/>
        <v>882</v>
      </c>
      <c r="V255" s="192">
        <f t="shared" si="30"/>
        <v>9.9608925695882214E-2</v>
      </c>
    </row>
    <row r="256" spans="1:22" s="191" customFormat="1">
      <c r="A256" s="190">
        <v>42090</v>
      </c>
      <c r="B256" s="191">
        <v>952</v>
      </c>
      <c r="C256" s="191">
        <v>20547</v>
      </c>
      <c r="D256" s="191">
        <v>9729</v>
      </c>
      <c r="E256" s="191">
        <v>9695</v>
      </c>
      <c r="F256" s="191">
        <v>3117</v>
      </c>
      <c r="G256" s="191">
        <v>3117</v>
      </c>
      <c r="H256" s="192">
        <f t="shared" si="24"/>
        <v>1</v>
      </c>
      <c r="I256" s="191">
        <v>6578</v>
      </c>
      <c r="J256" s="191">
        <v>5628</v>
      </c>
      <c r="K256" s="192">
        <f t="shared" si="25"/>
        <v>0.85557920340529037</v>
      </c>
      <c r="L256" s="191">
        <v>5626</v>
      </c>
      <c r="M256" s="191">
        <v>9435</v>
      </c>
      <c r="N256" s="192">
        <f t="shared" si="26"/>
        <v>9.2103868574456807E-2</v>
      </c>
      <c r="O256" s="192">
        <f t="shared" si="27"/>
        <v>0.90201134605466737</v>
      </c>
      <c r="P256" s="191">
        <f t="shared" si="28"/>
        <v>14594.16</v>
      </c>
      <c r="Q256"/>
      <c r="R256" s="191">
        <v>0</v>
      </c>
      <c r="S256" s="191">
        <v>869</v>
      </c>
      <c r="T256" s="191">
        <f t="shared" si="29"/>
        <v>193</v>
      </c>
      <c r="U256" s="191">
        <f t="shared" si="31"/>
        <v>1062</v>
      </c>
      <c r="V256" s="192">
        <f t="shared" si="30"/>
        <v>9.9371069182389943E-2</v>
      </c>
    </row>
    <row r="257" spans="1:22" s="191" customFormat="1">
      <c r="A257" s="190">
        <v>42097</v>
      </c>
      <c r="B257" s="191">
        <v>936</v>
      </c>
      <c r="C257" s="191">
        <v>20483</v>
      </c>
      <c r="D257" s="191">
        <v>9143</v>
      </c>
      <c r="E257" s="191">
        <v>9572</v>
      </c>
      <c r="F257" s="191">
        <v>3066</v>
      </c>
      <c r="G257" s="191">
        <v>3066</v>
      </c>
      <c r="H257" s="192">
        <f t="shared" si="24"/>
        <v>1</v>
      </c>
      <c r="I257" s="191">
        <v>6506</v>
      </c>
      <c r="J257" s="191">
        <v>5639</v>
      </c>
      <c r="K257" s="192">
        <f t="shared" si="25"/>
        <v>0.86673839532739005</v>
      </c>
      <c r="L257" s="191">
        <v>5639</v>
      </c>
      <c r="M257" s="191">
        <v>8610</v>
      </c>
      <c r="N257" s="192">
        <f t="shared" si="26"/>
        <v>0.10069686411149825</v>
      </c>
      <c r="O257" s="192">
        <f t="shared" si="27"/>
        <v>0.90942331801086507</v>
      </c>
      <c r="P257" s="191">
        <f t="shared" si="28"/>
        <v>14348.88</v>
      </c>
      <c r="Q257"/>
      <c r="R257" s="191">
        <v>0</v>
      </c>
      <c r="S257" s="191">
        <v>867</v>
      </c>
      <c r="T257" s="191">
        <f t="shared" si="29"/>
        <v>78.142857142856883</v>
      </c>
      <c r="U257" s="191">
        <f t="shared" si="31"/>
        <v>945.14285714285688</v>
      </c>
      <c r="V257" s="192">
        <f t="shared" si="30"/>
        <v>9.9597932222860425E-2</v>
      </c>
    </row>
    <row r="258" spans="1:22" s="191" customFormat="1">
      <c r="A258" s="190">
        <v>42104</v>
      </c>
      <c r="B258" s="191">
        <v>924</v>
      </c>
      <c r="C258" s="191">
        <v>20645</v>
      </c>
      <c r="D258" s="191">
        <v>9249</v>
      </c>
      <c r="E258" s="191">
        <v>9901</v>
      </c>
      <c r="F258" s="191">
        <v>3112</v>
      </c>
      <c r="G258" s="191">
        <v>3112</v>
      </c>
      <c r="H258" s="192">
        <f t="shared" si="24"/>
        <v>1</v>
      </c>
      <c r="I258" s="191">
        <v>6789</v>
      </c>
      <c r="J258" s="191">
        <v>5798</v>
      </c>
      <c r="K258" s="192">
        <f t="shared" si="25"/>
        <v>0.85402857563705992</v>
      </c>
      <c r="L258" s="191">
        <v>5796</v>
      </c>
      <c r="M258" s="191">
        <v>8914</v>
      </c>
      <c r="N258" s="192">
        <f t="shared" si="26"/>
        <v>9.9282028270136866E-2</v>
      </c>
      <c r="O258" s="192">
        <f t="shared" si="27"/>
        <v>0.89990910009089986</v>
      </c>
      <c r="P258" s="191">
        <f t="shared" si="28"/>
        <v>14164.92</v>
      </c>
      <c r="Q258"/>
      <c r="R258" s="191">
        <v>0</v>
      </c>
      <c r="S258" s="191">
        <v>885</v>
      </c>
      <c r="T258" s="191">
        <f t="shared" si="29"/>
        <v>15.857142857143117</v>
      </c>
      <c r="U258" s="191">
        <f t="shared" si="31"/>
        <v>900.85714285714312</v>
      </c>
      <c r="V258" s="192">
        <f t="shared" si="30"/>
        <v>9.9326599326599332E-2</v>
      </c>
    </row>
    <row r="259" spans="1:22" s="191" customFormat="1">
      <c r="A259" s="190">
        <v>42111</v>
      </c>
      <c r="B259" s="191">
        <v>930</v>
      </c>
      <c r="C259" s="191">
        <v>21342</v>
      </c>
      <c r="D259" s="191">
        <v>9763</v>
      </c>
      <c r="E259" s="191">
        <v>9818</v>
      </c>
      <c r="F259" s="191">
        <v>3116</v>
      </c>
      <c r="G259" s="191">
        <v>3116</v>
      </c>
      <c r="H259" s="192">
        <f t="shared" si="24"/>
        <v>1</v>
      </c>
      <c r="I259" s="191">
        <v>6702</v>
      </c>
      <c r="J259" s="191">
        <v>5713</v>
      </c>
      <c r="K259" s="192">
        <f t="shared" si="25"/>
        <v>0.8524321098179648</v>
      </c>
      <c r="L259" s="191">
        <v>5711</v>
      </c>
      <c r="M259" s="191">
        <v>9185</v>
      </c>
      <c r="N259" s="192">
        <f t="shared" si="26"/>
        <v>9.569951007076756E-2</v>
      </c>
      <c r="O259" s="192">
        <f t="shared" si="27"/>
        <v>0.89926665308616827</v>
      </c>
      <c r="P259" s="191">
        <f t="shared" si="28"/>
        <v>14256.9</v>
      </c>
      <c r="Q259"/>
      <c r="R259" s="191">
        <v>53</v>
      </c>
      <c r="S259" s="191">
        <v>879</v>
      </c>
      <c r="T259" s="191">
        <f t="shared" si="29"/>
        <v>4.4285714285715585</v>
      </c>
      <c r="U259" s="191">
        <f t="shared" si="31"/>
        <v>883.42857142857156</v>
      </c>
      <c r="V259" s="192">
        <f t="shared" si="30"/>
        <v>9.955827387020047E-2</v>
      </c>
    </row>
    <row r="260" spans="1:22" s="191" customFormat="1">
      <c r="A260" s="190">
        <v>42118</v>
      </c>
      <c r="B260" s="191">
        <v>921</v>
      </c>
      <c r="C260" s="191">
        <v>20797</v>
      </c>
      <c r="D260" s="191">
        <v>9374</v>
      </c>
      <c r="E260" s="191">
        <v>9787</v>
      </c>
      <c r="F260" s="191">
        <v>3104</v>
      </c>
      <c r="G260" s="191">
        <v>3104</v>
      </c>
      <c r="H260" s="192">
        <f t="shared" si="24"/>
        <v>1</v>
      </c>
      <c r="I260" s="191">
        <v>6683</v>
      </c>
      <c r="J260" s="191">
        <v>5724</v>
      </c>
      <c r="K260" s="192">
        <f t="shared" si="25"/>
        <v>0.85650157115068082</v>
      </c>
      <c r="L260" s="191">
        <v>5722</v>
      </c>
      <c r="M260" s="191">
        <v>8920</v>
      </c>
      <c r="N260" s="192">
        <f t="shared" si="26"/>
        <v>9.809417040358745E-2</v>
      </c>
      <c r="O260" s="192">
        <f t="shared" si="27"/>
        <v>0.90201287422090526</v>
      </c>
      <c r="P260" s="191">
        <f t="shared" si="28"/>
        <v>14118.93</v>
      </c>
      <c r="Q260"/>
      <c r="R260" s="191">
        <v>0</v>
      </c>
      <c r="S260" s="191">
        <v>875</v>
      </c>
      <c r="T260" s="191">
        <f t="shared" si="29"/>
        <v>123.85714285714266</v>
      </c>
      <c r="U260" s="191">
        <f t="shared" si="31"/>
        <v>998.85714285714266</v>
      </c>
      <c r="V260" s="192">
        <f t="shared" si="30"/>
        <v>9.9116447666515631E-2</v>
      </c>
    </row>
    <row r="261" spans="1:22" s="191" customFormat="1">
      <c r="A261" s="190">
        <v>42125</v>
      </c>
      <c r="B261" s="191">
        <v>887</v>
      </c>
      <c r="C261" s="191">
        <v>20762</v>
      </c>
      <c r="D261" s="191">
        <v>9152</v>
      </c>
      <c r="E261" s="191">
        <v>9632</v>
      </c>
      <c r="F261" s="191">
        <v>3042</v>
      </c>
      <c r="G261" s="191">
        <v>3042</v>
      </c>
      <c r="H261" s="192">
        <f t="shared" si="24"/>
        <v>1</v>
      </c>
      <c r="I261" s="191">
        <v>6590</v>
      </c>
      <c r="J261" s="191">
        <v>5688</v>
      </c>
      <c r="K261" s="192">
        <f t="shared" si="25"/>
        <v>0.86312594840667678</v>
      </c>
      <c r="L261" s="191">
        <v>5686</v>
      </c>
      <c r="M261" s="191">
        <v>8785</v>
      </c>
      <c r="N261" s="192">
        <f t="shared" si="26"/>
        <v>9.9032441661923737E-2</v>
      </c>
      <c r="O261" s="192">
        <f t="shared" si="27"/>
        <v>0.90635382059800662</v>
      </c>
      <c r="P261" s="191">
        <f t="shared" si="28"/>
        <v>13597.71</v>
      </c>
      <c r="Q261"/>
      <c r="R261" s="191">
        <v>0</v>
      </c>
      <c r="S261" s="191">
        <v>870</v>
      </c>
      <c r="T261" s="191">
        <f t="shared" si="29"/>
        <v>22</v>
      </c>
      <c r="U261" s="191">
        <f t="shared" si="31"/>
        <v>892</v>
      </c>
      <c r="V261" s="192">
        <f t="shared" si="30"/>
        <v>9.9656357388316158E-2</v>
      </c>
    </row>
    <row r="262" spans="1:22" s="191" customFormat="1">
      <c r="A262" s="190">
        <v>42132</v>
      </c>
      <c r="B262" s="191">
        <v>912</v>
      </c>
      <c r="C262" s="191">
        <v>20299</v>
      </c>
      <c r="D262" s="191">
        <v>9690</v>
      </c>
      <c r="E262" s="191">
        <v>9839</v>
      </c>
      <c r="F262" s="191">
        <v>3141</v>
      </c>
      <c r="G262" s="191">
        <v>3141</v>
      </c>
      <c r="H262" s="192">
        <f t="shared" ref="H262:H325" si="32">G262/F262</f>
        <v>1</v>
      </c>
      <c r="I262" s="191">
        <v>6698</v>
      </c>
      <c r="J262" s="191">
        <v>5771</v>
      </c>
      <c r="K262" s="192">
        <f t="shared" ref="K262:K325" si="33">J262/I262</f>
        <v>0.86160047775455362</v>
      </c>
      <c r="L262" s="191">
        <v>5769</v>
      </c>
      <c r="M262" s="191">
        <v>9201</v>
      </c>
      <c r="N262" s="192">
        <f t="shared" ref="N262:N325" si="34">S262/M262</f>
        <v>9.6837300293446366E-2</v>
      </c>
      <c r="O262" s="192">
        <f t="shared" ref="O262:O325" si="35">(J262+G262)/E262</f>
        <v>0.90578310803943485</v>
      </c>
      <c r="P262" s="191">
        <f t="shared" ref="P262:P325" si="36">B262*42*365/1000</f>
        <v>13980.96</v>
      </c>
      <c r="Q262"/>
      <c r="R262" s="191">
        <v>0</v>
      </c>
      <c r="S262" s="191">
        <v>891</v>
      </c>
      <c r="T262" s="191">
        <f t="shared" ref="T262:T325" si="37">U262-S262</f>
        <v>87.142857142857338</v>
      </c>
      <c r="U262" s="191">
        <f t="shared" si="31"/>
        <v>978.14285714285734</v>
      </c>
      <c r="V262" s="192">
        <f t="shared" ref="V262:V325" si="38">S262/(G262+J262)</f>
        <v>9.9977558348294429E-2</v>
      </c>
    </row>
    <row r="263" spans="1:22" s="191" customFormat="1">
      <c r="A263" s="190">
        <v>42139</v>
      </c>
      <c r="B263" s="191">
        <v>958</v>
      </c>
      <c r="C263" s="191">
        <v>20434</v>
      </c>
      <c r="D263" s="191">
        <v>9651</v>
      </c>
      <c r="E263" s="191">
        <v>9880</v>
      </c>
      <c r="F263" s="191">
        <v>3181</v>
      </c>
      <c r="G263" s="191">
        <v>3181</v>
      </c>
      <c r="H263" s="192">
        <f t="shared" si="32"/>
        <v>1</v>
      </c>
      <c r="I263" s="191">
        <v>6700</v>
      </c>
      <c r="J263" s="191">
        <v>5920</v>
      </c>
      <c r="K263" s="192">
        <f t="shared" si="33"/>
        <v>0.88358208955223883</v>
      </c>
      <c r="L263" s="191">
        <v>5918</v>
      </c>
      <c r="M263" s="191">
        <v>9261</v>
      </c>
      <c r="N263" s="192">
        <f t="shared" si="34"/>
        <v>9.7829608033689661E-2</v>
      </c>
      <c r="O263" s="192">
        <f t="shared" si="35"/>
        <v>0.9211538461538461</v>
      </c>
      <c r="P263" s="191">
        <f t="shared" si="36"/>
        <v>14686.14</v>
      </c>
      <c r="Q263"/>
      <c r="R263" s="191">
        <v>0</v>
      </c>
      <c r="S263" s="191">
        <v>906</v>
      </c>
      <c r="T263" s="191">
        <f t="shared" si="37"/>
        <v>32.714285714285325</v>
      </c>
      <c r="U263" s="191">
        <f t="shared" ref="U263:U326" si="39">C262/7+B263+R263-C263/7</f>
        <v>938.71428571428532</v>
      </c>
      <c r="V263" s="192">
        <f t="shared" si="38"/>
        <v>9.9549500054939011E-2</v>
      </c>
    </row>
    <row r="264" spans="1:22" s="191" customFormat="1">
      <c r="A264" s="190">
        <v>42146</v>
      </c>
      <c r="B264" s="191">
        <v>969</v>
      </c>
      <c r="C264" s="191">
        <v>20097</v>
      </c>
      <c r="D264" s="191">
        <v>10164</v>
      </c>
      <c r="E264" s="191">
        <v>9959</v>
      </c>
      <c r="F264" s="191">
        <v>3230</v>
      </c>
      <c r="G264" s="191">
        <v>3230</v>
      </c>
      <c r="H264" s="192">
        <f t="shared" si="32"/>
        <v>1</v>
      </c>
      <c r="I264" s="191">
        <v>6729</v>
      </c>
      <c r="J264" s="191">
        <v>5855</v>
      </c>
      <c r="K264" s="192">
        <f t="shared" si="33"/>
        <v>0.87011443007876355</v>
      </c>
      <c r="L264" s="191">
        <v>5853</v>
      </c>
      <c r="M264" s="191">
        <v>9734</v>
      </c>
      <c r="N264" s="192">
        <f t="shared" si="34"/>
        <v>9.2973084035340048E-2</v>
      </c>
      <c r="O264" s="192">
        <f t="shared" si="35"/>
        <v>0.91224018475750579</v>
      </c>
      <c r="P264" s="191">
        <f t="shared" si="36"/>
        <v>14854.77</v>
      </c>
      <c r="Q264"/>
      <c r="R264" s="191">
        <v>0</v>
      </c>
      <c r="S264" s="191">
        <v>905</v>
      </c>
      <c r="T264" s="191">
        <f t="shared" si="37"/>
        <v>112.14285714285734</v>
      </c>
      <c r="U264" s="191">
        <f t="shared" si="39"/>
        <v>1017.1428571428573</v>
      </c>
      <c r="V264" s="192">
        <f t="shared" si="38"/>
        <v>9.9614749587231696E-2</v>
      </c>
    </row>
    <row r="265" spans="1:22" s="191" customFormat="1">
      <c r="A265" s="190">
        <v>42153</v>
      </c>
      <c r="B265" s="191">
        <v>972</v>
      </c>
      <c r="C265" s="191">
        <v>20068</v>
      </c>
      <c r="D265" s="191">
        <v>9408</v>
      </c>
      <c r="E265" s="191">
        <v>9694</v>
      </c>
      <c r="F265" s="191">
        <v>3061</v>
      </c>
      <c r="G265" s="191">
        <v>3061</v>
      </c>
      <c r="H265" s="192">
        <f t="shared" si="32"/>
        <v>1</v>
      </c>
      <c r="I265" s="191">
        <v>6633</v>
      </c>
      <c r="J265" s="191">
        <v>5706</v>
      </c>
      <c r="K265" s="192">
        <f t="shared" si="33"/>
        <v>0.86024423337856171</v>
      </c>
      <c r="L265" s="191">
        <v>5704</v>
      </c>
      <c r="M265" s="191">
        <v>8978</v>
      </c>
      <c r="N265" s="192">
        <f t="shared" si="34"/>
        <v>9.7349075517932718E-2</v>
      </c>
      <c r="O265" s="192">
        <f t="shared" si="35"/>
        <v>0.90437383948834327</v>
      </c>
      <c r="P265" s="191">
        <f t="shared" si="36"/>
        <v>14900.76</v>
      </c>
      <c r="Q265"/>
      <c r="R265" s="191">
        <v>0</v>
      </c>
      <c r="S265" s="191">
        <v>874</v>
      </c>
      <c r="T265" s="191">
        <f t="shared" si="37"/>
        <v>102.14285714285734</v>
      </c>
      <c r="U265" s="191">
        <f t="shared" si="39"/>
        <v>976.14285714285734</v>
      </c>
      <c r="V265" s="192">
        <f t="shared" si="38"/>
        <v>9.9692026919128554E-2</v>
      </c>
    </row>
    <row r="266" spans="1:22" s="191" customFormat="1">
      <c r="A266" s="190">
        <v>42160</v>
      </c>
      <c r="B266" s="191">
        <v>992</v>
      </c>
      <c r="C266" s="191">
        <v>20246</v>
      </c>
      <c r="D266" s="191">
        <v>10007</v>
      </c>
      <c r="E266" s="191">
        <v>9756</v>
      </c>
      <c r="F266" s="191">
        <v>3168</v>
      </c>
      <c r="G266" s="191">
        <v>3168</v>
      </c>
      <c r="H266" s="192">
        <f t="shared" si="32"/>
        <v>1</v>
      </c>
      <c r="I266" s="191">
        <v>6588</v>
      </c>
      <c r="J266" s="191">
        <v>5698</v>
      </c>
      <c r="K266" s="192">
        <f t="shared" si="33"/>
        <v>0.8649058894960534</v>
      </c>
      <c r="L266" s="191">
        <v>5696</v>
      </c>
      <c r="M266" s="191">
        <v>9600</v>
      </c>
      <c r="N266" s="192">
        <f t="shared" si="34"/>
        <v>9.2083333333333336E-2</v>
      </c>
      <c r="O266" s="192">
        <f t="shared" si="35"/>
        <v>0.90877408774087742</v>
      </c>
      <c r="P266" s="191">
        <f t="shared" si="36"/>
        <v>15207.36</v>
      </c>
      <c r="Q266"/>
      <c r="R266" s="191">
        <v>0</v>
      </c>
      <c r="S266" s="191">
        <v>884</v>
      </c>
      <c r="T266" s="191">
        <f t="shared" si="37"/>
        <v>82.571428571428442</v>
      </c>
      <c r="U266" s="191">
        <f t="shared" si="39"/>
        <v>966.57142857142844</v>
      </c>
      <c r="V266" s="192">
        <f t="shared" si="38"/>
        <v>9.9706744868035185E-2</v>
      </c>
    </row>
    <row r="267" spans="1:22" s="191" customFormat="1">
      <c r="A267" s="190">
        <v>42167</v>
      </c>
      <c r="B267" s="191">
        <v>980</v>
      </c>
      <c r="C267" s="191">
        <v>20718</v>
      </c>
      <c r="D267" s="191">
        <v>9651</v>
      </c>
      <c r="E267" s="191">
        <v>9933</v>
      </c>
      <c r="F267" s="191">
        <v>3260</v>
      </c>
      <c r="G267" s="191">
        <v>3260</v>
      </c>
      <c r="H267" s="192">
        <f t="shared" si="32"/>
        <v>1</v>
      </c>
      <c r="I267" s="191">
        <v>6673</v>
      </c>
      <c r="J267" s="191">
        <v>5854</v>
      </c>
      <c r="K267" s="192">
        <f t="shared" si="33"/>
        <v>0.87726659673310359</v>
      </c>
      <c r="L267" s="191">
        <v>5852</v>
      </c>
      <c r="M267" s="191">
        <v>9176</v>
      </c>
      <c r="N267" s="192">
        <f t="shared" si="34"/>
        <v>9.9389712292938096E-2</v>
      </c>
      <c r="O267" s="192">
        <f t="shared" si="35"/>
        <v>0.91754756871035936</v>
      </c>
      <c r="P267" s="191">
        <f t="shared" si="36"/>
        <v>15023.4</v>
      </c>
      <c r="Q267"/>
      <c r="R267" s="191">
        <v>0</v>
      </c>
      <c r="S267" s="191">
        <v>912</v>
      </c>
      <c r="T267" s="191">
        <f t="shared" si="37"/>
        <v>0.5714285714284415</v>
      </c>
      <c r="U267" s="191">
        <f t="shared" si="39"/>
        <v>912.57142857142844</v>
      </c>
      <c r="V267" s="192">
        <f t="shared" si="38"/>
        <v>0.10006583278472679</v>
      </c>
    </row>
    <row r="268" spans="1:22" s="191" customFormat="1">
      <c r="A268" s="190">
        <v>42174</v>
      </c>
      <c r="B268" s="191">
        <v>994</v>
      </c>
      <c r="C268" s="191">
        <v>19840</v>
      </c>
      <c r="D268" s="191">
        <v>9934</v>
      </c>
      <c r="E268" s="191">
        <v>9754</v>
      </c>
      <c r="F268" s="191">
        <v>3218</v>
      </c>
      <c r="G268" s="191">
        <v>3218</v>
      </c>
      <c r="H268" s="192">
        <f t="shared" si="32"/>
        <v>1</v>
      </c>
      <c r="I268" s="191">
        <v>6536</v>
      </c>
      <c r="J268" s="191">
        <v>5813</v>
      </c>
      <c r="K268" s="192">
        <f t="shared" si="33"/>
        <v>0.88938188494492043</v>
      </c>
      <c r="L268" s="191">
        <v>5811</v>
      </c>
      <c r="M268" s="191">
        <v>9655</v>
      </c>
      <c r="N268" s="192">
        <f t="shared" si="34"/>
        <v>9.3423096841015019E-2</v>
      </c>
      <c r="O268" s="192">
        <f t="shared" si="35"/>
        <v>0.92587656346114411</v>
      </c>
      <c r="P268" s="191">
        <f t="shared" si="36"/>
        <v>15238.02</v>
      </c>
      <c r="Q268"/>
      <c r="R268" s="191">
        <v>0</v>
      </c>
      <c r="S268" s="191">
        <v>902</v>
      </c>
      <c r="T268" s="191">
        <f t="shared" si="37"/>
        <v>217.42857142857156</v>
      </c>
      <c r="U268" s="191">
        <f t="shared" si="39"/>
        <v>1119.4285714285716</v>
      </c>
      <c r="V268" s="192">
        <f t="shared" si="38"/>
        <v>9.9878197320341047E-2</v>
      </c>
    </row>
    <row r="269" spans="1:22" s="191" customFormat="1">
      <c r="A269" s="190">
        <v>42181</v>
      </c>
      <c r="B269" s="191">
        <v>968</v>
      </c>
      <c r="C269" s="191">
        <v>19532</v>
      </c>
      <c r="D269" s="191">
        <v>10046</v>
      </c>
      <c r="E269" s="191">
        <v>9927</v>
      </c>
      <c r="F269" s="191">
        <v>3227</v>
      </c>
      <c r="G269" s="191">
        <v>3227</v>
      </c>
      <c r="H269" s="192">
        <f t="shared" si="32"/>
        <v>1</v>
      </c>
      <c r="I269" s="191">
        <v>6700</v>
      </c>
      <c r="J269" s="191">
        <v>5879</v>
      </c>
      <c r="K269" s="192">
        <f t="shared" si="33"/>
        <v>0.8774626865671642</v>
      </c>
      <c r="L269" s="191">
        <v>5877</v>
      </c>
      <c r="M269" s="191">
        <v>9731</v>
      </c>
      <c r="N269" s="192">
        <f t="shared" si="34"/>
        <v>9.3310040078100911E-2</v>
      </c>
      <c r="O269" s="192">
        <f t="shared" si="35"/>
        <v>0.91729626271784026</v>
      </c>
      <c r="P269" s="191">
        <f t="shared" si="36"/>
        <v>14839.44</v>
      </c>
      <c r="Q269"/>
      <c r="R269" s="191">
        <v>0</v>
      </c>
      <c r="S269" s="191">
        <v>908</v>
      </c>
      <c r="T269" s="191">
        <f t="shared" si="37"/>
        <v>104</v>
      </c>
      <c r="U269" s="191">
        <f t="shared" si="39"/>
        <v>1012</v>
      </c>
      <c r="V269" s="192">
        <f t="shared" si="38"/>
        <v>9.9714473973204487E-2</v>
      </c>
    </row>
    <row r="270" spans="1:22" s="191" customFormat="1">
      <c r="A270" s="190">
        <v>42188</v>
      </c>
      <c r="B270" s="191">
        <v>987</v>
      </c>
      <c r="C270" s="191">
        <v>19841</v>
      </c>
      <c r="D270" s="191">
        <v>9868</v>
      </c>
      <c r="E270" s="191">
        <v>9994</v>
      </c>
      <c r="F270" s="191">
        <v>3199</v>
      </c>
      <c r="G270" s="191">
        <v>3199</v>
      </c>
      <c r="H270" s="192">
        <f t="shared" si="32"/>
        <v>1</v>
      </c>
      <c r="I270" s="191">
        <v>6795</v>
      </c>
      <c r="J270" s="191">
        <v>5857</v>
      </c>
      <c r="K270" s="192">
        <f t="shared" si="33"/>
        <v>0.86195732155997051</v>
      </c>
      <c r="L270" s="191">
        <v>5855</v>
      </c>
      <c r="M270" s="191">
        <v>9532</v>
      </c>
      <c r="N270" s="192">
        <f t="shared" si="34"/>
        <v>9.4838438942509443E-2</v>
      </c>
      <c r="O270" s="192">
        <f t="shared" si="35"/>
        <v>0.90614368621172703</v>
      </c>
      <c r="P270" s="191">
        <f t="shared" si="36"/>
        <v>15130.71</v>
      </c>
      <c r="Q270"/>
      <c r="R270" s="191">
        <v>0</v>
      </c>
      <c r="S270" s="191">
        <v>904</v>
      </c>
      <c r="T270" s="191">
        <f t="shared" si="37"/>
        <v>38.857142857142662</v>
      </c>
      <c r="U270" s="191">
        <f t="shared" si="39"/>
        <v>942.85714285714266</v>
      </c>
      <c r="V270" s="192">
        <f t="shared" si="38"/>
        <v>9.982332155477032E-2</v>
      </c>
    </row>
    <row r="271" spans="1:22" s="191" customFormat="1">
      <c r="A271" s="190">
        <v>42195</v>
      </c>
      <c r="B271" s="191">
        <v>984</v>
      </c>
      <c r="C271" s="191">
        <v>19740</v>
      </c>
      <c r="D271" s="191">
        <v>9658</v>
      </c>
      <c r="E271" s="191">
        <v>9806</v>
      </c>
      <c r="F271" s="191">
        <v>3108</v>
      </c>
      <c r="G271" s="191">
        <v>3108</v>
      </c>
      <c r="H271" s="192">
        <f t="shared" si="32"/>
        <v>1</v>
      </c>
      <c r="I271" s="191">
        <v>6698</v>
      </c>
      <c r="J271" s="191">
        <v>5729</v>
      </c>
      <c r="K271" s="192">
        <f t="shared" si="33"/>
        <v>0.85532994923857864</v>
      </c>
      <c r="L271" s="191">
        <v>5727</v>
      </c>
      <c r="M271" s="191">
        <v>9404</v>
      </c>
      <c r="N271" s="192">
        <f t="shared" si="34"/>
        <v>9.3683538919608678E-2</v>
      </c>
      <c r="O271" s="192">
        <f t="shared" si="35"/>
        <v>0.90118294921476649</v>
      </c>
      <c r="P271" s="191">
        <f t="shared" si="36"/>
        <v>15084.72</v>
      </c>
      <c r="Q271"/>
      <c r="R271" s="191">
        <v>0</v>
      </c>
      <c r="S271" s="191">
        <v>881</v>
      </c>
      <c r="T271" s="191">
        <f t="shared" si="37"/>
        <v>117.42857142857156</v>
      </c>
      <c r="U271" s="191">
        <f t="shared" si="39"/>
        <v>998.42857142857156</v>
      </c>
      <c r="V271" s="192">
        <f t="shared" si="38"/>
        <v>9.9694466447889554E-2</v>
      </c>
    </row>
    <row r="272" spans="1:22" s="191" customFormat="1">
      <c r="A272" s="190">
        <v>42202</v>
      </c>
      <c r="B272" s="191">
        <v>973</v>
      </c>
      <c r="C272" s="191">
        <v>19559</v>
      </c>
      <c r="D272" s="191">
        <v>10109</v>
      </c>
      <c r="E272" s="191">
        <v>9822</v>
      </c>
      <c r="F272" s="191">
        <v>3179</v>
      </c>
      <c r="G272" s="191">
        <v>3179</v>
      </c>
      <c r="H272" s="192">
        <f t="shared" si="32"/>
        <v>1</v>
      </c>
      <c r="I272" s="191">
        <v>6643</v>
      </c>
      <c r="J272" s="191">
        <v>5787</v>
      </c>
      <c r="K272" s="192">
        <f t="shared" si="33"/>
        <v>0.87114255607406288</v>
      </c>
      <c r="L272" s="191">
        <v>5784</v>
      </c>
      <c r="M272" s="191">
        <v>9749</v>
      </c>
      <c r="N272" s="192">
        <f t="shared" si="34"/>
        <v>9.2009436865319524E-2</v>
      </c>
      <c r="O272" s="192">
        <f t="shared" si="35"/>
        <v>0.91284870698432086</v>
      </c>
      <c r="P272" s="191">
        <f t="shared" si="36"/>
        <v>14916.09</v>
      </c>
      <c r="Q272"/>
      <c r="R272" s="191">
        <v>0</v>
      </c>
      <c r="S272" s="191">
        <v>897</v>
      </c>
      <c r="T272" s="191">
        <f t="shared" si="37"/>
        <v>101.85714285714266</v>
      </c>
      <c r="U272" s="191">
        <f t="shared" si="39"/>
        <v>998.85714285714266</v>
      </c>
      <c r="V272" s="192">
        <f t="shared" si="38"/>
        <v>0.10004461298237788</v>
      </c>
    </row>
    <row r="273" spans="1:22" s="191" customFormat="1">
      <c r="A273" s="190">
        <v>42209</v>
      </c>
      <c r="B273" s="191">
        <v>965</v>
      </c>
      <c r="C273" s="191">
        <v>19648</v>
      </c>
      <c r="D273" s="191">
        <v>9681</v>
      </c>
      <c r="E273" s="191">
        <v>9979</v>
      </c>
      <c r="F273" s="191">
        <v>3198</v>
      </c>
      <c r="G273" s="191">
        <v>3198</v>
      </c>
      <c r="H273" s="192">
        <f t="shared" si="32"/>
        <v>1</v>
      </c>
      <c r="I273" s="191">
        <v>6781</v>
      </c>
      <c r="J273" s="191">
        <v>5828</v>
      </c>
      <c r="K273" s="192">
        <f t="shared" si="33"/>
        <v>0.85946025659932168</v>
      </c>
      <c r="L273" s="191">
        <v>5825</v>
      </c>
      <c r="M273" s="191">
        <v>9339</v>
      </c>
      <c r="N273" s="192">
        <f t="shared" si="34"/>
        <v>9.6691294571153233E-2</v>
      </c>
      <c r="O273" s="192">
        <f t="shared" si="35"/>
        <v>0.90449944884256939</v>
      </c>
      <c r="P273" s="191">
        <f t="shared" si="36"/>
        <v>14793.45</v>
      </c>
      <c r="Q273"/>
      <c r="R273" s="191">
        <v>0</v>
      </c>
      <c r="S273" s="191">
        <v>903</v>
      </c>
      <c r="T273" s="191">
        <f t="shared" si="37"/>
        <v>49.285714285714675</v>
      </c>
      <c r="U273" s="191">
        <f t="shared" si="39"/>
        <v>952.28571428571468</v>
      </c>
      <c r="V273" s="192">
        <f t="shared" si="38"/>
        <v>0.10004431641923332</v>
      </c>
    </row>
    <row r="274" spans="1:22" s="191" customFormat="1">
      <c r="A274" s="190">
        <v>42216</v>
      </c>
      <c r="B274" s="191">
        <v>961</v>
      </c>
      <c r="C274" s="191">
        <v>19239</v>
      </c>
      <c r="D274" s="191">
        <v>9984</v>
      </c>
      <c r="E274" s="191">
        <v>9982</v>
      </c>
      <c r="F274" s="191">
        <v>3194</v>
      </c>
      <c r="G274" s="191">
        <v>3194</v>
      </c>
      <c r="H274" s="192">
        <f t="shared" si="32"/>
        <v>1</v>
      </c>
      <c r="I274" s="191">
        <v>6788</v>
      </c>
      <c r="J274" s="191">
        <v>5927</v>
      </c>
      <c r="K274" s="192">
        <f t="shared" si="33"/>
        <v>0.87315851502651742</v>
      </c>
      <c r="L274" s="191">
        <v>5925</v>
      </c>
      <c r="M274" s="191">
        <v>9687</v>
      </c>
      <c r="N274" s="192">
        <f t="shared" si="34"/>
        <v>9.3940332404253118E-2</v>
      </c>
      <c r="O274" s="192">
        <f t="shared" si="35"/>
        <v>0.91374474053295929</v>
      </c>
      <c r="P274" s="191">
        <f t="shared" si="36"/>
        <v>14732.13</v>
      </c>
      <c r="Q274"/>
      <c r="R274" s="191">
        <v>0</v>
      </c>
      <c r="S274" s="191">
        <v>910</v>
      </c>
      <c r="T274" s="191">
        <f t="shared" si="37"/>
        <v>109.4285714285711</v>
      </c>
      <c r="U274" s="191">
        <f t="shared" si="39"/>
        <v>1019.4285714285711</v>
      </c>
      <c r="V274" s="192">
        <f t="shared" si="38"/>
        <v>9.9769762087490402E-2</v>
      </c>
    </row>
    <row r="275" spans="1:22" s="191" customFormat="1">
      <c r="A275" s="190">
        <v>42223</v>
      </c>
      <c r="B275" s="191">
        <v>965</v>
      </c>
      <c r="C275" s="191">
        <v>18529</v>
      </c>
      <c r="D275" s="191">
        <v>9993</v>
      </c>
      <c r="E275" s="191">
        <v>10106</v>
      </c>
      <c r="F275" s="191">
        <v>3188</v>
      </c>
      <c r="G275" s="191">
        <v>3188</v>
      </c>
      <c r="H275" s="192">
        <f t="shared" si="32"/>
        <v>1</v>
      </c>
      <c r="I275" s="191">
        <v>6919</v>
      </c>
      <c r="J275" s="191">
        <v>5855</v>
      </c>
      <c r="K275" s="192">
        <f t="shared" si="33"/>
        <v>0.84622055210290503</v>
      </c>
      <c r="L275" s="191">
        <v>5853</v>
      </c>
      <c r="M275" s="191">
        <v>9686</v>
      </c>
      <c r="N275" s="192">
        <f t="shared" si="34"/>
        <v>9.2711129465207515E-2</v>
      </c>
      <c r="O275" s="192">
        <f t="shared" si="35"/>
        <v>0.89481496140906391</v>
      </c>
      <c r="P275" s="191">
        <f t="shared" si="36"/>
        <v>14793.45</v>
      </c>
      <c r="Q275"/>
      <c r="R275" s="191">
        <v>0</v>
      </c>
      <c r="S275" s="191">
        <v>898</v>
      </c>
      <c r="T275" s="191">
        <f t="shared" si="37"/>
        <v>168.42857142857156</v>
      </c>
      <c r="U275" s="191">
        <f t="shared" si="39"/>
        <v>1066.4285714285716</v>
      </c>
      <c r="V275" s="192">
        <f t="shared" si="38"/>
        <v>9.9303328541413244E-2</v>
      </c>
    </row>
    <row r="276" spans="1:22" s="191" customFormat="1">
      <c r="A276" s="190">
        <v>42230</v>
      </c>
      <c r="B276" s="191">
        <v>965</v>
      </c>
      <c r="C276" s="191">
        <v>18561</v>
      </c>
      <c r="D276" s="191">
        <v>10248</v>
      </c>
      <c r="E276" s="191">
        <v>10063</v>
      </c>
      <c r="F276" s="191">
        <v>3235</v>
      </c>
      <c r="G276" s="191">
        <v>3235</v>
      </c>
      <c r="H276" s="192">
        <f t="shared" si="32"/>
        <v>1</v>
      </c>
      <c r="I276" s="191">
        <v>6828</v>
      </c>
      <c r="J276" s="191">
        <v>5851</v>
      </c>
      <c r="K276" s="192">
        <f t="shared" si="33"/>
        <v>0.85691271236086697</v>
      </c>
      <c r="L276" s="191">
        <v>5849</v>
      </c>
      <c r="M276" s="191">
        <v>9705</v>
      </c>
      <c r="N276" s="192">
        <f t="shared" si="34"/>
        <v>9.3560020607934058E-2</v>
      </c>
      <c r="O276" s="192">
        <f t="shared" si="35"/>
        <v>0.90291165656364902</v>
      </c>
      <c r="P276" s="191">
        <f t="shared" si="36"/>
        <v>14793.45</v>
      </c>
      <c r="Q276"/>
      <c r="R276" s="191">
        <v>0</v>
      </c>
      <c r="S276" s="191">
        <v>908</v>
      </c>
      <c r="T276" s="191">
        <f t="shared" si="37"/>
        <v>52.428571428571558</v>
      </c>
      <c r="U276" s="191">
        <f t="shared" si="39"/>
        <v>960.42857142857156</v>
      </c>
      <c r="V276" s="192">
        <f t="shared" si="38"/>
        <v>9.9933964340744003E-2</v>
      </c>
    </row>
    <row r="277" spans="1:22" s="191" customFormat="1">
      <c r="A277" s="190">
        <v>42237</v>
      </c>
      <c r="B277" s="191">
        <v>952</v>
      </c>
      <c r="C277" s="191">
        <v>18628</v>
      </c>
      <c r="D277" s="191">
        <v>9782</v>
      </c>
      <c r="E277" s="191">
        <v>9974</v>
      </c>
      <c r="F277" s="191">
        <v>3250</v>
      </c>
      <c r="G277" s="191">
        <v>3250</v>
      </c>
      <c r="H277" s="192">
        <f t="shared" si="32"/>
        <v>1</v>
      </c>
      <c r="I277" s="191">
        <v>6724</v>
      </c>
      <c r="J277" s="191">
        <v>5752</v>
      </c>
      <c r="K277" s="192">
        <f t="shared" si="33"/>
        <v>0.85544318857822721</v>
      </c>
      <c r="L277" s="191">
        <v>5749</v>
      </c>
      <c r="M277" s="191">
        <v>9189</v>
      </c>
      <c r="N277" s="192">
        <f t="shared" si="34"/>
        <v>9.826967025791708E-2</v>
      </c>
      <c r="O277" s="192">
        <f t="shared" si="35"/>
        <v>0.90254662121515938</v>
      </c>
      <c r="P277" s="191">
        <f t="shared" si="36"/>
        <v>14594.16</v>
      </c>
      <c r="Q277"/>
      <c r="R277" s="191">
        <v>0</v>
      </c>
      <c r="S277" s="191">
        <v>903</v>
      </c>
      <c r="T277" s="191">
        <f t="shared" si="37"/>
        <v>39.428571428571104</v>
      </c>
      <c r="U277" s="191">
        <f t="shared" si="39"/>
        <v>942.4285714285711</v>
      </c>
      <c r="V277" s="192">
        <f t="shared" si="38"/>
        <v>0.10031104199066875</v>
      </c>
    </row>
    <row r="278" spans="1:22" s="191" customFormat="1">
      <c r="A278" s="190">
        <v>42244</v>
      </c>
      <c r="B278" s="191">
        <v>948</v>
      </c>
      <c r="C278" s="191">
        <v>19002</v>
      </c>
      <c r="D278" s="191">
        <v>9799</v>
      </c>
      <c r="E278" s="191">
        <v>10125</v>
      </c>
      <c r="F278" s="191">
        <v>3288</v>
      </c>
      <c r="G278" s="191">
        <v>3288</v>
      </c>
      <c r="H278" s="192">
        <f t="shared" si="32"/>
        <v>1</v>
      </c>
      <c r="I278" s="191">
        <v>6837</v>
      </c>
      <c r="J278" s="191">
        <v>5935</v>
      </c>
      <c r="K278" s="192">
        <f t="shared" si="33"/>
        <v>0.86807079128272635</v>
      </c>
      <c r="L278" s="191">
        <v>5933</v>
      </c>
      <c r="M278" s="191">
        <v>9438</v>
      </c>
      <c r="N278" s="192">
        <f t="shared" si="34"/>
        <v>9.7584233947870316E-2</v>
      </c>
      <c r="O278" s="192">
        <f t="shared" si="35"/>
        <v>0.9109135802469136</v>
      </c>
      <c r="P278" s="191">
        <f t="shared" si="36"/>
        <v>14532.84</v>
      </c>
      <c r="Q278"/>
      <c r="R278" s="191">
        <v>12</v>
      </c>
      <c r="S278" s="191">
        <v>921</v>
      </c>
      <c r="T278" s="191">
        <f t="shared" si="37"/>
        <v>-14.428571428571104</v>
      </c>
      <c r="U278" s="191">
        <f t="shared" si="39"/>
        <v>906.5714285714289</v>
      </c>
      <c r="V278" s="192">
        <f t="shared" si="38"/>
        <v>9.9859048032093681E-2</v>
      </c>
    </row>
    <row r="279" spans="1:22" s="191" customFormat="1">
      <c r="A279" s="190">
        <v>42251</v>
      </c>
      <c r="B279" s="191">
        <v>958</v>
      </c>
      <c r="C279" s="191">
        <v>18642</v>
      </c>
      <c r="D279" s="191">
        <v>9587</v>
      </c>
      <c r="E279" s="191">
        <v>9833</v>
      </c>
      <c r="F279" s="191">
        <v>3247</v>
      </c>
      <c r="G279" s="191">
        <v>3247</v>
      </c>
      <c r="H279" s="192">
        <f t="shared" si="32"/>
        <v>1</v>
      </c>
      <c r="I279" s="191">
        <v>6586</v>
      </c>
      <c r="J279" s="191">
        <v>5766</v>
      </c>
      <c r="K279" s="192">
        <f t="shared" si="33"/>
        <v>0.87549347099908903</v>
      </c>
      <c r="L279" s="191">
        <v>5764</v>
      </c>
      <c r="M279" s="191">
        <v>9017</v>
      </c>
      <c r="N279" s="192">
        <f t="shared" si="34"/>
        <v>9.9367860707552408E-2</v>
      </c>
      <c r="O279" s="192">
        <f t="shared" si="35"/>
        <v>0.91660734262178378</v>
      </c>
      <c r="P279" s="191">
        <f t="shared" si="36"/>
        <v>14686.14</v>
      </c>
      <c r="Q279"/>
      <c r="R279" s="191">
        <v>0</v>
      </c>
      <c r="S279" s="191">
        <v>896</v>
      </c>
      <c r="T279" s="191">
        <f t="shared" si="37"/>
        <v>113.4285714285711</v>
      </c>
      <c r="U279" s="191">
        <f t="shared" si="39"/>
        <v>1009.4285714285711</v>
      </c>
      <c r="V279" s="192">
        <f t="shared" si="38"/>
        <v>9.9411960501497837E-2</v>
      </c>
    </row>
    <row r="280" spans="1:22" s="191" customFormat="1">
      <c r="A280" s="190">
        <v>42258</v>
      </c>
      <c r="B280" s="191">
        <v>961</v>
      </c>
      <c r="C280" s="191">
        <v>18291</v>
      </c>
      <c r="D280" s="191">
        <v>9247</v>
      </c>
      <c r="E280" s="191">
        <v>9707</v>
      </c>
      <c r="F280" s="191">
        <v>3117</v>
      </c>
      <c r="G280" s="191">
        <v>3117</v>
      </c>
      <c r="H280" s="192">
        <f t="shared" si="32"/>
        <v>1</v>
      </c>
      <c r="I280" s="191">
        <v>6590</v>
      </c>
      <c r="J280" s="191">
        <v>5671</v>
      </c>
      <c r="K280" s="192">
        <f t="shared" si="33"/>
        <v>0.86054628224582697</v>
      </c>
      <c r="L280" s="191">
        <v>5669</v>
      </c>
      <c r="M280" s="191">
        <v>8983</v>
      </c>
      <c r="N280" s="192">
        <f t="shared" si="34"/>
        <v>9.774017588778805E-2</v>
      </c>
      <c r="O280" s="192">
        <f t="shared" si="35"/>
        <v>0.9053260533635521</v>
      </c>
      <c r="P280" s="191">
        <f t="shared" si="36"/>
        <v>14732.13</v>
      </c>
      <c r="Q280"/>
      <c r="R280" s="191">
        <v>0</v>
      </c>
      <c r="S280" s="191">
        <v>878</v>
      </c>
      <c r="T280" s="191">
        <f t="shared" si="37"/>
        <v>133.14285714285734</v>
      </c>
      <c r="U280" s="191">
        <f t="shared" si="39"/>
        <v>1011.1428571428573</v>
      </c>
      <c r="V280" s="192">
        <f t="shared" si="38"/>
        <v>9.9908966772872101E-2</v>
      </c>
    </row>
    <row r="281" spans="1:22" s="191" customFormat="1">
      <c r="A281" s="190">
        <v>42265</v>
      </c>
      <c r="B281" s="191">
        <v>938</v>
      </c>
      <c r="C281" s="191">
        <v>18900</v>
      </c>
      <c r="D281" s="191">
        <v>9545</v>
      </c>
      <c r="E281" s="191">
        <v>9963</v>
      </c>
      <c r="F281" s="191">
        <v>3175</v>
      </c>
      <c r="G281" s="191">
        <v>3175</v>
      </c>
      <c r="H281" s="192">
        <f t="shared" si="32"/>
        <v>1</v>
      </c>
      <c r="I281" s="191">
        <v>6788</v>
      </c>
      <c r="J281" s="191">
        <v>5721</v>
      </c>
      <c r="K281" s="192">
        <f t="shared" si="33"/>
        <v>0.84281084266352391</v>
      </c>
      <c r="L281" s="191">
        <v>5719</v>
      </c>
      <c r="M281" s="191">
        <v>9215</v>
      </c>
      <c r="N281" s="192">
        <f t="shared" si="34"/>
        <v>9.6798697775366246E-2</v>
      </c>
      <c r="O281" s="192">
        <f t="shared" si="35"/>
        <v>0.89290374385225335</v>
      </c>
      <c r="P281" s="191">
        <f t="shared" si="36"/>
        <v>14379.54</v>
      </c>
      <c r="Q281"/>
      <c r="R281" s="191">
        <v>44</v>
      </c>
      <c r="S281" s="191">
        <v>892</v>
      </c>
      <c r="T281" s="191">
        <f t="shared" si="37"/>
        <v>3</v>
      </c>
      <c r="U281" s="191">
        <f t="shared" si="39"/>
        <v>895</v>
      </c>
      <c r="V281" s="192">
        <f t="shared" si="38"/>
        <v>0.10026978417266187</v>
      </c>
    </row>
    <row r="282" spans="1:22" s="191" customFormat="1">
      <c r="A282" s="190">
        <v>42272</v>
      </c>
      <c r="B282" s="191">
        <v>943</v>
      </c>
      <c r="C282" s="191">
        <v>18782</v>
      </c>
      <c r="D282" s="191">
        <v>9674</v>
      </c>
      <c r="E282" s="191">
        <v>9599</v>
      </c>
      <c r="F282" s="191">
        <v>3182</v>
      </c>
      <c r="G282" s="191">
        <v>3182</v>
      </c>
      <c r="H282" s="192">
        <f t="shared" si="32"/>
        <v>1</v>
      </c>
      <c r="I282" s="191">
        <v>6417</v>
      </c>
      <c r="J282" s="191">
        <v>5678</v>
      </c>
      <c r="K282" s="192">
        <f t="shared" si="33"/>
        <v>0.88483715131681473</v>
      </c>
      <c r="L282" s="191">
        <v>5677</v>
      </c>
      <c r="M282" s="191">
        <v>9021</v>
      </c>
      <c r="N282" s="192">
        <f t="shared" si="34"/>
        <v>9.7661013191442186E-2</v>
      </c>
      <c r="O282" s="192">
        <f t="shared" si="35"/>
        <v>0.9230128138347744</v>
      </c>
      <c r="P282" s="191">
        <f t="shared" si="36"/>
        <v>14456.19</v>
      </c>
      <c r="Q282"/>
      <c r="R282" s="191">
        <v>0</v>
      </c>
      <c r="S282" s="191">
        <v>881</v>
      </c>
      <c r="T282" s="191">
        <f t="shared" si="37"/>
        <v>78.857142857142662</v>
      </c>
      <c r="U282" s="191">
        <f t="shared" si="39"/>
        <v>959.85714285714266</v>
      </c>
      <c r="V282" s="192">
        <f t="shared" si="38"/>
        <v>9.9435665914221219E-2</v>
      </c>
    </row>
    <row r="283" spans="1:22" s="191" customFormat="1">
      <c r="A283" s="190">
        <v>42279</v>
      </c>
      <c r="B283" s="191">
        <v>950</v>
      </c>
      <c r="C283" s="191">
        <v>18812</v>
      </c>
      <c r="D283" s="191">
        <v>9306</v>
      </c>
      <c r="E283" s="191">
        <v>9800</v>
      </c>
      <c r="F283" s="191">
        <v>3128</v>
      </c>
      <c r="G283" s="191">
        <v>3128</v>
      </c>
      <c r="H283" s="192">
        <f t="shared" si="32"/>
        <v>1</v>
      </c>
      <c r="I283" s="191">
        <v>6672</v>
      </c>
      <c r="J283" s="191">
        <v>5705</v>
      </c>
      <c r="K283" s="192">
        <f t="shared" si="33"/>
        <v>0.85506594724220619</v>
      </c>
      <c r="L283" s="191">
        <v>5703</v>
      </c>
      <c r="M283" s="191">
        <v>8958</v>
      </c>
      <c r="N283" s="192">
        <f t="shared" si="34"/>
        <v>9.8459477561955791E-2</v>
      </c>
      <c r="O283" s="192">
        <f t="shared" si="35"/>
        <v>0.90132653061224488</v>
      </c>
      <c r="P283" s="191">
        <f t="shared" si="36"/>
        <v>14563.5</v>
      </c>
      <c r="Q283"/>
      <c r="R283" s="191">
        <v>17</v>
      </c>
      <c r="S283" s="191">
        <v>882</v>
      </c>
      <c r="T283" s="191">
        <f t="shared" si="37"/>
        <v>80.714285714285779</v>
      </c>
      <c r="U283" s="191">
        <f t="shared" si="39"/>
        <v>962.71428571428578</v>
      </c>
      <c r="V283" s="192">
        <f t="shared" si="38"/>
        <v>9.9852824634891882E-2</v>
      </c>
    </row>
    <row r="284" spans="1:22" s="191" customFormat="1">
      <c r="A284" s="190">
        <v>42286</v>
      </c>
      <c r="B284" s="191">
        <v>949</v>
      </c>
      <c r="C284" s="191">
        <v>18956</v>
      </c>
      <c r="D284" s="191">
        <v>9619</v>
      </c>
      <c r="E284" s="191">
        <v>9752</v>
      </c>
      <c r="F284" s="191">
        <v>3165</v>
      </c>
      <c r="G284" s="191">
        <v>3165</v>
      </c>
      <c r="H284" s="192">
        <f t="shared" si="32"/>
        <v>1</v>
      </c>
      <c r="I284" s="191">
        <v>6587</v>
      </c>
      <c r="J284" s="191">
        <v>5747</v>
      </c>
      <c r="K284" s="192">
        <f t="shared" si="33"/>
        <v>0.87247608926673748</v>
      </c>
      <c r="L284" s="191">
        <v>5745</v>
      </c>
      <c r="M284" s="191">
        <v>9137</v>
      </c>
      <c r="N284" s="192">
        <f t="shared" si="34"/>
        <v>9.7077815475539023E-2</v>
      </c>
      <c r="O284" s="192">
        <f t="shared" si="35"/>
        <v>0.91386382280557832</v>
      </c>
      <c r="P284" s="191">
        <f t="shared" si="36"/>
        <v>14548.17</v>
      </c>
      <c r="Q284"/>
      <c r="R284" s="191">
        <v>0</v>
      </c>
      <c r="S284" s="191">
        <v>887</v>
      </c>
      <c r="T284" s="191">
        <f t="shared" si="37"/>
        <v>41.428571428571558</v>
      </c>
      <c r="U284" s="191">
        <f t="shared" si="39"/>
        <v>928.42857142857156</v>
      </c>
      <c r="V284" s="192">
        <f t="shared" si="38"/>
        <v>9.9528725314183122E-2</v>
      </c>
    </row>
    <row r="285" spans="1:22" s="191" customFormat="1">
      <c r="A285" s="190">
        <v>42293</v>
      </c>
      <c r="B285" s="191">
        <v>951</v>
      </c>
      <c r="C285" s="191">
        <v>18872</v>
      </c>
      <c r="D285" s="191">
        <v>9579</v>
      </c>
      <c r="E285" s="191">
        <v>9854</v>
      </c>
      <c r="F285" s="191">
        <v>3198</v>
      </c>
      <c r="G285" s="191">
        <v>3198</v>
      </c>
      <c r="H285" s="192">
        <f t="shared" si="32"/>
        <v>1</v>
      </c>
      <c r="I285" s="191">
        <v>6656</v>
      </c>
      <c r="J285" s="191">
        <v>5788</v>
      </c>
      <c r="K285" s="192">
        <f t="shared" si="33"/>
        <v>0.86959134615384615</v>
      </c>
      <c r="L285" s="191">
        <v>5785</v>
      </c>
      <c r="M285" s="191">
        <v>9157</v>
      </c>
      <c r="N285" s="192">
        <f t="shared" si="34"/>
        <v>9.7957846456262973E-2</v>
      </c>
      <c r="O285" s="192">
        <f t="shared" si="35"/>
        <v>0.91191394357621269</v>
      </c>
      <c r="P285" s="191">
        <f t="shared" si="36"/>
        <v>14578.83</v>
      </c>
      <c r="Q285"/>
      <c r="R285" s="191">
        <v>0</v>
      </c>
      <c r="S285" s="191">
        <v>897</v>
      </c>
      <c r="T285" s="191">
        <f t="shared" si="37"/>
        <v>66</v>
      </c>
      <c r="U285" s="191">
        <f t="shared" si="39"/>
        <v>963</v>
      </c>
      <c r="V285" s="192">
        <f t="shared" si="38"/>
        <v>9.9821945248163804E-2</v>
      </c>
    </row>
    <row r="286" spans="1:22" s="191" customFormat="1">
      <c r="A286" s="190">
        <v>42300</v>
      </c>
      <c r="B286" s="191">
        <v>944</v>
      </c>
      <c r="C286" s="191">
        <v>18273</v>
      </c>
      <c r="D286" s="191">
        <v>9703</v>
      </c>
      <c r="E286" s="191">
        <v>10078</v>
      </c>
      <c r="F286" s="191">
        <v>3276</v>
      </c>
      <c r="G286" s="191">
        <v>3276</v>
      </c>
      <c r="H286" s="192">
        <f t="shared" si="32"/>
        <v>1</v>
      </c>
      <c r="I286" s="191">
        <v>6802</v>
      </c>
      <c r="J286" s="191">
        <v>5886</v>
      </c>
      <c r="K286" s="192">
        <f t="shared" si="33"/>
        <v>0.86533372537488973</v>
      </c>
      <c r="L286" s="191">
        <v>5883</v>
      </c>
      <c r="M286" s="191">
        <v>9343</v>
      </c>
      <c r="N286" s="192">
        <f t="shared" si="34"/>
        <v>9.7934282350422772E-2</v>
      </c>
      <c r="O286" s="192">
        <f t="shared" si="35"/>
        <v>0.90910895018852944</v>
      </c>
      <c r="P286" s="191">
        <f t="shared" si="36"/>
        <v>14471.52</v>
      </c>
      <c r="Q286"/>
      <c r="R286" s="191">
        <v>0</v>
      </c>
      <c r="S286" s="191">
        <v>915</v>
      </c>
      <c r="T286" s="191">
        <f t="shared" si="37"/>
        <v>114.57142857142844</v>
      </c>
      <c r="U286" s="191">
        <f t="shared" si="39"/>
        <v>1029.5714285714284</v>
      </c>
      <c r="V286" s="192">
        <f t="shared" si="38"/>
        <v>9.9869024230517356E-2</v>
      </c>
    </row>
    <row r="287" spans="1:22" s="191" customFormat="1">
      <c r="A287" s="190">
        <v>42307</v>
      </c>
      <c r="B287" s="191">
        <v>969</v>
      </c>
      <c r="C287" s="191">
        <v>18774</v>
      </c>
      <c r="D287" s="191">
        <v>9537</v>
      </c>
      <c r="E287" s="191">
        <v>9735</v>
      </c>
      <c r="F287" s="191">
        <v>3199</v>
      </c>
      <c r="G287" s="191">
        <v>3199</v>
      </c>
      <c r="H287" s="192">
        <f t="shared" si="32"/>
        <v>1</v>
      </c>
      <c r="I287" s="191">
        <v>6536</v>
      </c>
      <c r="J287" s="191">
        <v>5667</v>
      </c>
      <c r="K287" s="192">
        <f t="shared" si="33"/>
        <v>0.86704406364749087</v>
      </c>
      <c r="L287" s="191">
        <v>5664</v>
      </c>
      <c r="M287" s="191">
        <v>9184</v>
      </c>
      <c r="N287" s="192">
        <f t="shared" si="34"/>
        <v>9.6254355400696864E-2</v>
      </c>
      <c r="O287" s="192">
        <f t="shared" si="35"/>
        <v>0.91073446327683616</v>
      </c>
      <c r="P287" s="191">
        <f t="shared" si="36"/>
        <v>14854.77</v>
      </c>
      <c r="Q287"/>
      <c r="R287" s="191">
        <v>10</v>
      </c>
      <c r="S287" s="191">
        <v>884</v>
      </c>
      <c r="T287" s="191">
        <f t="shared" si="37"/>
        <v>23.428571428571558</v>
      </c>
      <c r="U287" s="191">
        <f t="shared" si="39"/>
        <v>907.42857142857156</v>
      </c>
      <c r="V287" s="192">
        <f t="shared" si="38"/>
        <v>9.9706744868035185E-2</v>
      </c>
    </row>
    <row r="288" spans="1:22" s="191" customFormat="1">
      <c r="A288" s="190">
        <v>42314</v>
      </c>
      <c r="B288" s="191">
        <v>982</v>
      </c>
      <c r="C288" s="191">
        <v>18854</v>
      </c>
      <c r="D288" s="191">
        <v>9693</v>
      </c>
      <c r="E288" s="191">
        <v>9727</v>
      </c>
      <c r="F288" s="191">
        <v>3138</v>
      </c>
      <c r="G288" s="191">
        <v>3138</v>
      </c>
      <c r="H288" s="192">
        <f t="shared" si="32"/>
        <v>1</v>
      </c>
      <c r="I288" s="191">
        <v>6590</v>
      </c>
      <c r="J288" s="191">
        <v>5575</v>
      </c>
      <c r="K288" s="192">
        <f t="shared" si="33"/>
        <v>0.84597875569044001</v>
      </c>
      <c r="L288" s="191">
        <v>5574</v>
      </c>
      <c r="M288" s="191">
        <v>9388</v>
      </c>
      <c r="N288" s="192">
        <f t="shared" si="34"/>
        <v>9.2458457605453764E-2</v>
      </c>
      <c r="O288" s="192">
        <f t="shared" si="35"/>
        <v>0.89575408656317468</v>
      </c>
      <c r="P288" s="191">
        <f t="shared" si="36"/>
        <v>15054.06</v>
      </c>
      <c r="Q288"/>
      <c r="R288" s="191">
        <v>26</v>
      </c>
      <c r="S288" s="191">
        <v>868</v>
      </c>
      <c r="T288" s="191">
        <f t="shared" si="37"/>
        <v>128.57142857142844</v>
      </c>
      <c r="U288" s="191">
        <f t="shared" si="39"/>
        <v>996.57142857142844</v>
      </c>
      <c r="V288" s="192">
        <f t="shared" si="38"/>
        <v>9.9621255595087804E-2</v>
      </c>
    </row>
    <row r="289" spans="1:22" s="191" customFormat="1">
      <c r="A289" s="190">
        <v>42321</v>
      </c>
      <c r="B289" s="191">
        <v>975</v>
      </c>
      <c r="C289" s="191">
        <v>19249</v>
      </c>
      <c r="D289" s="191">
        <v>9558</v>
      </c>
      <c r="E289" s="191">
        <v>9942</v>
      </c>
      <c r="F289" s="191">
        <v>3126</v>
      </c>
      <c r="G289" s="191">
        <v>3126</v>
      </c>
      <c r="H289" s="192">
        <f t="shared" si="32"/>
        <v>1</v>
      </c>
      <c r="I289" s="191">
        <v>6816</v>
      </c>
      <c r="J289" s="191">
        <v>5625</v>
      </c>
      <c r="K289" s="192">
        <f t="shared" si="33"/>
        <v>0.82526408450704225</v>
      </c>
      <c r="L289" s="191">
        <v>5622</v>
      </c>
      <c r="M289" s="191">
        <v>9054</v>
      </c>
      <c r="N289" s="192">
        <f t="shared" si="34"/>
        <v>9.6090125911199475E-2</v>
      </c>
      <c r="O289" s="192">
        <f t="shared" si="35"/>
        <v>0.88020519010259501</v>
      </c>
      <c r="P289" s="191">
        <f t="shared" si="36"/>
        <v>14946.75</v>
      </c>
      <c r="Q289"/>
      <c r="R289" s="191">
        <v>0</v>
      </c>
      <c r="S289" s="191">
        <v>870</v>
      </c>
      <c r="T289" s="191">
        <f t="shared" si="37"/>
        <v>48.571428571428896</v>
      </c>
      <c r="U289" s="191">
        <f t="shared" si="39"/>
        <v>918.5714285714289</v>
      </c>
      <c r="V289" s="192">
        <f t="shared" si="38"/>
        <v>9.9417209461775791E-2</v>
      </c>
    </row>
    <row r="290" spans="1:22" s="191" customFormat="1">
      <c r="A290" s="190">
        <v>42328</v>
      </c>
      <c r="B290" s="191">
        <v>1008</v>
      </c>
      <c r="C290" s="191">
        <v>19627</v>
      </c>
      <c r="D290" s="191">
        <v>9544</v>
      </c>
      <c r="E290" s="191">
        <v>9851</v>
      </c>
      <c r="F290" s="191">
        <v>3205</v>
      </c>
      <c r="G290" s="191">
        <v>3205</v>
      </c>
      <c r="H290" s="192">
        <f t="shared" si="32"/>
        <v>1</v>
      </c>
      <c r="I290" s="191">
        <v>6646</v>
      </c>
      <c r="J290" s="191">
        <v>5687</v>
      </c>
      <c r="K290" s="192">
        <f t="shared" si="33"/>
        <v>0.8557026783027385</v>
      </c>
      <c r="L290" s="191">
        <v>5686</v>
      </c>
      <c r="M290" s="191">
        <v>8921</v>
      </c>
      <c r="N290" s="192">
        <f t="shared" si="34"/>
        <v>9.9204125098083171E-2</v>
      </c>
      <c r="O290" s="192">
        <f t="shared" si="35"/>
        <v>0.90264947721043554</v>
      </c>
      <c r="P290" s="191">
        <f t="shared" si="36"/>
        <v>15452.64</v>
      </c>
      <c r="Q290"/>
      <c r="R290" s="191">
        <v>0</v>
      </c>
      <c r="S290" s="191">
        <v>885</v>
      </c>
      <c r="T290" s="191">
        <f t="shared" si="37"/>
        <v>69</v>
      </c>
      <c r="U290" s="191">
        <f t="shared" si="39"/>
        <v>954</v>
      </c>
      <c r="V290" s="192">
        <f t="shared" si="38"/>
        <v>9.9527665317138997E-2</v>
      </c>
    </row>
    <row r="291" spans="1:22" s="191" customFormat="1">
      <c r="A291" s="190">
        <v>42335</v>
      </c>
      <c r="B291" s="191">
        <v>956</v>
      </c>
      <c r="C291" s="191">
        <v>19997</v>
      </c>
      <c r="D291" s="191">
        <v>9752</v>
      </c>
      <c r="E291" s="191">
        <v>9739</v>
      </c>
      <c r="F291" s="191">
        <v>3130</v>
      </c>
      <c r="G291" s="191">
        <v>3130</v>
      </c>
      <c r="H291" s="192">
        <f t="shared" si="32"/>
        <v>1</v>
      </c>
      <c r="I291" s="191">
        <v>6609</v>
      </c>
      <c r="J291" s="191">
        <v>5629</v>
      </c>
      <c r="K291" s="192">
        <f t="shared" si="33"/>
        <v>0.85171735512180358</v>
      </c>
      <c r="L291" s="191">
        <v>5628</v>
      </c>
      <c r="M291" s="191">
        <v>9281</v>
      </c>
      <c r="N291" s="192">
        <f t="shared" si="34"/>
        <v>9.4386380777933418E-2</v>
      </c>
      <c r="O291" s="192">
        <f t="shared" si="35"/>
        <v>0.89937365232570077</v>
      </c>
      <c r="P291" s="191">
        <f t="shared" si="36"/>
        <v>14655.48</v>
      </c>
      <c r="Q291"/>
      <c r="R291" s="191">
        <v>36</v>
      </c>
      <c r="S291" s="191">
        <v>876</v>
      </c>
      <c r="T291" s="191">
        <f t="shared" si="37"/>
        <v>63.142857142856883</v>
      </c>
      <c r="U291" s="191">
        <f t="shared" si="39"/>
        <v>939.14285714285688</v>
      </c>
      <c r="V291" s="192">
        <f t="shared" si="38"/>
        <v>0.10001141682840507</v>
      </c>
    </row>
    <row r="292" spans="1:22" s="191" customFormat="1">
      <c r="A292" s="190">
        <v>42342</v>
      </c>
      <c r="B292" s="191">
        <v>993</v>
      </c>
      <c r="C292" s="191">
        <v>19829</v>
      </c>
      <c r="D292" s="191">
        <v>9869</v>
      </c>
      <c r="E292" s="191">
        <v>9428</v>
      </c>
      <c r="F292" s="191">
        <v>2993</v>
      </c>
      <c r="G292" s="191">
        <v>2993</v>
      </c>
      <c r="H292" s="192">
        <f t="shared" si="32"/>
        <v>1</v>
      </c>
      <c r="I292" s="191">
        <v>6435</v>
      </c>
      <c r="J292" s="191">
        <v>5391</v>
      </c>
      <c r="K292" s="192">
        <f t="shared" si="33"/>
        <v>0.83776223776223779</v>
      </c>
      <c r="L292" s="191">
        <v>5390</v>
      </c>
      <c r="M292" s="191">
        <v>9420</v>
      </c>
      <c r="N292" s="192">
        <f t="shared" si="34"/>
        <v>8.9065817409766448E-2</v>
      </c>
      <c r="O292" s="192">
        <f t="shared" si="35"/>
        <v>0.88926601612218925</v>
      </c>
      <c r="P292" s="191">
        <f t="shared" si="36"/>
        <v>15222.69</v>
      </c>
      <c r="Q292"/>
      <c r="R292" s="191">
        <v>0</v>
      </c>
      <c r="S292" s="191">
        <v>839</v>
      </c>
      <c r="T292" s="191">
        <f t="shared" si="37"/>
        <v>178</v>
      </c>
      <c r="U292" s="191">
        <f t="shared" si="39"/>
        <v>1017</v>
      </c>
      <c r="V292" s="192">
        <f t="shared" si="38"/>
        <v>0.10007156488549618</v>
      </c>
    </row>
    <row r="293" spans="1:22" s="191" customFormat="1">
      <c r="A293" s="190">
        <v>42349</v>
      </c>
      <c r="B293" s="191">
        <v>1000</v>
      </c>
      <c r="C293" s="191">
        <v>20322</v>
      </c>
      <c r="D293" s="191">
        <v>9963</v>
      </c>
      <c r="E293" s="191">
        <v>9970</v>
      </c>
      <c r="F293" s="191">
        <v>3216</v>
      </c>
      <c r="G293" s="191">
        <v>3216</v>
      </c>
      <c r="H293" s="192">
        <f t="shared" si="32"/>
        <v>1</v>
      </c>
      <c r="I293" s="191">
        <v>6753</v>
      </c>
      <c r="J293" s="191">
        <v>5706</v>
      </c>
      <c r="K293" s="192">
        <f t="shared" si="33"/>
        <v>0.84495779653487335</v>
      </c>
      <c r="L293" s="191">
        <v>5704</v>
      </c>
      <c r="M293" s="191">
        <v>9220</v>
      </c>
      <c r="N293" s="192">
        <f t="shared" si="34"/>
        <v>9.6529284164859008E-2</v>
      </c>
      <c r="O293" s="192">
        <f t="shared" si="35"/>
        <v>0.89488465396188566</v>
      </c>
      <c r="P293" s="191">
        <f t="shared" si="36"/>
        <v>15330</v>
      </c>
      <c r="Q293"/>
      <c r="R293" s="191">
        <v>32</v>
      </c>
      <c r="S293" s="191">
        <v>890</v>
      </c>
      <c r="T293" s="191">
        <f t="shared" si="37"/>
        <v>71.571428571428442</v>
      </c>
      <c r="U293" s="191">
        <f t="shared" si="39"/>
        <v>961.57142857142844</v>
      </c>
      <c r="V293" s="192">
        <f t="shared" si="38"/>
        <v>9.97534185160278E-2</v>
      </c>
    </row>
    <row r="294" spans="1:22" s="191" customFormat="1">
      <c r="A294" s="190">
        <v>42356</v>
      </c>
      <c r="B294" s="191">
        <v>973</v>
      </c>
      <c r="C294" s="191">
        <v>20387</v>
      </c>
      <c r="D294" s="191">
        <v>9346</v>
      </c>
      <c r="E294" s="191">
        <v>9600</v>
      </c>
      <c r="F294" s="191">
        <v>3181</v>
      </c>
      <c r="G294" s="191">
        <v>3181</v>
      </c>
      <c r="H294" s="192">
        <f t="shared" si="32"/>
        <v>1</v>
      </c>
      <c r="I294" s="191">
        <v>6419</v>
      </c>
      <c r="J294" s="191">
        <v>5620</v>
      </c>
      <c r="K294" s="192">
        <f t="shared" si="33"/>
        <v>0.87552578283221683</v>
      </c>
      <c r="L294" s="191">
        <v>5618</v>
      </c>
      <c r="M294" s="191">
        <v>9185</v>
      </c>
      <c r="N294" s="192">
        <f t="shared" si="34"/>
        <v>9.580838323353294E-2</v>
      </c>
      <c r="O294" s="192">
        <f t="shared" si="35"/>
        <v>0.91677083333333331</v>
      </c>
      <c r="P294" s="191">
        <f t="shared" si="36"/>
        <v>14916.09</v>
      </c>
      <c r="Q294"/>
      <c r="R294" s="191">
        <v>0</v>
      </c>
      <c r="S294" s="191">
        <v>880</v>
      </c>
      <c r="T294" s="191">
        <f t="shared" si="37"/>
        <v>83.714285714285779</v>
      </c>
      <c r="U294" s="191">
        <f t="shared" si="39"/>
        <v>963.71428571428578</v>
      </c>
      <c r="V294" s="192">
        <f t="shared" si="38"/>
        <v>9.998863765481196E-2</v>
      </c>
    </row>
    <row r="295" spans="1:22" s="191" customFormat="1">
      <c r="A295" s="190">
        <v>42363</v>
      </c>
      <c r="B295" s="191">
        <v>992</v>
      </c>
      <c r="C295" s="191">
        <v>20166</v>
      </c>
      <c r="D295" s="191">
        <v>9921</v>
      </c>
      <c r="E295" s="191">
        <v>10031</v>
      </c>
      <c r="F295" s="191">
        <v>3219</v>
      </c>
      <c r="G295" s="191">
        <v>3219</v>
      </c>
      <c r="H295" s="192">
        <f t="shared" si="32"/>
        <v>1</v>
      </c>
      <c r="I295" s="191">
        <v>6813</v>
      </c>
      <c r="J295" s="191">
        <v>5875</v>
      </c>
      <c r="K295" s="192">
        <f t="shared" si="33"/>
        <v>0.86232203141053865</v>
      </c>
      <c r="L295" s="191">
        <v>5874</v>
      </c>
      <c r="M295" s="191">
        <v>9395</v>
      </c>
      <c r="N295" s="192">
        <f t="shared" si="34"/>
        <v>9.6540713145290044E-2</v>
      </c>
      <c r="O295" s="192">
        <f t="shared" si="35"/>
        <v>0.90658957232579007</v>
      </c>
      <c r="P295" s="191">
        <f t="shared" si="36"/>
        <v>15207.36</v>
      </c>
      <c r="Q295"/>
      <c r="R295" s="191">
        <v>0</v>
      </c>
      <c r="S295" s="191">
        <v>907</v>
      </c>
      <c r="T295" s="191">
        <f t="shared" si="37"/>
        <v>116.5714285714289</v>
      </c>
      <c r="U295" s="191">
        <f t="shared" si="39"/>
        <v>1023.5714285714289</v>
      </c>
      <c r="V295" s="192">
        <f t="shared" si="38"/>
        <v>9.9736089729491967E-2</v>
      </c>
    </row>
    <row r="296" spans="1:22" s="191" customFormat="1">
      <c r="A296" s="190">
        <v>42370</v>
      </c>
      <c r="B296" s="191">
        <v>996</v>
      </c>
      <c r="C296" s="191">
        <v>21099</v>
      </c>
      <c r="D296" s="191">
        <v>8766</v>
      </c>
      <c r="E296" s="191">
        <v>8901</v>
      </c>
      <c r="F296" s="191">
        <v>2794</v>
      </c>
      <c r="G296" s="191">
        <v>2794</v>
      </c>
      <c r="H296" s="192">
        <f t="shared" si="32"/>
        <v>1</v>
      </c>
      <c r="I296" s="191">
        <v>6107</v>
      </c>
      <c r="J296" s="191">
        <v>5077</v>
      </c>
      <c r="K296" s="192">
        <f t="shared" si="33"/>
        <v>0.83134108400196494</v>
      </c>
      <c r="L296" s="191">
        <v>5076</v>
      </c>
      <c r="M296" s="191">
        <v>8159</v>
      </c>
      <c r="N296" s="192">
        <f t="shared" si="34"/>
        <v>9.6457899252359355E-2</v>
      </c>
      <c r="O296" s="192">
        <f t="shared" si="35"/>
        <v>0.88428266486911578</v>
      </c>
      <c r="P296" s="191">
        <f t="shared" si="36"/>
        <v>15268.68</v>
      </c>
      <c r="Q296"/>
      <c r="R296" s="191">
        <v>0</v>
      </c>
      <c r="S296" s="191">
        <v>787</v>
      </c>
      <c r="T296" s="191">
        <f t="shared" si="37"/>
        <v>75.714285714285325</v>
      </c>
      <c r="U296" s="191">
        <f t="shared" si="39"/>
        <v>862.71428571428532</v>
      </c>
      <c r="V296" s="192">
        <f t="shared" si="38"/>
        <v>9.9987295134036341E-2</v>
      </c>
    </row>
    <row r="297" spans="1:22" s="191" customFormat="1">
      <c r="A297" s="190">
        <v>42377</v>
      </c>
      <c r="B297" s="191">
        <v>1003</v>
      </c>
      <c r="C297" s="191">
        <v>21345</v>
      </c>
      <c r="D297" s="191">
        <v>8820</v>
      </c>
      <c r="E297" s="191">
        <v>9018</v>
      </c>
      <c r="F297" s="191">
        <v>2863</v>
      </c>
      <c r="G297" s="191">
        <v>2863</v>
      </c>
      <c r="H297" s="192">
        <f t="shared" si="32"/>
        <v>1</v>
      </c>
      <c r="I297" s="191">
        <v>6155</v>
      </c>
      <c r="J297" s="191">
        <v>5193</v>
      </c>
      <c r="K297" s="192">
        <f t="shared" si="33"/>
        <v>0.84370430544272945</v>
      </c>
      <c r="L297" s="191">
        <v>5191</v>
      </c>
      <c r="M297" s="191">
        <v>8500</v>
      </c>
      <c r="N297" s="192">
        <f t="shared" si="34"/>
        <v>9.4941176470588237E-2</v>
      </c>
      <c r="O297" s="192">
        <f t="shared" si="35"/>
        <v>0.89332446218673767</v>
      </c>
      <c r="P297" s="191">
        <f t="shared" si="36"/>
        <v>15375.99</v>
      </c>
      <c r="Q297"/>
      <c r="R297" s="191">
        <v>0</v>
      </c>
      <c r="S297" s="191">
        <v>807</v>
      </c>
      <c r="T297" s="191">
        <f t="shared" si="37"/>
        <v>160.85714285714312</v>
      </c>
      <c r="U297" s="191">
        <f t="shared" si="39"/>
        <v>967.85714285714312</v>
      </c>
      <c r="V297" s="192">
        <f t="shared" si="38"/>
        <v>0.10017378351539226</v>
      </c>
    </row>
    <row r="298" spans="1:22" s="191" customFormat="1">
      <c r="A298" s="190">
        <v>42384</v>
      </c>
      <c r="B298" s="191">
        <v>983</v>
      </c>
      <c r="C298" s="191">
        <v>21940</v>
      </c>
      <c r="D298" s="191">
        <v>9453</v>
      </c>
      <c r="E298" s="191">
        <v>9735</v>
      </c>
      <c r="F298" s="191">
        <v>3099</v>
      </c>
      <c r="G298" s="191">
        <v>3099</v>
      </c>
      <c r="H298" s="192">
        <f t="shared" si="32"/>
        <v>1</v>
      </c>
      <c r="I298" s="191">
        <v>6637</v>
      </c>
      <c r="J298" s="191">
        <v>5490</v>
      </c>
      <c r="K298" s="192">
        <f t="shared" si="33"/>
        <v>0.82718095525086632</v>
      </c>
      <c r="L298" s="191">
        <v>5489</v>
      </c>
      <c r="M298" s="191">
        <v>9079</v>
      </c>
      <c r="N298" s="192">
        <f t="shared" si="34"/>
        <v>9.428351139993392E-2</v>
      </c>
      <c r="O298" s="192">
        <f t="shared" si="35"/>
        <v>0.88228043143297386</v>
      </c>
      <c r="P298" s="191">
        <f t="shared" si="36"/>
        <v>15069.39</v>
      </c>
      <c r="Q298"/>
      <c r="R298" s="191">
        <v>0</v>
      </c>
      <c r="S298" s="191">
        <v>856</v>
      </c>
      <c r="T298" s="191">
        <f t="shared" si="37"/>
        <v>42</v>
      </c>
      <c r="U298" s="191">
        <f t="shared" si="39"/>
        <v>898</v>
      </c>
      <c r="V298" s="192">
        <f t="shared" si="38"/>
        <v>9.9662358831062989E-2</v>
      </c>
    </row>
    <row r="299" spans="1:22" s="191" customFormat="1">
      <c r="A299" s="190">
        <v>42391</v>
      </c>
      <c r="B299" s="191">
        <v>961</v>
      </c>
      <c r="C299" s="191">
        <v>21436</v>
      </c>
      <c r="D299" s="191">
        <v>9377</v>
      </c>
      <c r="E299" s="191">
        <v>9657</v>
      </c>
      <c r="F299" s="191">
        <v>3169</v>
      </c>
      <c r="G299" s="191">
        <v>3169</v>
      </c>
      <c r="H299" s="192">
        <f t="shared" si="32"/>
        <v>1</v>
      </c>
      <c r="I299" s="191">
        <v>6488</v>
      </c>
      <c r="J299" s="191">
        <v>5513</v>
      </c>
      <c r="K299" s="192">
        <f t="shared" si="33"/>
        <v>0.84972256473489516</v>
      </c>
      <c r="L299" s="191">
        <v>5511</v>
      </c>
      <c r="M299" s="191">
        <v>8941</v>
      </c>
      <c r="N299" s="192">
        <f t="shared" si="34"/>
        <v>9.6745330499944077E-2</v>
      </c>
      <c r="O299" s="192">
        <f t="shared" si="35"/>
        <v>0.89903696800248523</v>
      </c>
      <c r="P299" s="191">
        <f t="shared" si="36"/>
        <v>14732.13</v>
      </c>
      <c r="Q299"/>
      <c r="R299" s="191">
        <v>0</v>
      </c>
      <c r="S299" s="191">
        <v>865</v>
      </c>
      <c r="T299" s="191">
        <f t="shared" si="37"/>
        <v>168</v>
      </c>
      <c r="U299" s="191">
        <f t="shared" si="39"/>
        <v>1033</v>
      </c>
      <c r="V299" s="192">
        <f t="shared" si="38"/>
        <v>9.9631421331490444E-2</v>
      </c>
    </row>
    <row r="300" spans="1:22" s="191" customFormat="1">
      <c r="A300" s="190">
        <v>42398</v>
      </c>
      <c r="B300" s="191">
        <v>959</v>
      </c>
      <c r="C300" s="191">
        <v>22362</v>
      </c>
      <c r="D300" s="191">
        <v>8642</v>
      </c>
      <c r="E300" s="191">
        <v>8920</v>
      </c>
      <c r="F300" s="191">
        <v>2904</v>
      </c>
      <c r="G300" s="191">
        <v>2904</v>
      </c>
      <c r="H300" s="192">
        <f t="shared" si="32"/>
        <v>1</v>
      </c>
      <c r="I300" s="191">
        <v>6016</v>
      </c>
      <c r="J300" s="191">
        <v>5251</v>
      </c>
      <c r="K300" s="192">
        <f t="shared" si="33"/>
        <v>0.87283909574468088</v>
      </c>
      <c r="L300" s="191">
        <v>5249</v>
      </c>
      <c r="M300" s="191">
        <v>8341</v>
      </c>
      <c r="N300" s="192">
        <f t="shared" si="34"/>
        <v>9.7710106701834318E-2</v>
      </c>
      <c r="O300" s="192">
        <f t="shared" si="35"/>
        <v>0.91423766816143492</v>
      </c>
      <c r="P300" s="191">
        <f t="shared" si="36"/>
        <v>14701.47</v>
      </c>
      <c r="Q300"/>
      <c r="R300" s="191">
        <v>0</v>
      </c>
      <c r="S300" s="191">
        <v>815</v>
      </c>
      <c r="T300" s="191">
        <f t="shared" si="37"/>
        <v>11.714285714285779</v>
      </c>
      <c r="U300" s="191">
        <f t="shared" si="39"/>
        <v>826.71428571428578</v>
      </c>
      <c r="V300" s="192">
        <f t="shared" si="38"/>
        <v>9.9938687921520539E-2</v>
      </c>
    </row>
    <row r="301" spans="1:22" s="191" customFormat="1">
      <c r="A301" s="190">
        <v>42405</v>
      </c>
      <c r="B301" s="191">
        <v>969</v>
      </c>
      <c r="C301" s="191">
        <v>22956</v>
      </c>
      <c r="D301" s="191">
        <v>9553</v>
      </c>
      <c r="E301" s="191">
        <v>9637</v>
      </c>
      <c r="F301" s="191">
        <v>3110</v>
      </c>
      <c r="G301" s="191">
        <v>3110</v>
      </c>
      <c r="H301" s="192">
        <f t="shared" si="32"/>
        <v>1</v>
      </c>
      <c r="I301" s="191">
        <v>6527</v>
      </c>
      <c r="J301" s="191">
        <v>5522</v>
      </c>
      <c r="K301" s="192">
        <f t="shared" si="33"/>
        <v>0.84602420713957405</v>
      </c>
      <c r="L301" s="191">
        <v>5521</v>
      </c>
      <c r="M301" s="191">
        <v>9122</v>
      </c>
      <c r="N301" s="192">
        <f t="shared" si="34"/>
        <v>9.4058320543740415E-2</v>
      </c>
      <c r="O301" s="192">
        <f t="shared" si="35"/>
        <v>0.89571443395247485</v>
      </c>
      <c r="P301" s="191">
        <f t="shared" si="36"/>
        <v>14854.77</v>
      </c>
      <c r="Q301"/>
      <c r="R301" s="191">
        <v>0</v>
      </c>
      <c r="S301" s="191">
        <v>858</v>
      </c>
      <c r="T301" s="191">
        <f t="shared" si="37"/>
        <v>26.142857142856883</v>
      </c>
      <c r="U301" s="191">
        <f t="shared" si="39"/>
        <v>884.14285714285688</v>
      </c>
      <c r="V301" s="192">
        <f t="shared" si="38"/>
        <v>9.9397590361445784E-2</v>
      </c>
    </row>
    <row r="302" spans="1:22" s="191" customFormat="1">
      <c r="A302" s="190">
        <v>42412</v>
      </c>
      <c r="B302" s="191">
        <v>975</v>
      </c>
      <c r="C302" s="191">
        <v>23218</v>
      </c>
      <c r="D302" s="191">
        <v>9675</v>
      </c>
      <c r="E302" s="191">
        <v>9975</v>
      </c>
      <c r="F302" s="191">
        <v>3136</v>
      </c>
      <c r="G302" s="191">
        <v>3136</v>
      </c>
      <c r="H302" s="192">
        <f t="shared" si="32"/>
        <v>1</v>
      </c>
      <c r="I302" s="191">
        <v>6838</v>
      </c>
      <c r="J302" s="191">
        <v>5659</v>
      </c>
      <c r="K302" s="192">
        <f t="shared" si="33"/>
        <v>0.82758116408306526</v>
      </c>
      <c r="L302" s="191">
        <v>5657</v>
      </c>
      <c r="M302" s="191">
        <v>9203</v>
      </c>
      <c r="N302" s="192">
        <f t="shared" si="34"/>
        <v>9.5403672715418886E-2</v>
      </c>
      <c r="O302" s="192">
        <f t="shared" si="35"/>
        <v>0.8817042606516291</v>
      </c>
      <c r="P302" s="191">
        <f t="shared" si="36"/>
        <v>14946.75</v>
      </c>
      <c r="Q302"/>
      <c r="R302" s="191">
        <v>0</v>
      </c>
      <c r="S302" s="191">
        <v>878</v>
      </c>
      <c r="T302" s="191">
        <f t="shared" si="37"/>
        <v>59.571428571428896</v>
      </c>
      <c r="U302" s="191">
        <f t="shared" si="39"/>
        <v>937.5714285714289</v>
      </c>
      <c r="V302" s="192">
        <f t="shared" si="38"/>
        <v>9.9829448550312672E-2</v>
      </c>
    </row>
    <row r="303" spans="1:22" s="191" customFormat="1">
      <c r="A303" s="190">
        <v>42419</v>
      </c>
      <c r="B303" s="191">
        <v>994</v>
      </c>
      <c r="C303" s="191">
        <v>23105</v>
      </c>
      <c r="D303" s="191">
        <v>10009</v>
      </c>
      <c r="E303" s="191">
        <v>9758</v>
      </c>
      <c r="F303" s="191">
        <v>3159</v>
      </c>
      <c r="G303" s="191">
        <v>3159</v>
      </c>
      <c r="H303" s="192">
        <f t="shared" si="32"/>
        <v>1</v>
      </c>
      <c r="I303" s="191">
        <v>6600</v>
      </c>
      <c r="J303" s="191">
        <v>5663</v>
      </c>
      <c r="K303" s="192">
        <f t="shared" si="33"/>
        <v>0.85803030303030303</v>
      </c>
      <c r="L303" s="191">
        <v>5662</v>
      </c>
      <c r="M303" s="191">
        <v>9576</v>
      </c>
      <c r="N303" s="192">
        <f t="shared" si="34"/>
        <v>9.2105263157894732E-2</v>
      </c>
      <c r="O303" s="192">
        <f t="shared" si="35"/>
        <v>0.90407870465259277</v>
      </c>
      <c r="P303" s="191">
        <f t="shared" si="36"/>
        <v>15238.02</v>
      </c>
      <c r="Q303"/>
      <c r="R303" s="191">
        <v>0</v>
      </c>
      <c r="S303" s="191">
        <v>882</v>
      </c>
      <c r="T303" s="191">
        <f t="shared" si="37"/>
        <v>128.14285714285734</v>
      </c>
      <c r="U303" s="191">
        <f t="shared" si="39"/>
        <v>1010.1428571428573</v>
      </c>
      <c r="V303" s="192">
        <f t="shared" si="38"/>
        <v>9.9977329403763318E-2</v>
      </c>
    </row>
    <row r="304" spans="1:22" s="191" customFormat="1">
      <c r="A304" s="190">
        <v>42426</v>
      </c>
      <c r="B304" s="191">
        <v>987</v>
      </c>
      <c r="C304" s="191">
        <v>22624</v>
      </c>
      <c r="D304" s="191">
        <v>9335</v>
      </c>
      <c r="E304" s="191">
        <v>9618</v>
      </c>
      <c r="F304" s="191">
        <v>3191</v>
      </c>
      <c r="G304" s="191">
        <v>3191</v>
      </c>
      <c r="H304" s="192">
        <f t="shared" si="32"/>
        <v>1</v>
      </c>
      <c r="I304" s="191">
        <v>6427</v>
      </c>
      <c r="J304" s="191">
        <v>5656</v>
      </c>
      <c r="K304" s="192">
        <f t="shared" si="33"/>
        <v>0.88003734246149057</v>
      </c>
      <c r="L304" s="191">
        <v>5654</v>
      </c>
      <c r="M304" s="191">
        <v>9121</v>
      </c>
      <c r="N304" s="192">
        <f t="shared" si="34"/>
        <v>9.6699923254029166E-2</v>
      </c>
      <c r="O304" s="192">
        <f t="shared" si="35"/>
        <v>0.91983780411728011</v>
      </c>
      <c r="P304" s="191">
        <f t="shared" si="36"/>
        <v>15130.71</v>
      </c>
      <c r="Q304"/>
      <c r="R304" s="191">
        <v>0</v>
      </c>
      <c r="S304" s="191">
        <v>882</v>
      </c>
      <c r="T304" s="191">
        <f t="shared" si="37"/>
        <v>173.71428571428623</v>
      </c>
      <c r="U304" s="191">
        <f t="shared" si="39"/>
        <v>1055.7142857142862</v>
      </c>
      <c r="V304" s="192">
        <f t="shared" si="38"/>
        <v>9.9694811800610378E-2</v>
      </c>
    </row>
    <row r="305" spans="1:22" s="191" customFormat="1">
      <c r="A305" s="190">
        <v>42433</v>
      </c>
      <c r="B305" s="191">
        <v>978</v>
      </c>
      <c r="C305" s="191">
        <v>23307</v>
      </c>
      <c r="D305" s="191">
        <v>9580</v>
      </c>
      <c r="E305" s="191">
        <v>9671</v>
      </c>
      <c r="F305" s="191">
        <v>3209</v>
      </c>
      <c r="G305" s="191">
        <v>3209</v>
      </c>
      <c r="H305" s="192">
        <f t="shared" si="32"/>
        <v>1</v>
      </c>
      <c r="I305" s="191">
        <v>6461</v>
      </c>
      <c r="J305" s="191">
        <v>5589</v>
      </c>
      <c r="K305" s="192">
        <f t="shared" si="33"/>
        <v>0.8650363720786256</v>
      </c>
      <c r="L305" s="191">
        <v>5588</v>
      </c>
      <c r="M305" s="191">
        <v>9411</v>
      </c>
      <c r="N305" s="192">
        <f t="shared" si="34"/>
        <v>9.3295080225268306E-2</v>
      </c>
      <c r="O305" s="192">
        <f t="shared" si="35"/>
        <v>0.90973012098025019</v>
      </c>
      <c r="P305" s="191">
        <f t="shared" si="36"/>
        <v>14992.74</v>
      </c>
      <c r="Q305"/>
      <c r="R305" s="191">
        <v>0</v>
      </c>
      <c r="S305" s="191">
        <v>878</v>
      </c>
      <c r="T305" s="191">
        <f t="shared" si="37"/>
        <v>2.4285714285715585</v>
      </c>
      <c r="U305" s="191">
        <f t="shared" si="39"/>
        <v>880.42857142857156</v>
      </c>
      <c r="V305" s="192">
        <f t="shared" si="38"/>
        <v>9.9795408047283471E-2</v>
      </c>
    </row>
    <row r="306" spans="1:22" s="191" customFormat="1">
      <c r="A306" s="190">
        <v>42440</v>
      </c>
      <c r="B306" s="191">
        <v>999</v>
      </c>
      <c r="C306" s="191">
        <v>22853</v>
      </c>
      <c r="D306" s="191">
        <v>10015</v>
      </c>
      <c r="E306" s="191">
        <v>9748</v>
      </c>
      <c r="F306" s="191">
        <v>3171</v>
      </c>
      <c r="G306" s="191">
        <v>3171</v>
      </c>
      <c r="H306" s="192">
        <f t="shared" si="32"/>
        <v>1</v>
      </c>
      <c r="I306" s="191">
        <v>6577</v>
      </c>
      <c r="J306" s="191">
        <v>5738</v>
      </c>
      <c r="K306" s="192">
        <f t="shared" si="33"/>
        <v>0.87243424053519847</v>
      </c>
      <c r="L306" s="191">
        <v>5736</v>
      </c>
      <c r="M306" s="191">
        <v>9458</v>
      </c>
      <c r="N306" s="192">
        <f t="shared" si="34"/>
        <v>9.3888771410446187E-2</v>
      </c>
      <c r="O306" s="192">
        <f t="shared" si="35"/>
        <v>0.91393106278210912</v>
      </c>
      <c r="P306" s="191">
        <f t="shared" si="36"/>
        <v>15314.67</v>
      </c>
      <c r="Q306"/>
      <c r="R306" s="191">
        <v>0</v>
      </c>
      <c r="S306" s="191">
        <v>888</v>
      </c>
      <c r="T306" s="191">
        <f t="shared" si="37"/>
        <v>175.85714285714266</v>
      </c>
      <c r="U306" s="191">
        <f t="shared" si="39"/>
        <v>1063.8571428571427</v>
      </c>
      <c r="V306" s="192">
        <f t="shared" si="38"/>
        <v>9.9674486474351773E-2</v>
      </c>
    </row>
    <row r="307" spans="1:22" s="191" customFormat="1">
      <c r="A307" s="190">
        <v>42447</v>
      </c>
      <c r="B307" s="191">
        <v>995</v>
      </c>
      <c r="C307" s="191">
        <v>22519</v>
      </c>
      <c r="D307" s="191">
        <v>9683</v>
      </c>
      <c r="E307" s="191">
        <v>9677</v>
      </c>
      <c r="F307" s="191">
        <v>3086</v>
      </c>
      <c r="G307" s="191">
        <v>3086</v>
      </c>
      <c r="H307" s="192">
        <f t="shared" si="32"/>
        <v>1</v>
      </c>
      <c r="I307" s="191">
        <v>6591</v>
      </c>
      <c r="J307" s="191">
        <v>5628</v>
      </c>
      <c r="K307" s="192">
        <f t="shared" si="33"/>
        <v>0.85389167045971781</v>
      </c>
      <c r="L307" s="191">
        <v>5626</v>
      </c>
      <c r="M307" s="191">
        <v>9503</v>
      </c>
      <c r="N307" s="192">
        <f t="shared" si="34"/>
        <v>9.1234347048300538E-2</v>
      </c>
      <c r="O307" s="192">
        <f t="shared" si="35"/>
        <v>0.9004856877131342</v>
      </c>
      <c r="P307" s="191">
        <f t="shared" si="36"/>
        <v>15253.35</v>
      </c>
      <c r="Q307"/>
      <c r="R307" s="191">
        <v>0</v>
      </c>
      <c r="S307" s="191">
        <v>867</v>
      </c>
      <c r="T307" s="191">
        <f t="shared" si="37"/>
        <v>175.71428571428623</v>
      </c>
      <c r="U307" s="191">
        <f t="shared" si="39"/>
        <v>1042.7142857142862</v>
      </c>
      <c r="V307" s="192">
        <f t="shared" si="38"/>
        <v>9.9495065411980721E-2</v>
      </c>
    </row>
    <row r="308" spans="1:22" s="191" customFormat="1">
      <c r="A308" s="190">
        <v>42454</v>
      </c>
      <c r="B308" s="191">
        <v>992</v>
      </c>
      <c r="C308" s="191">
        <v>23022</v>
      </c>
      <c r="D308" s="191">
        <v>9430</v>
      </c>
      <c r="E308" s="191">
        <v>9694</v>
      </c>
      <c r="F308" s="191">
        <v>3166</v>
      </c>
      <c r="G308" s="191">
        <v>3166</v>
      </c>
      <c r="H308" s="192">
        <f t="shared" si="32"/>
        <v>1</v>
      </c>
      <c r="I308" s="191">
        <v>6529</v>
      </c>
      <c r="J308" s="191">
        <v>5736</v>
      </c>
      <c r="K308" s="192">
        <f t="shared" si="33"/>
        <v>0.87854189002910088</v>
      </c>
      <c r="L308" s="191">
        <v>5733</v>
      </c>
      <c r="M308" s="191">
        <v>9244</v>
      </c>
      <c r="N308" s="192">
        <f t="shared" si="34"/>
        <v>9.6278667243617486E-2</v>
      </c>
      <c r="O308" s="192">
        <f t="shared" si="35"/>
        <v>0.91829997936868168</v>
      </c>
      <c r="P308" s="191">
        <f t="shared" si="36"/>
        <v>15207.36</v>
      </c>
      <c r="Q308"/>
      <c r="R308" s="191">
        <v>0</v>
      </c>
      <c r="S308" s="191">
        <v>890</v>
      </c>
      <c r="T308" s="191">
        <f t="shared" si="37"/>
        <v>30.142857142857338</v>
      </c>
      <c r="U308" s="191">
        <f t="shared" si="39"/>
        <v>920.14285714285734</v>
      </c>
      <c r="V308" s="192">
        <f t="shared" si="38"/>
        <v>9.9977533138620539E-2</v>
      </c>
    </row>
    <row r="309" spans="1:22" s="191" customFormat="1">
      <c r="A309" s="190">
        <v>42461</v>
      </c>
      <c r="B309" s="191">
        <v>976</v>
      </c>
      <c r="C309" s="191">
        <v>22214</v>
      </c>
      <c r="D309" s="191">
        <v>9617</v>
      </c>
      <c r="E309" s="191">
        <v>9740</v>
      </c>
      <c r="F309" s="191">
        <v>3152</v>
      </c>
      <c r="G309" s="191">
        <v>3152</v>
      </c>
      <c r="H309" s="192">
        <f t="shared" si="32"/>
        <v>1</v>
      </c>
      <c r="I309" s="191">
        <v>6588</v>
      </c>
      <c r="J309" s="191">
        <v>5713</v>
      </c>
      <c r="K309" s="192">
        <f t="shared" si="33"/>
        <v>0.86718275652701882</v>
      </c>
      <c r="L309" s="191">
        <v>5711</v>
      </c>
      <c r="M309" s="191">
        <v>9224</v>
      </c>
      <c r="N309" s="192">
        <f t="shared" si="34"/>
        <v>9.7354726799653082E-2</v>
      </c>
      <c r="O309" s="192">
        <f t="shared" si="35"/>
        <v>0.91016427104722797</v>
      </c>
      <c r="P309" s="191">
        <f t="shared" si="36"/>
        <v>14962.08</v>
      </c>
      <c r="Q309"/>
      <c r="R309" s="191">
        <v>0</v>
      </c>
      <c r="S309" s="191">
        <v>898</v>
      </c>
      <c r="T309" s="191">
        <f t="shared" si="37"/>
        <v>193.42857142857156</v>
      </c>
      <c r="U309" s="191">
        <f t="shared" si="39"/>
        <v>1091.4285714285716</v>
      </c>
      <c r="V309" s="192">
        <f t="shared" si="38"/>
        <v>0.10129723632261703</v>
      </c>
    </row>
    <row r="310" spans="1:22" s="191" customFormat="1">
      <c r="A310" s="190">
        <v>42468</v>
      </c>
      <c r="B310" s="191">
        <v>938</v>
      </c>
      <c r="C310" s="191">
        <v>22317</v>
      </c>
      <c r="D310" s="191">
        <v>9568</v>
      </c>
      <c r="E310" s="191">
        <v>9828</v>
      </c>
      <c r="F310" s="191">
        <v>3228</v>
      </c>
      <c r="G310" s="191">
        <v>3228</v>
      </c>
      <c r="H310" s="192">
        <f t="shared" si="32"/>
        <v>1</v>
      </c>
      <c r="I310" s="191">
        <v>6600</v>
      </c>
      <c r="J310" s="191">
        <v>5839</v>
      </c>
      <c r="K310" s="192">
        <f t="shared" si="33"/>
        <v>0.88469696969696965</v>
      </c>
      <c r="L310" s="191">
        <v>5837</v>
      </c>
      <c r="M310" s="191">
        <v>9633</v>
      </c>
      <c r="N310" s="192">
        <f t="shared" si="34"/>
        <v>9.4155507110972703E-2</v>
      </c>
      <c r="O310" s="192">
        <f t="shared" si="35"/>
        <v>0.92256817256817258</v>
      </c>
      <c r="P310" s="191">
        <f t="shared" si="36"/>
        <v>14379.54</v>
      </c>
      <c r="Q310"/>
      <c r="R310" s="191">
        <v>0</v>
      </c>
      <c r="S310" s="191">
        <v>907</v>
      </c>
      <c r="T310" s="191">
        <f t="shared" si="37"/>
        <v>16.285714285714221</v>
      </c>
      <c r="U310" s="191">
        <f t="shared" si="39"/>
        <v>923.28571428571422</v>
      </c>
      <c r="V310" s="192">
        <f t="shared" si="38"/>
        <v>0.1000330870188596</v>
      </c>
    </row>
    <row r="311" spans="1:22" s="191" customFormat="1">
      <c r="A311" s="190">
        <v>42475</v>
      </c>
      <c r="B311" s="191">
        <v>939</v>
      </c>
      <c r="C311" s="191">
        <v>22046</v>
      </c>
      <c r="D311" s="191">
        <v>9738</v>
      </c>
      <c r="E311" s="191">
        <v>9656</v>
      </c>
      <c r="F311" s="191">
        <v>3177</v>
      </c>
      <c r="G311" s="191">
        <v>3177</v>
      </c>
      <c r="H311" s="192">
        <f t="shared" si="32"/>
        <v>1</v>
      </c>
      <c r="I311" s="191">
        <v>6478</v>
      </c>
      <c r="J311" s="191">
        <v>5764</v>
      </c>
      <c r="K311" s="192">
        <f t="shared" si="33"/>
        <v>0.88978079654214259</v>
      </c>
      <c r="L311" s="191">
        <v>5760</v>
      </c>
      <c r="M311" s="191">
        <v>9444</v>
      </c>
      <c r="N311" s="192">
        <f t="shared" si="34"/>
        <v>9.4557390936044053E-2</v>
      </c>
      <c r="O311" s="192">
        <f t="shared" si="35"/>
        <v>0.92595277547638777</v>
      </c>
      <c r="P311" s="191">
        <f t="shared" si="36"/>
        <v>14394.87</v>
      </c>
      <c r="Q311"/>
      <c r="R311" s="191">
        <v>0</v>
      </c>
      <c r="S311" s="191">
        <v>893</v>
      </c>
      <c r="T311" s="191">
        <f t="shared" si="37"/>
        <v>84.714285714285325</v>
      </c>
      <c r="U311" s="191">
        <f t="shared" si="39"/>
        <v>977.71428571428532</v>
      </c>
      <c r="V311" s="192">
        <f t="shared" si="38"/>
        <v>9.9876971256011637E-2</v>
      </c>
    </row>
    <row r="312" spans="1:22" s="191" customFormat="1">
      <c r="A312" s="190">
        <v>42482</v>
      </c>
      <c r="B312" s="191">
        <v>927</v>
      </c>
      <c r="C312" s="191">
        <v>21629</v>
      </c>
      <c r="D312" s="191">
        <v>9507</v>
      </c>
      <c r="E312" s="191">
        <v>9784</v>
      </c>
      <c r="F312" s="191">
        <v>3321</v>
      </c>
      <c r="G312" s="191">
        <v>3321</v>
      </c>
      <c r="H312" s="192">
        <f t="shared" si="32"/>
        <v>1</v>
      </c>
      <c r="I312" s="191">
        <v>6463</v>
      </c>
      <c r="J312" s="191">
        <v>5875</v>
      </c>
      <c r="K312" s="192">
        <f t="shared" si="33"/>
        <v>0.90902057867863217</v>
      </c>
      <c r="L312" s="191">
        <v>5873</v>
      </c>
      <c r="M312" s="191">
        <v>9315</v>
      </c>
      <c r="N312" s="192">
        <f t="shared" si="34"/>
        <v>9.8550724637681164E-2</v>
      </c>
      <c r="O312" s="192">
        <f t="shared" si="35"/>
        <v>0.93990188062142277</v>
      </c>
      <c r="P312" s="191">
        <f t="shared" si="36"/>
        <v>14210.91</v>
      </c>
      <c r="Q312"/>
      <c r="R312" s="191">
        <v>0</v>
      </c>
      <c r="S312" s="191">
        <v>918</v>
      </c>
      <c r="T312" s="191">
        <f t="shared" si="37"/>
        <v>68.571428571428896</v>
      </c>
      <c r="U312" s="191">
        <f t="shared" si="39"/>
        <v>986.5714285714289</v>
      </c>
      <c r="V312" s="192">
        <f t="shared" si="38"/>
        <v>9.9826011309264898E-2</v>
      </c>
    </row>
    <row r="313" spans="1:22" s="191" customFormat="1">
      <c r="A313" s="190">
        <v>42489</v>
      </c>
      <c r="B313" s="191">
        <v>923</v>
      </c>
      <c r="C313" s="191">
        <v>22201</v>
      </c>
      <c r="D313" s="191">
        <v>9811</v>
      </c>
      <c r="E313" s="191">
        <v>9927</v>
      </c>
      <c r="F313" s="191">
        <v>3307</v>
      </c>
      <c r="G313" s="191">
        <v>3307</v>
      </c>
      <c r="H313" s="192">
        <f t="shared" si="32"/>
        <v>1</v>
      </c>
      <c r="I313" s="191">
        <v>6619</v>
      </c>
      <c r="J313" s="191">
        <v>5804</v>
      </c>
      <c r="K313" s="192">
        <f t="shared" si="33"/>
        <v>0.87686961776703432</v>
      </c>
      <c r="L313" s="191">
        <v>5801</v>
      </c>
      <c r="M313" s="191">
        <v>9502</v>
      </c>
      <c r="N313" s="192">
        <f t="shared" si="34"/>
        <v>9.5769311723847617E-2</v>
      </c>
      <c r="O313" s="192">
        <f t="shared" si="35"/>
        <v>0.91779993955877903</v>
      </c>
      <c r="P313" s="191">
        <f t="shared" si="36"/>
        <v>14149.59</v>
      </c>
      <c r="Q313"/>
      <c r="R313" s="191">
        <v>0</v>
      </c>
      <c r="S313" s="191">
        <v>910</v>
      </c>
      <c r="T313" s="191">
        <f t="shared" si="37"/>
        <v>-68.714285714285779</v>
      </c>
      <c r="U313" s="191">
        <f t="shared" si="39"/>
        <v>841.28571428571422</v>
      </c>
      <c r="V313" s="192">
        <f t="shared" si="38"/>
        <v>9.9879266820327078E-2</v>
      </c>
    </row>
    <row r="314" spans="1:22" s="191" customFormat="1">
      <c r="A314" s="190">
        <v>42496</v>
      </c>
      <c r="B314" s="191">
        <v>962</v>
      </c>
      <c r="C314" s="191">
        <v>21252</v>
      </c>
      <c r="D314" s="191">
        <v>10051</v>
      </c>
      <c r="E314" s="191">
        <v>9759</v>
      </c>
      <c r="F314" s="191">
        <v>3187</v>
      </c>
      <c r="G314" s="191">
        <v>3187</v>
      </c>
      <c r="H314" s="192">
        <f t="shared" si="32"/>
        <v>1</v>
      </c>
      <c r="I314" s="191">
        <v>6572</v>
      </c>
      <c r="J314" s="191">
        <v>5753</v>
      </c>
      <c r="K314" s="192">
        <f t="shared" si="33"/>
        <v>0.87538040170419962</v>
      </c>
      <c r="L314" s="191">
        <v>5752</v>
      </c>
      <c r="M314" s="191">
        <v>9658</v>
      </c>
      <c r="N314" s="192">
        <f t="shared" si="34"/>
        <v>9.2151584178919027E-2</v>
      </c>
      <c r="O314" s="192">
        <f t="shared" si="35"/>
        <v>0.91607746695358128</v>
      </c>
      <c r="P314" s="191">
        <f t="shared" si="36"/>
        <v>14747.46</v>
      </c>
      <c r="Q314"/>
      <c r="R314" s="191">
        <v>0</v>
      </c>
      <c r="S314" s="191">
        <v>890</v>
      </c>
      <c r="T314" s="191">
        <f t="shared" si="37"/>
        <v>207.57142857142844</v>
      </c>
      <c r="U314" s="191">
        <f t="shared" si="39"/>
        <v>1097.5714285714284</v>
      </c>
      <c r="V314" s="192">
        <f t="shared" si="38"/>
        <v>9.9552572706935127E-2</v>
      </c>
    </row>
    <row r="315" spans="1:22" s="191" customFormat="1">
      <c r="A315" s="190">
        <v>42503</v>
      </c>
      <c r="B315" s="191">
        <v>948</v>
      </c>
      <c r="C315" s="191">
        <v>21103</v>
      </c>
      <c r="D315" s="191">
        <v>9997</v>
      </c>
      <c r="E315" s="191">
        <v>10027</v>
      </c>
      <c r="F315" s="191">
        <v>3262</v>
      </c>
      <c r="G315" s="191">
        <v>3262</v>
      </c>
      <c r="H315" s="192">
        <f t="shared" si="32"/>
        <v>1</v>
      </c>
      <c r="I315" s="191">
        <v>6765</v>
      </c>
      <c r="J315" s="191">
        <v>5904</v>
      </c>
      <c r="K315" s="192">
        <f t="shared" si="33"/>
        <v>0.87272727272727268</v>
      </c>
      <c r="L315" s="191">
        <v>5902</v>
      </c>
      <c r="M315" s="191">
        <v>9755</v>
      </c>
      <c r="N315" s="192">
        <f t="shared" si="34"/>
        <v>9.4105586878523828E-2</v>
      </c>
      <c r="O315" s="192">
        <f t="shared" si="35"/>
        <v>0.91413184402114289</v>
      </c>
      <c r="P315" s="191">
        <f t="shared" si="36"/>
        <v>14532.84</v>
      </c>
      <c r="Q315"/>
      <c r="R315" s="191">
        <v>0</v>
      </c>
      <c r="S315" s="191">
        <v>918</v>
      </c>
      <c r="T315" s="191">
        <f t="shared" si="37"/>
        <v>51.285714285714221</v>
      </c>
      <c r="U315" s="191">
        <f t="shared" si="39"/>
        <v>969.28571428571422</v>
      </c>
      <c r="V315" s="192">
        <f t="shared" si="38"/>
        <v>0.10015273838097316</v>
      </c>
    </row>
    <row r="316" spans="1:22" s="191" customFormat="1">
      <c r="A316" s="190">
        <v>42510</v>
      </c>
      <c r="B316" s="191">
        <v>946</v>
      </c>
      <c r="C316" s="191">
        <v>20813</v>
      </c>
      <c r="D316" s="191">
        <v>9866</v>
      </c>
      <c r="E316" s="191">
        <v>9905</v>
      </c>
      <c r="F316" s="191">
        <v>3296</v>
      </c>
      <c r="G316" s="191">
        <v>3296</v>
      </c>
      <c r="H316" s="192">
        <f t="shared" si="32"/>
        <v>1</v>
      </c>
      <c r="I316" s="191">
        <v>6610</v>
      </c>
      <c r="J316" s="191">
        <v>5828</v>
      </c>
      <c r="K316" s="192">
        <f t="shared" si="33"/>
        <v>0.88169440242057484</v>
      </c>
      <c r="L316" s="191">
        <v>5824</v>
      </c>
      <c r="M316" s="191">
        <v>9516</v>
      </c>
      <c r="N316" s="192">
        <f t="shared" si="34"/>
        <v>9.6258932324506094E-2</v>
      </c>
      <c r="O316" s="192">
        <f t="shared" si="35"/>
        <v>0.92115093387178193</v>
      </c>
      <c r="P316" s="191">
        <f t="shared" si="36"/>
        <v>14502.18</v>
      </c>
      <c r="Q316"/>
      <c r="R316" s="191">
        <v>0</v>
      </c>
      <c r="S316" s="191">
        <v>916</v>
      </c>
      <c r="T316" s="191">
        <f t="shared" si="37"/>
        <v>71.428571428571558</v>
      </c>
      <c r="U316" s="191">
        <f t="shared" si="39"/>
        <v>987.42857142857156</v>
      </c>
      <c r="V316" s="192">
        <f t="shared" si="38"/>
        <v>0.10039456378781236</v>
      </c>
    </row>
    <row r="317" spans="1:22" s="191" customFormat="1">
      <c r="A317" s="190">
        <v>42517</v>
      </c>
      <c r="B317" s="191">
        <v>960</v>
      </c>
      <c r="C317" s="191">
        <v>20769</v>
      </c>
      <c r="D317" s="191">
        <v>9916</v>
      </c>
      <c r="E317" s="191">
        <v>9992</v>
      </c>
      <c r="F317" s="191">
        <v>3289</v>
      </c>
      <c r="G317" s="191">
        <v>3289</v>
      </c>
      <c r="H317" s="192">
        <f t="shared" si="32"/>
        <v>1</v>
      </c>
      <c r="I317" s="191">
        <v>6703</v>
      </c>
      <c r="J317" s="191">
        <v>5917</v>
      </c>
      <c r="K317" s="192">
        <f t="shared" si="33"/>
        <v>0.88273907205728774</v>
      </c>
      <c r="L317" s="191">
        <v>5913</v>
      </c>
      <c r="M317" s="191">
        <v>9716</v>
      </c>
      <c r="N317" s="192">
        <f t="shared" si="34"/>
        <v>9.4895018526142447E-2</v>
      </c>
      <c r="O317" s="192">
        <f t="shared" si="35"/>
        <v>0.92133706965572459</v>
      </c>
      <c r="P317" s="191">
        <f t="shared" si="36"/>
        <v>14716.8</v>
      </c>
      <c r="Q317"/>
      <c r="R317" s="191">
        <v>0</v>
      </c>
      <c r="S317" s="191">
        <v>922</v>
      </c>
      <c r="T317" s="191">
        <f t="shared" si="37"/>
        <v>44.285714285714221</v>
      </c>
      <c r="U317" s="191">
        <f t="shared" si="39"/>
        <v>966.28571428571422</v>
      </c>
      <c r="V317" s="192">
        <f t="shared" si="38"/>
        <v>0.10015207473386921</v>
      </c>
    </row>
    <row r="318" spans="1:22" s="191" customFormat="1">
      <c r="A318" s="190">
        <v>42524</v>
      </c>
      <c r="B318" s="191">
        <v>1006</v>
      </c>
      <c r="C318" s="191">
        <v>20225</v>
      </c>
      <c r="D318" s="191">
        <v>10122</v>
      </c>
      <c r="E318" s="191">
        <v>9816</v>
      </c>
      <c r="F318" s="191">
        <v>3194</v>
      </c>
      <c r="G318" s="191">
        <v>3194</v>
      </c>
      <c r="H318" s="192">
        <f t="shared" si="32"/>
        <v>1</v>
      </c>
      <c r="I318" s="191">
        <v>6622</v>
      </c>
      <c r="J318" s="191">
        <v>5807</v>
      </c>
      <c r="K318" s="192">
        <f t="shared" si="33"/>
        <v>0.87692540018121412</v>
      </c>
      <c r="L318" s="191">
        <v>5804</v>
      </c>
      <c r="M318" s="191">
        <v>9568</v>
      </c>
      <c r="N318" s="192">
        <f t="shared" si="34"/>
        <v>9.4481605351170575E-2</v>
      </c>
      <c r="O318" s="192">
        <f t="shared" si="35"/>
        <v>0.91697229013854931</v>
      </c>
      <c r="P318" s="191">
        <f t="shared" si="36"/>
        <v>15421.98</v>
      </c>
      <c r="Q318"/>
      <c r="R318" s="191">
        <v>0</v>
      </c>
      <c r="S318" s="191">
        <v>904</v>
      </c>
      <c r="T318" s="191">
        <f t="shared" si="37"/>
        <v>179.71428571428578</v>
      </c>
      <c r="U318" s="191">
        <f t="shared" si="39"/>
        <v>1083.7142857142858</v>
      </c>
      <c r="V318" s="192">
        <f t="shared" si="38"/>
        <v>0.10043328519053439</v>
      </c>
    </row>
    <row r="319" spans="1:22" s="191" customFormat="1">
      <c r="A319" s="190">
        <v>42531</v>
      </c>
      <c r="B319" s="191">
        <v>1013</v>
      </c>
      <c r="C319" s="191">
        <v>21182</v>
      </c>
      <c r="D319" s="191">
        <v>9707</v>
      </c>
      <c r="E319" s="191">
        <v>10003</v>
      </c>
      <c r="F319" s="191">
        <v>3260</v>
      </c>
      <c r="G319" s="191">
        <v>3260</v>
      </c>
      <c r="H319" s="192">
        <f t="shared" si="32"/>
        <v>1</v>
      </c>
      <c r="I319" s="191">
        <v>6743</v>
      </c>
      <c r="J319" s="191">
        <v>5891</v>
      </c>
      <c r="K319" s="192">
        <f t="shared" si="33"/>
        <v>0.87364674477235649</v>
      </c>
      <c r="L319" s="191">
        <v>5888</v>
      </c>
      <c r="M319" s="191">
        <v>9762</v>
      </c>
      <c r="N319" s="192">
        <f t="shared" si="34"/>
        <v>9.444785904527761E-2</v>
      </c>
      <c r="O319" s="192">
        <f t="shared" si="35"/>
        <v>0.91482555233429974</v>
      </c>
      <c r="P319" s="191">
        <f t="shared" si="36"/>
        <v>15529.29</v>
      </c>
      <c r="Q319"/>
      <c r="R319" s="191">
        <v>0</v>
      </c>
      <c r="S319" s="191">
        <v>922</v>
      </c>
      <c r="T319" s="191">
        <f t="shared" si="37"/>
        <v>-45.714285714285779</v>
      </c>
      <c r="U319" s="191">
        <f t="shared" si="39"/>
        <v>876.28571428571422</v>
      </c>
      <c r="V319" s="192">
        <f t="shared" si="38"/>
        <v>0.10075401595454049</v>
      </c>
    </row>
    <row r="320" spans="1:22" s="191" customFormat="1">
      <c r="A320" s="190">
        <v>42538</v>
      </c>
      <c r="B320" s="191">
        <v>962</v>
      </c>
      <c r="C320" s="191">
        <v>21110</v>
      </c>
      <c r="D320" s="191">
        <v>10289</v>
      </c>
      <c r="E320" s="191">
        <v>10033</v>
      </c>
      <c r="F320" s="191">
        <v>3289</v>
      </c>
      <c r="G320" s="191">
        <v>3289</v>
      </c>
      <c r="H320" s="192">
        <f t="shared" si="32"/>
        <v>1</v>
      </c>
      <c r="I320" s="191">
        <v>6744</v>
      </c>
      <c r="J320" s="191">
        <v>5928</v>
      </c>
      <c r="K320" s="192">
        <f t="shared" si="33"/>
        <v>0.87900355871886116</v>
      </c>
      <c r="L320" s="191">
        <v>5924</v>
      </c>
      <c r="M320" s="191">
        <v>9815</v>
      </c>
      <c r="N320" s="192">
        <f t="shared" si="34"/>
        <v>9.4549159449821701E-2</v>
      </c>
      <c r="O320" s="192">
        <f t="shared" si="35"/>
        <v>0.91866839429881386</v>
      </c>
      <c r="P320" s="191">
        <f t="shared" si="36"/>
        <v>14747.46</v>
      </c>
      <c r="Q320"/>
      <c r="R320" s="191">
        <v>0</v>
      </c>
      <c r="S320" s="191">
        <v>928</v>
      </c>
      <c r="T320" s="191">
        <f t="shared" si="37"/>
        <v>44.285714285714221</v>
      </c>
      <c r="U320" s="191">
        <f t="shared" si="39"/>
        <v>972.28571428571422</v>
      </c>
      <c r="V320" s="192">
        <f t="shared" si="38"/>
        <v>0.10068351958337854</v>
      </c>
    </row>
    <row r="321" spans="1:22" s="191" customFormat="1">
      <c r="A321" s="190">
        <v>42545</v>
      </c>
      <c r="B321" s="191">
        <v>1003</v>
      </c>
      <c r="C321" s="191">
        <v>21167</v>
      </c>
      <c r="D321" s="191">
        <v>9959</v>
      </c>
      <c r="E321" s="191">
        <v>10274</v>
      </c>
      <c r="F321" s="191">
        <v>3352</v>
      </c>
      <c r="G321" s="191">
        <v>3352</v>
      </c>
      <c r="H321" s="192">
        <f t="shared" si="32"/>
        <v>1</v>
      </c>
      <c r="I321" s="191">
        <v>6922</v>
      </c>
      <c r="J321" s="191">
        <v>6111</v>
      </c>
      <c r="K321" s="192">
        <f t="shared" si="33"/>
        <v>0.88283733025137245</v>
      </c>
      <c r="L321" s="191">
        <v>6089</v>
      </c>
      <c r="M321" s="191">
        <v>9709</v>
      </c>
      <c r="N321" s="192">
        <f t="shared" si="34"/>
        <v>9.7950355340405804E-2</v>
      </c>
      <c r="O321" s="192">
        <f t="shared" si="35"/>
        <v>0.92106287716566093</v>
      </c>
      <c r="P321" s="191">
        <f t="shared" si="36"/>
        <v>15375.99</v>
      </c>
      <c r="Q321"/>
      <c r="R321" s="191">
        <v>26</v>
      </c>
      <c r="S321" s="191">
        <v>951</v>
      </c>
      <c r="T321" s="191">
        <f t="shared" si="37"/>
        <v>69.857142857143117</v>
      </c>
      <c r="U321" s="191">
        <f t="shared" si="39"/>
        <v>1020.8571428571431</v>
      </c>
      <c r="V321" s="192">
        <f t="shared" si="38"/>
        <v>0.1004966712459051</v>
      </c>
    </row>
    <row r="322" spans="1:22" s="191" customFormat="1">
      <c r="A322" s="190">
        <v>42552</v>
      </c>
      <c r="B322" s="191">
        <v>984</v>
      </c>
      <c r="C322" s="191">
        <v>21557</v>
      </c>
      <c r="D322" s="191">
        <v>10018</v>
      </c>
      <c r="E322" s="191">
        <v>10450</v>
      </c>
      <c r="F322" s="191">
        <v>3374</v>
      </c>
      <c r="G322" s="191">
        <v>3374</v>
      </c>
      <c r="H322" s="192">
        <f t="shared" si="32"/>
        <v>1</v>
      </c>
      <c r="I322" s="191">
        <v>7076</v>
      </c>
      <c r="J322" s="191">
        <v>6125</v>
      </c>
      <c r="K322" s="192">
        <f t="shared" si="33"/>
        <v>0.86560203504804978</v>
      </c>
      <c r="L322" s="191">
        <v>6121</v>
      </c>
      <c r="M322" s="191">
        <v>9755</v>
      </c>
      <c r="N322" s="192">
        <f t="shared" si="34"/>
        <v>9.8103536647872885E-2</v>
      </c>
      <c r="O322" s="192">
        <f t="shared" si="35"/>
        <v>0.9089952153110048</v>
      </c>
      <c r="P322" s="191">
        <f t="shared" si="36"/>
        <v>15084.72</v>
      </c>
      <c r="Q322"/>
      <c r="R322" s="191">
        <v>10</v>
      </c>
      <c r="S322" s="191">
        <v>957</v>
      </c>
      <c r="T322" s="191">
        <f t="shared" si="37"/>
        <v>-18.714285714285779</v>
      </c>
      <c r="U322" s="191">
        <f t="shared" si="39"/>
        <v>938.28571428571422</v>
      </c>
      <c r="V322" s="192">
        <f t="shared" si="38"/>
        <v>0.1007474470996947</v>
      </c>
    </row>
    <row r="323" spans="1:22" s="191" customFormat="1">
      <c r="A323" s="190">
        <v>42559</v>
      </c>
      <c r="B323" s="191">
        <v>1004</v>
      </c>
      <c r="C323" s="191">
        <v>21131</v>
      </c>
      <c r="D323" s="191">
        <v>10218</v>
      </c>
      <c r="E323" s="191">
        <v>10180</v>
      </c>
      <c r="F323" s="191">
        <v>3222</v>
      </c>
      <c r="G323" s="191">
        <v>3222</v>
      </c>
      <c r="H323" s="192">
        <f t="shared" si="32"/>
        <v>1</v>
      </c>
      <c r="I323" s="191">
        <v>6958</v>
      </c>
      <c r="J323" s="191">
        <v>5909</v>
      </c>
      <c r="K323" s="192">
        <f t="shared" si="33"/>
        <v>0.84923828686404135</v>
      </c>
      <c r="L323" s="191">
        <v>5906</v>
      </c>
      <c r="M323" s="191">
        <v>9671</v>
      </c>
      <c r="N323" s="192">
        <f t="shared" si="34"/>
        <v>9.5026367490435318E-2</v>
      </c>
      <c r="O323" s="192">
        <f t="shared" si="35"/>
        <v>0.89695481335952854</v>
      </c>
      <c r="P323" s="191">
        <f t="shared" si="36"/>
        <v>15391.32</v>
      </c>
      <c r="Q323"/>
      <c r="R323" s="191">
        <v>0</v>
      </c>
      <c r="S323" s="191">
        <v>919</v>
      </c>
      <c r="T323" s="191">
        <f t="shared" si="37"/>
        <v>145.85714285714266</v>
      </c>
      <c r="U323" s="191">
        <f t="shared" si="39"/>
        <v>1064.8571428571427</v>
      </c>
      <c r="V323" s="192">
        <f t="shared" si="38"/>
        <v>0.10064615047639908</v>
      </c>
    </row>
    <row r="324" spans="1:22" s="191" customFormat="1">
      <c r="A324" s="190">
        <v>42566</v>
      </c>
      <c r="B324" s="191">
        <v>1029</v>
      </c>
      <c r="C324" s="191">
        <v>21157</v>
      </c>
      <c r="D324" s="191">
        <v>10050</v>
      </c>
      <c r="E324" s="191">
        <v>10126</v>
      </c>
      <c r="F324" s="191">
        <v>3301</v>
      </c>
      <c r="G324" s="191">
        <v>3301</v>
      </c>
      <c r="H324" s="192">
        <f t="shared" si="32"/>
        <v>1</v>
      </c>
      <c r="I324" s="191">
        <v>6826</v>
      </c>
      <c r="J324" s="191">
        <v>5973</v>
      </c>
      <c r="K324" s="192">
        <f t="shared" si="33"/>
        <v>0.87503662467037802</v>
      </c>
      <c r="L324" s="191">
        <v>5969</v>
      </c>
      <c r="M324" s="191">
        <v>9785</v>
      </c>
      <c r="N324" s="192">
        <f t="shared" si="34"/>
        <v>9.5452222789984664E-2</v>
      </c>
      <c r="O324" s="192">
        <f t="shared" si="35"/>
        <v>0.91586016195931264</v>
      </c>
      <c r="P324" s="191">
        <f t="shared" si="36"/>
        <v>15774.57</v>
      </c>
      <c r="Q324"/>
      <c r="R324" s="191">
        <v>0</v>
      </c>
      <c r="S324" s="191">
        <v>934</v>
      </c>
      <c r="T324" s="191">
        <f t="shared" si="37"/>
        <v>91.285714285714221</v>
      </c>
      <c r="U324" s="191">
        <f t="shared" si="39"/>
        <v>1025.2857142857142</v>
      </c>
      <c r="V324" s="192">
        <f t="shared" si="38"/>
        <v>0.10071166702609445</v>
      </c>
    </row>
    <row r="325" spans="1:22" s="191" customFormat="1">
      <c r="A325" s="190">
        <v>42573</v>
      </c>
      <c r="B325" s="191">
        <v>998</v>
      </c>
      <c r="C325" s="191">
        <v>20390</v>
      </c>
      <c r="D325" s="191">
        <v>10068</v>
      </c>
      <c r="E325" s="191">
        <v>10110</v>
      </c>
      <c r="F325" s="191">
        <v>3302</v>
      </c>
      <c r="G325" s="191">
        <v>3302</v>
      </c>
      <c r="H325" s="192">
        <f t="shared" si="32"/>
        <v>1</v>
      </c>
      <c r="I325" s="191">
        <v>6808</v>
      </c>
      <c r="J325" s="191">
        <v>5977</v>
      </c>
      <c r="K325" s="192">
        <f t="shared" si="33"/>
        <v>0.87793772032902473</v>
      </c>
      <c r="L325" s="191">
        <v>5973</v>
      </c>
      <c r="M325" s="191">
        <v>9797</v>
      </c>
      <c r="N325" s="192">
        <f t="shared" si="34"/>
        <v>9.5539450852301727E-2</v>
      </c>
      <c r="O325" s="192">
        <f t="shared" si="35"/>
        <v>0.91780415430267059</v>
      </c>
      <c r="P325" s="191">
        <f t="shared" si="36"/>
        <v>15299.34</v>
      </c>
      <c r="Q325"/>
      <c r="R325" s="191">
        <v>0</v>
      </c>
      <c r="S325" s="191">
        <v>936</v>
      </c>
      <c r="T325" s="191">
        <f t="shared" si="37"/>
        <v>171.5714285714289</v>
      </c>
      <c r="U325" s="191">
        <f t="shared" si="39"/>
        <v>1107.5714285714289</v>
      </c>
      <c r="V325" s="192">
        <f t="shared" si="38"/>
        <v>0.1008729388942774</v>
      </c>
    </row>
    <row r="326" spans="1:22" s="191" customFormat="1">
      <c r="A326" s="190">
        <v>42580</v>
      </c>
      <c r="B326" s="191">
        <v>1004</v>
      </c>
      <c r="C326" s="191">
        <v>20603</v>
      </c>
      <c r="D326" s="191">
        <v>9992</v>
      </c>
      <c r="E326" s="191">
        <v>10276</v>
      </c>
      <c r="F326" s="191">
        <v>3356</v>
      </c>
      <c r="G326" s="191">
        <v>3356</v>
      </c>
      <c r="H326" s="192">
        <f t="shared" ref="H326:H389" si="40">G326/F326</f>
        <v>1</v>
      </c>
      <c r="I326" s="191">
        <v>6919</v>
      </c>
      <c r="J326" s="191">
        <v>6083</v>
      </c>
      <c r="K326" s="192">
        <f t="shared" ref="K326:K389" si="41">J326/I326</f>
        <v>0.87917329093799679</v>
      </c>
      <c r="L326" s="191">
        <v>6079</v>
      </c>
      <c r="M326" s="191">
        <v>9752</v>
      </c>
      <c r="N326" s="192">
        <f t="shared" ref="N326:N389" si="42">S326/M326</f>
        <v>9.7518457752255941E-2</v>
      </c>
      <c r="O326" s="192">
        <f t="shared" ref="O326:O389" si="43">(J326+G326)/E326</f>
        <v>0.9185480731802258</v>
      </c>
      <c r="P326" s="191">
        <f t="shared" ref="P326:P389" si="44">B326*42*365/1000</f>
        <v>15391.32</v>
      </c>
      <c r="Q326"/>
      <c r="R326" s="191">
        <v>36</v>
      </c>
      <c r="S326" s="191">
        <v>951</v>
      </c>
      <c r="T326" s="191">
        <f t="shared" ref="T326:T389" si="45">U326-S326</f>
        <v>58.571428571428442</v>
      </c>
      <c r="U326" s="191">
        <f t="shared" si="39"/>
        <v>1009.5714285714284</v>
      </c>
      <c r="V326" s="192">
        <f t="shared" ref="V326:V389" si="46">S326/(G326+J326)</f>
        <v>0.10075219832609386</v>
      </c>
    </row>
    <row r="327" spans="1:22" s="191" customFormat="1">
      <c r="A327" s="190">
        <v>42587</v>
      </c>
      <c r="B327" s="191">
        <v>1018</v>
      </c>
      <c r="C327" s="191">
        <v>20460</v>
      </c>
      <c r="D327" s="191">
        <v>10098</v>
      </c>
      <c r="E327" s="191">
        <v>10260</v>
      </c>
      <c r="F327" s="191">
        <v>3343</v>
      </c>
      <c r="G327" s="191">
        <v>3343</v>
      </c>
      <c r="H327" s="192">
        <f t="shared" si="40"/>
        <v>1</v>
      </c>
      <c r="I327" s="191">
        <v>6917</v>
      </c>
      <c r="J327" s="191">
        <v>6089</v>
      </c>
      <c r="K327" s="192">
        <f t="shared" si="41"/>
        <v>0.88029492554575683</v>
      </c>
      <c r="L327" s="191">
        <v>6086</v>
      </c>
      <c r="M327" s="191">
        <v>9769</v>
      </c>
      <c r="N327" s="192">
        <f t="shared" si="42"/>
        <v>9.7246391647046779E-2</v>
      </c>
      <c r="O327" s="192">
        <f t="shared" si="43"/>
        <v>0.91929824561403506</v>
      </c>
      <c r="P327" s="191">
        <f t="shared" si="44"/>
        <v>15605.94</v>
      </c>
      <c r="Q327"/>
      <c r="R327" s="191">
        <v>0</v>
      </c>
      <c r="S327" s="191">
        <v>950</v>
      </c>
      <c r="T327" s="191">
        <f t="shared" si="45"/>
        <v>88.428571428571558</v>
      </c>
      <c r="U327" s="191">
        <f t="shared" ref="U327:U390" si="47">C326/7+B327+R327-C327/7</f>
        <v>1038.4285714285716</v>
      </c>
      <c r="V327" s="192">
        <f t="shared" si="46"/>
        <v>0.10072094995759118</v>
      </c>
    </row>
    <row r="328" spans="1:22" s="191" customFormat="1">
      <c r="A328" s="190">
        <v>42594</v>
      </c>
      <c r="B328" s="191">
        <v>1029</v>
      </c>
      <c r="C328" s="191">
        <v>20425</v>
      </c>
      <c r="D328" s="191">
        <v>10280</v>
      </c>
      <c r="E328" s="191">
        <v>10393</v>
      </c>
      <c r="F328" s="191">
        <v>3329</v>
      </c>
      <c r="G328" s="191">
        <v>3329</v>
      </c>
      <c r="H328" s="192">
        <f t="shared" si="40"/>
        <v>1</v>
      </c>
      <c r="I328" s="191">
        <v>7064</v>
      </c>
      <c r="J328" s="191">
        <v>6027</v>
      </c>
      <c r="K328" s="192">
        <f t="shared" si="41"/>
        <v>0.85319932049830127</v>
      </c>
      <c r="L328" s="191">
        <v>6023</v>
      </c>
      <c r="M328" s="191">
        <v>9762</v>
      </c>
      <c r="N328" s="192">
        <f t="shared" si="42"/>
        <v>9.6599057570170052E-2</v>
      </c>
      <c r="O328" s="192">
        <f t="shared" si="43"/>
        <v>0.90022130279996149</v>
      </c>
      <c r="P328" s="191">
        <f t="shared" si="44"/>
        <v>15774.57</v>
      </c>
      <c r="Q328"/>
      <c r="R328" s="191">
        <v>0</v>
      </c>
      <c r="S328" s="191">
        <v>943</v>
      </c>
      <c r="T328" s="191">
        <f t="shared" si="45"/>
        <v>91</v>
      </c>
      <c r="U328" s="191">
        <f t="shared" si="47"/>
        <v>1034</v>
      </c>
      <c r="V328" s="192">
        <f t="shared" si="46"/>
        <v>0.10079093629756306</v>
      </c>
    </row>
    <row r="329" spans="1:22" s="191" customFormat="1">
      <c r="A329" s="190">
        <v>42601</v>
      </c>
      <c r="B329" s="191">
        <v>1028</v>
      </c>
      <c r="C329" s="191">
        <v>20817</v>
      </c>
      <c r="D329" s="191">
        <v>10035</v>
      </c>
      <c r="E329" s="191">
        <v>10027</v>
      </c>
      <c r="F329" s="191">
        <v>3317</v>
      </c>
      <c r="G329" s="191">
        <v>3317</v>
      </c>
      <c r="H329" s="192">
        <f t="shared" si="40"/>
        <v>1</v>
      </c>
      <c r="I329" s="191">
        <v>6710</v>
      </c>
      <c r="J329" s="191">
        <v>5922</v>
      </c>
      <c r="K329" s="192">
        <f t="shared" si="41"/>
        <v>0.88256333830104317</v>
      </c>
      <c r="L329" s="191">
        <v>5918</v>
      </c>
      <c r="M329" s="191">
        <v>9659</v>
      </c>
      <c r="N329" s="192">
        <f t="shared" si="42"/>
        <v>9.6386789522724919E-2</v>
      </c>
      <c r="O329" s="192">
        <f t="shared" si="43"/>
        <v>0.92141218709484396</v>
      </c>
      <c r="P329" s="191">
        <f t="shared" si="44"/>
        <v>15759.24</v>
      </c>
      <c r="Q329"/>
      <c r="R329" s="191">
        <v>37</v>
      </c>
      <c r="S329" s="191">
        <v>931</v>
      </c>
      <c r="T329" s="191">
        <f t="shared" si="45"/>
        <v>78</v>
      </c>
      <c r="U329" s="191">
        <f t="shared" si="47"/>
        <v>1009</v>
      </c>
      <c r="V329" s="192">
        <f t="shared" si="46"/>
        <v>0.100768481437385</v>
      </c>
    </row>
    <row r="330" spans="1:22" s="191" customFormat="1">
      <c r="A330" s="190">
        <v>42608</v>
      </c>
      <c r="B330" s="191">
        <v>1023</v>
      </c>
      <c r="C330" s="191">
        <v>20926</v>
      </c>
      <c r="D330" s="191">
        <v>10021</v>
      </c>
      <c r="E330" s="191">
        <v>10184</v>
      </c>
      <c r="F330" s="191">
        <v>3298</v>
      </c>
      <c r="G330" s="191">
        <v>3298</v>
      </c>
      <c r="H330" s="192">
        <f t="shared" si="40"/>
        <v>1</v>
      </c>
      <c r="I330" s="191">
        <v>6886</v>
      </c>
      <c r="J330" s="191">
        <v>5920</v>
      </c>
      <c r="K330" s="192">
        <f t="shared" si="41"/>
        <v>0.85971536450769681</v>
      </c>
      <c r="L330" s="191">
        <v>5916</v>
      </c>
      <c r="M330" s="191">
        <v>9511</v>
      </c>
      <c r="N330" s="192">
        <f t="shared" si="42"/>
        <v>9.7676374724003784E-2</v>
      </c>
      <c r="O330" s="192">
        <f t="shared" si="43"/>
        <v>0.90514532600157105</v>
      </c>
      <c r="P330" s="191">
        <f t="shared" si="44"/>
        <v>15682.59</v>
      </c>
      <c r="Q330"/>
      <c r="R330" s="191">
        <v>0</v>
      </c>
      <c r="S330" s="191">
        <v>929</v>
      </c>
      <c r="T330" s="191">
        <f t="shared" si="45"/>
        <v>78.428571428571104</v>
      </c>
      <c r="U330" s="191">
        <f t="shared" si="47"/>
        <v>1007.4285714285711</v>
      </c>
      <c r="V330" s="192">
        <f t="shared" si="46"/>
        <v>0.10078108049468432</v>
      </c>
    </row>
    <row r="331" spans="1:22" s="191" customFormat="1">
      <c r="A331" s="190">
        <v>42615</v>
      </c>
      <c r="B331" s="191">
        <v>998</v>
      </c>
      <c r="C331" s="191">
        <v>20654</v>
      </c>
      <c r="D331" s="191">
        <v>10173</v>
      </c>
      <c r="E331" s="191">
        <v>10177</v>
      </c>
      <c r="F331" s="191">
        <v>3327</v>
      </c>
      <c r="G331" s="191">
        <v>3327</v>
      </c>
      <c r="H331" s="192">
        <f t="shared" si="40"/>
        <v>1</v>
      </c>
      <c r="I331" s="191">
        <v>6850</v>
      </c>
      <c r="J331" s="191">
        <v>5944</v>
      </c>
      <c r="K331" s="192">
        <f t="shared" si="41"/>
        <v>0.86773722627737226</v>
      </c>
      <c r="L331" s="191">
        <v>5940</v>
      </c>
      <c r="M331" s="191">
        <v>9595</v>
      </c>
      <c r="N331" s="192">
        <f t="shared" si="42"/>
        <v>9.7342365815528922E-2</v>
      </c>
      <c r="O331" s="192">
        <f t="shared" si="43"/>
        <v>0.91097572958632211</v>
      </c>
      <c r="P331" s="191">
        <f t="shared" si="44"/>
        <v>15299.34</v>
      </c>
      <c r="Q331"/>
      <c r="R331" s="191">
        <v>0</v>
      </c>
      <c r="S331" s="191">
        <v>934</v>
      </c>
      <c r="T331" s="191">
        <f t="shared" si="45"/>
        <v>102.85714285714312</v>
      </c>
      <c r="U331" s="191">
        <f t="shared" si="47"/>
        <v>1036.8571428571431</v>
      </c>
      <c r="V331" s="192">
        <f t="shared" si="46"/>
        <v>0.10074425628303312</v>
      </c>
    </row>
    <row r="332" spans="1:22" s="191" customFormat="1">
      <c r="A332" s="190">
        <v>42622</v>
      </c>
      <c r="B332" s="191">
        <v>1004</v>
      </c>
      <c r="C332" s="191">
        <v>20207</v>
      </c>
      <c r="D332" s="191">
        <v>9900</v>
      </c>
      <c r="E332" s="191">
        <v>10050</v>
      </c>
      <c r="F332" s="191">
        <v>3254</v>
      </c>
      <c r="G332" s="191">
        <v>3254</v>
      </c>
      <c r="H332" s="192">
        <f t="shared" si="40"/>
        <v>1</v>
      </c>
      <c r="I332" s="191">
        <v>6796</v>
      </c>
      <c r="J332" s="191">
        <v>5888</v>
      </c>
      <c r="K332" s="192">
        <f t="shared" si="41"/>
        <v>0.86639199529134781</v>
      </c>
      <c r="L332" s="191">
        <v>5884</v>
      </c>
      <c r="M332" s="191">
        <v>9406</v>
      </c>
      <c r="N332" s="192">
        <f t="shared" si="42"/>
        <v>9.7916223687008294E-2</v>
      </c>
      <c r="O332" s="192">
        <f t="shared" si="43"/>
        <v>0.90965174129353232</v>
      </c>
      <c r="P332" s="191">
        <f t="shared" si="44"/>
        <v>15391.32</v>
      </c>
      <c r="Q332"/>
      <c r="R332" s="191">
        <v>0</v>
      </c>
      <c r="S332" s="191">
        <v>921</v>
      </c>
      <c r="T332" s="191">
        <f t="shared" si="45"/>
        <v>146.85714285714266</v>
      </c>
      <c r="U332" s="191">
        <f t="shared" si="47"/>
        <v>1067.8571428571427</v>
      </c>
      <c r="V332" s="192">
        <f t="shared" si="46"/>
        <v>0.10074381973309998</v>
      </c>
    </row>
    <row r="333" spans="1:22" s="191" customFormat="1">
      <c r="A333" s="190">
        <v>42629</v>
      </c>
      <c r="B333" s="191">
        <v>981</v>
      </c>
      <c r="C333" s="191">
        <v>20016</v>
      </c>
      <c r="D333" s="191">
        <v>10083</v>
      </c>
      <c r="E333" s="191">
        <v>9889</v>
      </c>
      <c r="F333" s="191">
        <v>3276</v>
      </c>
      <c r="G333" s="191">
        <v>3276</v>
      </c>
      <c r="H333" s="192">
        <f t="shared" si="40"/>
        <v>1</v>
      </c>
      <c r="I333" s="191">
        <v>6613</v>
      </c>
      <c r="J333" s="191">
        <v>5842</v>
      </c>
      <c r="K333" s="192">
        <f t="shared" si="41"/>
        <v>0.88341146227128386</v>
      </c>
      <c r="L333" s="191">
        <v>5838</v>
      </c>
      <c r="M333" s="191">
        <v>9650</v>
      </c>
      <c r="N333" s="192">
        <f t="shared" si="42"/>
        <v>9.5336787564766837E-2</v>
      </c>
      <c r="O333" s="192">
        <f t="shared" si="43"/>
        <v>0.92203458388107995</v>
      </c>
      <c r="P333" s="191">
        <f t="shared" si="44"/>
        <v>15038.73</v>
      </c>
      <c r="Q333"/>
      <c r="R333" s="191">
        <v>0</v>
      </c>
      <c r="S333" s="191">
        <v>920</v>
      </c>
      <c r="T333" s="191">
        <f t="shared" si="45"/>
        <v>88.285714285714221</v>
      </c>
      <c r="U333" s="191">
        <f t="shared" si="47"/>
        <v>1008.2857142857142</v>
      </c>
      <c r="V333" s="192">
        <f t="shared" si="46"/>
        <v>0.10089932002632156</v>
      </c>
    </row>
    <row r="334" spans="1:22" s="191" customFormat="1">
      <c r="A334" s="190">
        <v>42636</v>
      </c>
      <c r="B334" s="191">
        <v>989</v>
      </c>
      <c r="C334" s="191">
        <v>20578</v>
      </c>
      <c r="D334" s="191">
        <v>9555</v>
      </c>
      <c r="E334" s="191">
        <v>9973</v>
      </c>
      <c r="F334" s="191">
        <v>3264</v>
      </c>
      <c r="G334" s="191">
        <v>3264</v>
      </c>
      <c r="H334" s="192">
        <f t="shared" si="40"/>
        <v>1</v>
      </c>
      <c r="I334" s="191">
        <v>6709</v>
      </c>
      <c r="J334" s="191">
        <v>5767</v>
      </c>
      <c r="K334" s="192">
        <f t="shared" si="41"/>
        <v>0.85959159338202418</v>
      </c>
      <c r="L334" s="191">
        <v>5764</v>
      </c>
      <c r="M334" s="191">
        <v>8880</v>
      </c>
      <c r="N334" s="192">
        <f t="shared" si="42"/>
        <v>0.10213963963963964</v>
      </c>
      <c r="O334" s="192">
        <f t="shared" si="43"/>
        <v>0.90554497142284163</v>
      </c>
      <c r="P334" s="191">
        <f t="shared" si="44"/>
        <v>15161.37</v>
      </c>
      <c r="Q334"/>
      <c r="R334" s="191">
        <v>0</v>
      </c>
      <c r="S334" s="191">
        <v>907</v>
      </c>
      <c r="T334" s="191">
        <f t="shared" si="45"/>
        <v>1.7142857142857792</v>
      </c>
      <c r="U334" s="191">
        <f t="shared" si="47"/>
        <v>908.71428571428578</v>
      </c>
      <c r="V334" s="192">
        <f t="shared" si="46"/>
        <v>0.10043184586424538</v>
      </c>
    </row>
    <row r="335" spans="1:22" s="191" customFormat="1">
      <c r="A335" s="190">
        <v>42643</v>
      </c>
      <c r="B335" s="191">
        <v>980</v>
      </c>
      <c r="C335" s="191">
        <v>20177</v>
      </c>
      <c r="D335" s="191">
        <v>9988</v>
      </c>
      <c r="E335" s="191">
        <v>10066</v>
      </c>
      <c r="F335" s="191">
        <v>3273</v>
      </c>
      <c r="G335" s="191">
        <v>3273</v>
      </c>
      <c r="H335" s="192">
        <f t="shared" si="40"/>
        <v>1</v>
      </c>
      <c r="I335" s="191">
        <v>6793</v>
      </c>
      <c r="J335" s="191">
        <v>5867</v>
      </c>
      <c r="K335" s="192">
        <f t="shared" si="41"/>
        <v>0.86368320329751214</v>
      </c>
      <c r="L335" s="191">
        <v>5864</v>
      </c>
      <c r="M335" s="191">
        <v>9390</v>
      </c>
      <c r="N335" s="192">
        <f t="shared" si="42"/>
        <v>9.7870074547390842E-2</v>
      </c>
      <c r="O335" s="192">
        <f t="shared" si="43"/>
        <v>0.90800715279157562</v>
      </c>
      <c r="P335" s="191">
        <f t="shared" si="44"/>
        <v>15023.4</v>
      </c>
      <c r="Q335"/>
      <c r="R335" s="191">
        <v>0</v>
      </c>
      <c r="S335" s="191">
        <v>919</v>
      </c>
      <c r="T335" s="191">
        <f t="shared" si="45"/>
        <v>118.28571428571422</v>
      </c>
      <c r="U335" s="191">
        <f t="shared" si="47"/>
        <v>1037.2857142857142</v>
      </c>
      <c r="V335" s="192">
        <f t="shared" si="46"/>
        <v>0.10054704595185995</v>
      </c>
    </row>
    <row r="336" spans="1:22" s="191" customFormat="1">
      <c r="A336" s="190">
        <v>42650</v>
      </c>
      <c r="B336" s="191">
        <v>962</v>
      </c>
      <c r="C336" s="191">
        <v>19393</v>
      </c>
      <c r="D336" s="191">
        <v>9935</v>
      </c>
      <c r="E336" s="191">
        <v>10094</v>
      </c>
      <c r="F336" s="191">
        <v>3225</v>
      </c>
      <c r="G336" s="191">
        <v>3225</v>
      </c>
      <c r="H336" s="192">
        <f t="shared" si="40"/>
        <v>1</v>
      </c>
      <c r="I336" s="191">
        <v>6870</v>
      </c>
      <c r="J336" s="191">
        <v>5909</v>
      </c>
      <c r="K336" s="192">
        <f t="shared" si="41"/>
        <v>0.86011644832605527</v>
      </c>
      <c r="L336" s="191">
        <v>5906</v>
      </c>
      <c r="M336" s="191">
        <v>9264</v>
      </c>
      <c r="N336" s="192">
        <f t="shared" si="42"/>
        <v>9.887737478411053E-2</v>
      </c>
      <c r="O336" s="192">
        <f t="shared" si="43"/>
        <v>0.90489399643352486</v>
      </c>
      <c r="P336" s="191">
        <f t="shared" si="44"/>
        <v>14747.46</v>
      </c>
      <c r="Q336"/>
      <c r="R336" s="191">
        <v>0</v>
      </c>
      <c r="S336" s="191">
        <v>916</v>
      </c>
      <c r="T336" s="191">
        <f t="shared" si="45"/>
        <v>158</v>
      </c>
      <c r="U336" s="191">
        <f t="shared" si="47"/>
        <v>1074</v>
      </c>
      <c r="V336" s="192">
        <f t="shared" si="46"/>
        <v>0.10028465075541931</v>
      </c>
    </row>
    <row r="337" spans="1:22" s="191" customFormat="1">
      <c r="A337" s="190">
        <v>42657</v>
      </c>
      <c r="B337" s="191">
        <v>998</v>
      </c>
      <c r="C337" s="191">
        <v>19042</v>
      </c>
      <c r="D337" s="191">
        <v>9498</v>
      </c>
      <c r="E337" s="191">
        <v>9894</v>
      </c>
      <c r="F337" s="191">
        <v>3240</v>
      </c>
      <c r="G337" s="191">
        <v>3240</v>
      </c>
      <c r="H337" s="192">
        <f t="shared" si="40"/>
        <v>1</v>
      </c>
      <c r="I337" s="191">
        <v>6654</v>
      </c>
      <c r="J337" s="191">
        <v>5835</v>
      </c>
      <c r="K337" s="192">
        <f t="shared" si="41"/>
        <v>0.87691614066726786</v>
      </c>
      <c r="L337" s="191">
        <v>5832</v>
      </c>
      <c r="M337" s="191">
        <v>8798</v>
      </c>
      <c r="N337" s="192">
        <f t="shared" si="42"/>
        <v>0.10400090929756763</v>
      </c>
      <c r="O337" s="192">
        <f t="shared" si="43"/>
        <v>0.91722255912674344</v>
      </c>
      <c r="P337" s="191">
        <f t="shared" si="44"/>
        <v>15299.34</v>
      </c>
      <c r="Q337"/>
      <c r="R337" s="191">
        <v>0</v>
      </c>
      <c r="S337" s="191">
        <v>915</v>
      </c>
      <c r="T337" s="191">
        <f t="shared" si="45"/>
        <v>133.14285714285734</v>
      </c>
      <c r="U337" s="191">
        <f t="shared" si="47"/>
        <v>1048.1428571428573</v>
      </c>
      <c r="V337" s="192">
        <f t="shared" si="46"/>
        <v>0.10082644628099173</v>
      </c>
    </row>
    <row r="338" spans="1:22" s="191" customFormat="1">
      <c r="A338" s="190">
        <v>42664</v>
      </c>
      <c r="B338" s="191">
        <v>991</v>
      </c>
      <c r="C338" s="191">
        <v>19919</v>
      </c>
      <c r="D338" s="191">
        <v>9837</v>
      </c>
      <c r="E338" s="191">
        <v>9992</v>
      </c>
      <c r="F338" s="191">
        <v>3261</v>
      </c>
      <c r="G338" s="191">
        <v>3261</v>
      </c>
      <c r="H338" s="192">
        <f t="shared" si="40"/>
        <v>1</v>
      </c>
      <c r="I338" s="191">
        <v>6731</v>
      </c>
      <c r="J338" s="191">
        <v>5837</v>
      </c>
      <c r="K338" s="192">
        <f t="shared" si="41"/>
        <v>0.86718169662754419</v>
      </c>
      <c r="L338" s="191">
        <v>5833</v>
      </c>
      <c r="M338" s="191">
        <v>9118</v>
      </c>
      <c r="N338" s="192">
        <f t="shared" si="42"/>
        <v>0.10067997367843826</v>
      </c>
      <c r="O338" s="192">
        <f t="shared" si="43"/>
        <v>0.91052842273819057</v>
      </c>
      <c r="P338" s="191">
        <f t="shared" si="44"/>
        <v>15192.03</v>
      </c>
      <c r="Q338"/>
      <c r="R338" s="191">
        <v>0</v>
      </c>
      <c r="S338" s="191">
        <v>918</v>
      </c>
      <c r="T338" s="191">
        <f t="shared" si="45"/>
        <v>-52.285714285714221</v>
      </c>
      <c r="U338" s="191">
        <f t="shared" si="47"/>
        <v>865.71428571428578</v>
      </c>
      <c r="V338" s="192">
        <f t="shared" si="46"/>
        <v>0.10090129698834908</v>
      </c>
    </row>
    <row r="339" spans="1:22" s="191" customFormat="1">
      <c r="A339" s="190">
        <v>42671</v>
      </c>
      <c r="B339" s="191">
        <v>1022</v>
      </c>
      <c r="C339" s="191">
        <v>19739</v>
      </c>
      <c r="D339" s="191">
        <v>9824</v>
      </c>
      <c r="E339" s="191">
        <v>10172</v>
      </c>
      <c r="F339" s="191">
        <v>3264</v>
      </c>
      <c r="G339" s="191">
        <v>3264</v>
      </c>
      <c r="H339" s="192">
        <f t="shared" si="40"/>
        <v>1</v>
      </c>
      <c r="I339" s="191">
        <v>6908</v>
      </c>
      <c r="J339" s="191">
        <v>5896</v>
      </c>
      <c r="K339" s="192">
        <f t="shared" si="41"/>
        <v>0.85350318471337583</v>
      </c>
      <c r="L339" s="191">
        <v>5892</v>
      </c>
      <c r="M339" s="191">
        <v>9183</v>
      </c>
      <c r="N339" s="192">
        <f t="shared" si="42"/>
        <v>0.10040291843624088</v>
      </c>
      <c r="O339" s="192">
        <f t="shared" si="43"/>
        <v>0.90051120723554856</v>
      </c>
      <c r="P339" s="191">
        <f t="shared" si="44"/>
        <v>15667.26</v>
      </c>
      <c r="Q339"/>
      <c r="R339" s="191">
        <v>0</v>
      </c>
      <c r="S339" s="191">
        <v>922</v>
      </c>
      <c r="T339" s="191">
        <f t="shared" si="45"/>
        <v>125.71428571428578</v>
      </c>
      <c r="U339" s="191">
        <f t="shared" si="47"/>
        <v>1047.7142857142858</v>
      </c>
      <c r="V339" s="192">
        <f t="shared" si="46"/>
        <v>0.10065502183406114</v>
      </c>
    </row>
    <row r="340" spans="1:22" s="191" customFormat="1">
      <c r="A340" s="190">
        <v>42678</v>
      </c>
      <c r="B340" s="191">
        <v>1002</v>
      </c>
      <c r="C340" s="191">
        <v>19229</v>
      </c>
      <c r="D340" s="191">
        <v>10456</v>
      </c>
      <c r="E340" s="191">
        <v>10250</v>
      </c>
      <c r="F340" s="191">
        <v>3266</v>
      </c>
      <c r="G340" s="191">
        <v>3266</v>
      </c>
      <c r="H340" s="192">
        <f t="shared" si="40"/>
        <v>1</v>
      </c>
      <c r="I340" s="191">
        <v>6983</v>
      </c>
      <c r="J340" s="191">
        <v>5912</v>
      </c>
      <c r="K340" s="192">
        <f t="shared" si="41"/>
        <v>0.84662752398682517</v>
      </c>
      <c r="L340" s="191">
        <v>5909</v>
      </c>
      <c r="M340" s="191">
        <v>9213</v>
      </c>
      <c r="N340" s="192">
        <f t="shared" si="42"/>
        <v>0.10018452187126886</v>
      </c>
      <c r="O340" s="192">
        <f t="shared" si="43"/>
        <v>0.89541463414634148</v>
      </c>
      <c r="P340" s="191">
        <f t="shared" si="44"/>
        <v>15360.66</v>
      </c>
      <c r="Q340"/>
      <c r="R340" s="191">
        <v>0</v>
      </c>
      <c r="S340" s="191">
        <v>923</v>
      </c>
      <c r="T340" s="191">
        <f t="shared" si="45"/>
        <v>151.85714285714266</v>
      </c>
      <c r="U340" s="191">
        <f t="shared" si="47"/>
        <v>1074.8571428571427</v>
      </c>
      <c r="V340" s="192">
        <f t="shared" si="46"/>
        <v>0.10056657223796034</v>
      </c>
    </row>
    <row r="341" spans="1:22" s="191" customFormat="1">
      <c r="A341" s="190">
        <v>42685</v>
      </c>
      <c r="B341" s="191">
        <v>1017</v>
      </c>
      <c r="C341" s="191">
        <v>18609</v>
      </c>
      <c r="D341" s="191">
        <v>10152</v>
      </c>
      <c r="E341" s="191">
        <v>9799</v>
      </c>
      <c r="F341" s="191">
        <v>3189</v>
      </c>
      <c r="G341" s="191">
        <v>3189</v>
      </c>
      <c r="H341" s="192">
        <f t="shared" si="40"/>
        <v>1</v>
      </c>
      <c r="I341" s="191">
        <v>6610</v>
      </c>
      <c r="J341" s="191">
        <v>5766</v>
      </c>
      <c r="K341" s="192">
        <f t="shared" si="41"/>
        <v>0.8723146747352496</v>
      </c>
      <c r="L341" s="191">
        <v>5762</v>
      </c>
      <c r="M341" s="191">
        <v>9359</v>
      </c>
      <c r="N341" s="192">
        <f t="shared" si="42"/>
        <v>9.6591516187626889E-2</v>
      </c>
      <c r="O341" s="192">
        <f t="shared" si="43"/>
        <v>0.91386876211858348</v>
      </c>
      <c r="P341" s="191">
        <f t="shared" si="44"/>
        <v>15590.61</v>
      </c>
      <c r="Q341"/>
      <c r="R341" s="191">
        <v>0</v>
      </c>
      <c r="S341" s="191">
        <v>904</v>
      </c>
      <c r="T341" s="191">
        <f t="shared" si="45"/>
        <v>201.57142857142844</v>
      </c>
      <c r="U341" s="191">
        <f t="shared" si="47"/>
        <v>1105.5714285714284</v>
      </c>
      <c r="V341" s="192">
        <f t="shared" si="46"/>
        <v>0.10094919039642658</v>
      </c>
    </row>
    <row r="342" spans="1:22" s="191" customFormat="1">
      <c r="A342" s="190">
        <v>42692</v>
      </c>
      <c r="B342" s="191">
        <v>1014</v>
      </c>
      <c r="C342" s="191">
        <v>18952</v>
      </c>
      <c r="D342" s="191">
        <v>9700</v>
      </c>
      <c r="E342" s="191">
        <v>10039</v>
      </c>
      <c r="F342" s="191">
        <v>3242</v>
      </c>
      <c r="G342" s="191">
        <v>3242</v>
      </c>
      <c r="H342" s="192">
        <f t="shared" si="40"/>
        <v>1</v>
      </c>
      <c r="I342" s="191">
        <v>6797</v>
      </c>
      <c r="J342" s="191">
        <v>5859</v>
      </c>
      <c r="K342" s="192">
        <f t="shared" si="41"/>
        <v>0.86199794026776522</v>
      </c>
      <c r="L342" s="191">
        <v>5855</v>
      </c>
      <c r="M342" s="191">
        <v>9024</v>
      </c>
      <c r="N342" s="192">
        <f t="shared" si="42"/>
        <v>0.10161790780141844</v>
      </c>
      <c r="O342" s="192">
        <f t="shared" si="43"/>
        <v>0.90656439884450646</v>
      </c>
      <c r="P342" s="191">
        <f t="shared" si="44"/>
        <v>15544.62</v>
      </c>
      <c r="Q342"/>
      <c r="R342" s="191">
        <v>0</v>
      </c>
      <c r="S342" s="191">
        <v>917</v>
      </c>
      <c r="T342" s="191">
        <f t="shared" si="45"/>
        <v>48</v>
      </c>
      <c r="U342" s="191">
        <f t="shared" si="47"/>
        <v>965</v>
      </c>
      <c r="V342" s="192">
        <f t="shared" si="46"/>
        <v>0.10075815844412701</v>
      </c>
    </row>
    <row r="343" spans="1:22" s="191" customFormat="1">
      <c r="A343" s="190">
        <v>42699</v>
      </c>
      <c r="B343" s="191">
        <v>1012</v>
      </c>
      <c r="C343" s="191">
        <v>18448</v>
      </c>
      <c r="D343" s="191">
        <v>9986</v>
      </c>
      <c r="E343" s="191">
        <v>10018</v>
      </c>
      <c r="F343" s="191">
        <v>3176</v>
      </c>
      <c r="G343" s="191">
        <v>3176</v>
      </c>
      <c r="H343" s="192">
        <f t="shared" si="40"/>
        <v>1</v>
      </c>
      <c r="I343" s="191">
        <v>6841</v>
      </c>
      <c r="J343" s="191">
        <v>5822</v>
      </c>
      <c r="K343" s="192">
        <f t="shared" si="41"/>
        <v>0.85104516883496562</v>
      </c>
      <c r="L343" s="191">
        <v>5818</v>
      </c>
      <c r="M343" s="191">
        <v>9080</v>
      </c>
      <c r="N343" s="192">
        <f t="shared" si="42"/>
        <v>9.9779735682819379E-2</v>
      </c>
      <c r="O343" s="192">
        <f t="shared" si="43"/>
        <v>0.89818327011379517</v>
      </c>
      <c r="P343" s="191">
        <f t="shared" si="44"/>
        <v>15513.96</v>
      </c>
      <c r="Q343"/>
      <c r="R343" s="191">
        <v>0</v>
      </c>
      <c r="S343" s="191">
        <v>906</v>
      </c>
      <c r="T343" s="191">
        <f t="shared" si="45"/>
        <v>178</v>
      </c>
      <c r="U343" s="191">
        <f t="shared" si="47"/>
        <v>1084</v>
      </c>
      <c r="V343" s="192">
        <f t="shared" si="46"/>
        <v>0.10068904200933541</v>
      </c>
    </row>
    <row r="344" spans="1:22" s="191" customFormat="1">
      <c r="A344" s="190">
        <v>42706</v>
      </c>
      <c r="B344" s="191">
        <v>1023</v>
      </c>
      <c r="C344" s="191">
        <v>18530</v>
      </c>
      <c r="D344" s="191">
        <v>9913</v>
      </c>
      <c r="E344" s="191">
        <v>9892</v>
      </c>
      <c r="F344" s="191">
        <v>3074</v>
      </c>
      <c r="G344" s="191">
        <v>3074</v>
      </c>
      <c r="H344" s="192">
        <f t="shared" si="40"/>
        <v>1</v>
      </c>
      <c r="I344" s="191">
        <v>6819</v>
      </c>
      <c r="J344" s="191">
        <v>5572</v>
      </c>
      <c r="K344" s="192">
        <f t="shared" si="41"/>
        <v>0.8171286112333187</v>
      </c>
      <c r="L344" s="191">
        <v>5569</v>
      </c>
      <c r="M344" s="191">
        <v>8757</v>
      </c>
      <c r="N344" s="192">
        <f t="shared" si="42"/>
        <v>9.9577480872444904E-2</v>
      </c>
      <c r="O344" s="192">
        <f t="shared" si="43"/>
        <v>0.8740396279822078</v>
      </c>
      <c r="P344" s="191">
        <f t="shared" si="44"/>
        <v>15682.59</v>
      </c>
      <c r="Q344"/>
      <c r="R344" s="191">
        <v>0</v>
      </c>
      <c r="S344" s="191">
        <v>872</v>
      </c>
      <c r="T344" s="191">
        <f t="shared" si="45"/>
        <v>139.28571428571422</v>
      </c>
      <c r="U344" s="191">
        <f t="shared" si="47"/>
        <v>1011.2857142857142</v>
      </c>
      <c r="V344" s="192">
        <f t="shared" si="46"/>
        <v>0.1008558871154291</v>
      </c>
    </row>
    <row r="345" spans="1:22" s="191" customFormat="1">
      <c r="A345" s="190">
        <v>42713</v>
      </c>
      <c r="B345" s="191">
        <v>1040</v>
      </c>
      <c r="C345" s="191">
        <v>19076</v>
      </c>
      <c r="D345" s="191">
        <v>9828</v>
      </c>
      <c r="E345" s="191">
        <v>9958</v>
      </c>
      <c r="F345" s="191">
        <v>3222</v>
      </c>
      <c r="G345" s="191">
        <v>3222</v>
      </c>
      <c r="H345" s="192">
        <f t="shared" si="40"/>
        <v>1</v>
      </c>
      <c r="I345" s="191">
        <v>6736</v>
      </c>
      <c r="J345" s="191">
        <v>5642</v>
      </c>
      <c r="K345" s="192">
        <f t="shared" si="41"/>
        <v>0.83758907363420432</v>
      </c>
      <c r="L345" s="191">
        <v>5639</v>
      </c>
      <c r="M345" s="191">
        <v>8874</v>
      </c>
      <c r="N345" s="192">
        <f t="shared" si="42"/>
        <v>0.10074374577417174</v>
      </c>
      <c r="O345" s="192">
        <f t="shared" si="43"/>
        <v>0.89013858204458729</v>
      </c>
      <c r="P345" s="191">
        <f t="shared" si="44"/>
        <v>15943.2</v>
      </c>
      <c r="Q345"/>
      <c r="R345" s="191">
        <v>0</v>
      </c>
      <c r="S345" s="191">
        <v>894</v>
      </c>
      <c r="T345" s="191">
        <f t="shared" si="45"/>
        <v>68</v>
      </c>
      <c r="U345" s="191">
        <f t="shared" si="47"/>
        <v>962</v>
      </c>
      <c r="V345" s="192">
        <f t="shared" si="46"/>
        <v>0.10085740072202166</v>
      </c>
    </row>
    <row r="346" spans="1:22" s="191" customFormat="1">
      <c r="A346" s="190">
        <v>42720</v>
      </c>
      <c r="B346" s="191">
        <v>1036</v>
      </c>
      <c r="C346" s="191">
        <v>19060</v>
      </c>
      <c r="D346" s="191">
        <v>10150</v>
      </c>
      <c r="E346" s="191">
        <v>10225</v>
      </c>
      <c r="F346" s="191">
        <v>3312</v>
      </c>
      <c r="G346" s="191">
        <v>3312</v>
      </c>
      <c r="H346" s="192">
        <f t="shared" si="40"/>
        <v>1</v>
      </c>
      <c r="I346" s="191">
        <v>6913</v>
      </c>
      <c r="J346" s="191">
        <v>5814</v>
      </c>
      <c r="K346" s="192">
        <f t="shared" si="41"/>
        <v>0.84102415738463765</v>
      </c>
      <c r="L346" s="191">
        <v>5810</v>
      </c>
      <c r="M346" s="191">
        <v>9269</v>
      </c>
      <c r="N346" s="192">
        <f t="shared" si="42"/>
        <v>9.9039810119754018E-2</v>
      </c>
      <c r="O346" s="192">
        <f t="shared" si="43"/>
        <v>0.89251833740831299</v>
      </c>
      <c r="P346" s="191">
        <f t="shared" si="44"/>
        <v>15881.88</v>
      </c>
      <c r="Q346"/>
      <c r="R346" s="191">
        <v>0</v>
      </c>
      <c r="S346" s="191">
        <v>918</v>
      </c>
      <c r="T346" s="191">
        <f t="shared" si="45"/>
        <v>120.28571428571468</v>
      </c>
      <c r="U346" s="191">
        <f t="shared" si="47"/>
        <v>1038.2857142857147</v>
      </c>
      <c r="V346" s="192">
        <f t="shared" si="46"/>
        <v>0.10059171597633136</v>
      </c>
    </row>
    <row r="347" spans="1:22" s="191" customFormat="1">
      <c r="A347" s="190">
        <v>42727</v>
      </c>
      <c r="B347" s="191">
        <v>1028</v>
      </c>
      <c r="C347" s="191">
        <v>18683</v>
      </c>
      <c r="D347" s="191">
        <v>10537</v>
      </c>
      <c r="E347" s="191">
        <v>10430</v>
      </c>
      <c r="F347" s="191">
        <v>3319</v>
      </c>
      <c r="G347" s="191">
        <v>3319</v>
      </c>
      <c r="H347" s="192">
        <f t="shared" si="40"/>
        <v>1</v>
      </c>
      <c r="I347" s="191">
        <v>7112</v>
      </c>
      <c r="J347" s="191">
        <v>5957</v>
      </c>
      <c r="K347" s="192">
        <f t="shared" si="41"/>
        <v>0.83759842519685035</v>
      </c>
      <c r="L347" s="191">
        <v>5954</v>
      </c>
      <c r="M347" s="191">
        <v>9278</v>
      </c>
      <c r="N347" s="192">
        <f t="shared" si="42"/>
        <v>0.10077602931666307</v>
      </c>
      <c r="O347" s="192">
        <f t="shared" si="43"/>
        <v>0.88935762224352832</v>
      </c>
      <c r="P347" s="191">
        <f t="shared" si="44"/>
        <v>15759.24</v>
      </c>
      <c r="Q347"/>
      <c r="R347" s="191">
        <v>0</v>
      </c>
      <c r="S347" s="191">
        <v>935</v>
      </c>
      <c r="T347" s="191">
        <f t="shared" si="45"/>
        <v>146.85714285714266</v>
      </c>
      <c r="U347" s="191">
        <f t="shared" si="47"/>
        <v>1081.8571428571427</v>
      </c>
      <c r="V347" s="192">
        <f t="shared" si="46"/>
        <v>0.10079775765416128</v>
      </c>
    </row>
    <row r="348" spans="1:22" s="191" customFormat="1">
      <c r="A348" s="190">
        <v>42734</v>
      </c>
      <c r="B348" s="191">
        <v>1043</v>
      </c>
      <c r="C348" s="191">
        <v>18678</v>
      </c>
      <c r="D348" s="191">
        <v>9467</v>
      </c>
      <c r="E348" s="191">
        <v>9273</v>
      </c>
      <c r="F348" s="191">
        <v>3016</v>
      </c>
      <c r="G348" s="191">
        <v>3016</v>
      </c>
      <c r="H348" s="192">
        <f t="shared" si="40"/>
        <v>1</v>
      </c>
      <c r="I348" s="191">
        <v>6257</v>
      </c>
      <c r="J348" s="191">
        <v>5382</v>
      </c>
      <c r="K348" s="192">
        <f t="shared" si="41"/>
        <v>0.86015662458046982</v>
      </c>
      <c r="L348" s="191">
        <v>5379</v>
      </c>
      <c r="M348" s="191">
        <v>8465</v>
      </c>
      <c r="N348" s="192">
        <f t="shared" si="42"/>
        <v>9.9822799763733025E-2</v>
      </c>
      <c r="O348" s="192">
        <f t="shared" si="43"/>
        <v>0.90564003019519035</v>
      </c>
      <c r="P348" s="191">
        <f t="shared" si="44"/>
        <v>15989.19</v>
      </c>
      <c r="Q348"/>
      <c r="R348" s="191">
        <v>0</v>
      </c>
      <c r="S348" s="191">
        <v>845</v>
      </c>
      <c r="T348" s="191">
        <f t="shared" si="45"/>
        <v>198.71428571428578</v>
      </c>
      <c r="U348" s="191">
        <f t="shared" si="47"/>
        <v>1043.7142857142858</v>
      </c>
      <c r="V348" s="192">
        <f t="shared" si="46"/>
        <v>0.10061919504643962</v>
      </c>
    </row>
    <row r="349" spans="1:22" s="191" customFormat="1">
      <c r="A349" s="190">
        <v>42741</v>
      </c>
      <c r="B349" s="191">
        <v>1049</v>
      </c>
      <c r="C349" s="191">
        <v>20009</v>
      </c>
      <c r="D349" s="191">
        <v>9666</v>
      </c>
      <c r="E349" s="191">
        <v>9227</v>
      </c>
      <c r="F349" s="191">
        <v>2785</v>
      </c>
      <c r="G349" s="191">
        <v>2785</v>
      </c>
      <c r="H349" s="192">
        <f t="shared" si="40"/>
        <v>1</v>
      </c>
      <c r="I349" s="191">
        <v>6442</v>
      </c>
      <c r="J349" s="191">
        <v>5248</v>
      </c>
      <c r="K349" s="192">
        <f t="shared" si="41"/>
        <v>0.81465383421297732</v>
      </c>
      <c r="L349" s="191">
        <v>5245</v>
      </c>
      <c r="M349" s="191">
        <v>8470</v>
      </c>
      <c r="N349" s="192">
        <f t="shared" si="42"/>
        <v>9.5159386068476973E-2</v>
      </c>
      <c r="O349" s="192">
        <f t="shared" si="43"/>
        <v>0.87059716050720715</v>
      </c>
      <c r="P349" s="191">
        <f t="shared" si="44"/>
        <v>16081.17</v>
      </c>
      <c r="Q349"/>
      <c r="R349" s="191">
        <v>0</v>
      </c>
      <c r="S349" s="191">
        <v>806</v>
      </c>
      <c r="T349" s="191">
        <f t="shared" si="45"/>
        <v>52.857142857142662</v>
      </c>
      <c r="U349" s="191">
        <f t="shared" si="47"/>
        <v>858.85714285714266</v>
      </c>
      <c r="V349" s="192">
        <f t="shared" si="46"/>
        <v>0.10033611353168181</v>
      </c>
    </row>
    <row r="350" spans="1:22" s="191" customFormat="1">
      <c r="A350" s="190">
        <v>42748</v>
      </c>
      <c r="B350" s="191">
        <v>1054</v>
      </c>
      <c r="C350" s="191">
        <v>21115</v>
      </c>
      <c r="D350" s="191">
        <v>8953</v>
      </c>
      <c r="E350" s="191">
        <v>9364</v>
      </c>
      <c r="F350" s="191">
        <v>3048</v>
      </c>
      <c r="G350" s="191">
        <v>3048</v>
      </c>
      <c r="H350" s="192">
        <f t="shared" si="40"/>
        <v>1</v>
      </c>
      <c r="I350" s="191">
        <v>6316</v>
      </c>
      <c r="J350" s="191">
        <v>5315</v>
      </c>
      <c r="K350" s="192">
        <f t="shared" si="41"/>
        <v>0.84151361621279286</v>
      </c>
      <c r="L350" s="191">
        <v>5311</v>
      </c>
      <c r="M350" s="191">
        <v>8069</v>
      </c>
      <c r="N350" s="192">
        <f t="shared" si="42"/>
        <v>0.10410211922171272</v>
      </c>
      <c r="O350" s="192">
        <f t="shared" si="43"/>
        <v>0.89310123878684322</v>
      </c>
      <c r="P350" s="191">
        <f t="shared" si="44"/>
        <v>16157.82</v>
      </c>
      <c r="Q350"/>
      <c r="R350" s="191">
        <v>0</v>
      </c>
      <c r="S350" s="191">
        <v>840</v>
      </c>
      <c r="T350" s="191">
        <f t="shared" si="45"/>
        <v>56</v>
      </c>
      <c r="U350" s="191">
        <f t="shared" si="47"/>
        <v>896</v>
      </c>
      <c r="V350" s="192">
        <f t="shared" si="46"/>
        <v>0.10044242496711707</v>
      </c>
    </row>
    <row r="351" spans="1:22" s="191" customFormat="1">
      <c r="A351" s="190">
        <v>42755</v>
      </c>
      <c r="B351" s="191">
        <v>1051</v>
      </c>
      <c r="C351" s="191">
        <v>21728</v>
      </c>
      <c r="D351" s="191">
        <v>8825</v>
      </c>
      <c r="E351" s="191">
        <v>9296</v>
      </c>
      <c r="F351" s="191">
        <v>3010</v>
      </c>
      <c r="G351" s="191">
        <v>3010</v>
      </c>
      <c r="H351" s="192">
        <f t="shared" si="40"/>
        <v>1</v>
      </c>
      <c r="I351" s="191">
        <v>6286</v>
      </c>
      <c r="J351" s="191">
        <v>5292</v>
      </c>
      <c r="K351" s="192">
        <f t="shared" si="41"/>
        <v>0.84187082405345215</v>
      </c>
      <c r="L351" s="191">
        <v>5289</v>
      </c>
      <c r="M351" s="191">
        <v>8039</v>
      </c>
      <c r="N351" s="192">
        <f t="shared" si="42"/>
        <v>0.10361985321557407</v>
      </c>
      <c r="O351" s="192">
        <f t="shared" si="43"/>
        <v>0.89307228915662651</v>
      </c>
      <c r="P351" s="191">
        <f t="shared" si="44"/>
        <v>16111.83</v>
      </c>
      <c r="Q351"/>
      <c r="R351" s="191">
        <v>0</v>
      </c>
      <c r="S351" s="191">
        <v>833</v>
      </c>
      <c r="T351" s="191">
        <f t="shared" si="45"/>
        <v>130.42857142857156</v>
      </c>
      <c r="U351" s="191">
        <f t="shared" si="47"/>
        <v>963.42857142857156</v>
      </c>
      <c r="V351" s="192">
        <f t="shared" si="46"/>
        <v>0.10033726812816189</v>
      </c>
    </row>
    <row r="352" spans="1:22" s="191" customFormat="1">
      <c r="A352" s="190">
        <v>42762</v>
      </c>
      <c r="B352" s="191">
        <v>1061</v>
      </c>
      <c r="C352" s="191">
        <v>21870</v>
      </c>
      <c r="D352" s="191">
        <v>9101</v>
      </c>
      <c r="E352" s="191">
        <v>9094</v>
      </c>
      <c r="F352" s="191">
        <v>3022</v>
      </c>
      <c r="G352" s="191">
        <v>3022</v>
      </c>
      <c r="H352" s="192">
        <f t="shared" si="40"/>
        <v>1</v>
      </c>
      <c r="I352" s="191">
        <v>6072</v>
      </c>
      <c r="J352" s="191">
        <v>5287</v>
      </c>
      <c r="K352" s="192">
        <f t="shared" si="41"/>
        <v>0.8707180500658761</v>
      </c>
      <c r="L352" s="191">
        <v>5283</v>
      </c>
      <c r="M352" s="191">
        <v>8310</v>
      </c>
      <c r="N352" s="192">
        <f t="shared" si="42"/>
        <v>0.10072202166064982</v>
      </c>
      <c r="O352" s="192">
        <f t="shared" si="43"/>
        <v>0.91367934902133274</v>
      </c>
      <c r="P352" s="191">
        <f t="shared" si="44"/>
        <v>16265.13</v>
      </c>
      <c r="Q352"/>
      <c r="R352" s="191">
        <v>0</v>
      </c>
      <c r="S352" s="191">
        <v>837</v>
      </c>
      <c r="T352" s="191">
        <f t="shared" si="45"/>
        <v>203.71428571428578</v>
      </c>
      <c r="U352" s="191">
        <f t="shared" si="47"/>
        <v>1040.7142857142858</v>
      </c>
      <c r="V352" s="192">
        <f t="shared" si="46"/>
        <v>0.10073414369960285</v>
      </c>
    </row>
    <row r="353" spans="1:22" s="191" customFormat="1">
      <c r="A353" s="190">
        <v>42769</v>
      </c>
      <c r="B353" s="191">
        <v>1055</v>
      </c>
      <c r="C353" s="191">
        <v>22085</v>
      </c>
      <c r="D353" s="191">
        <v>9804</v>
      </c>
      <c r="E353" s="191">
        <v>9578</v>
      </c>
      <c r="F353" s="191">
        <v>3158</v>
      </c>
      <c r="G353" s="191">
        <v>3158</v>
      </c>
      <c r="H353" s="192">
        <f t="shared" si="40"/>
        <v>1</v>
      </c>
      <c r="I353" s="191">
        <v>6420</v>
      </c>
      <c r="J353" s="191">
        <v>5527</v>
      </c>
      <c r="K353" s="192">
        <f t="shared" si="41"/>
        <v>0.86090342679127729</v>
      </c>
      <c r="L353" s="191">
        <v>5525</v>
      </c>
      <c r="M353" s="191">
        <v>8941</v>
      </c>
      <c r="N353" s="192">
        <f t="shared" si="42"/>
        <v>9.7863773627111059E-2</v>
      </c>
      <c r="O353" s="192">
        <f t="shared" si="43"/>
        <v>0.90676550428064318</v>
      </c>
      <c r="P353" s="191">
        <f t="shared" si="44"/>
        <v>16173.15</v>
      </c>
      <c r="Q353"/>
      <c r="R353" s="191">
        <v>0</v>
      </c>
      <c r="S353" s="191">
        <v>875</v>
      </c>
      <c r="T353" s="191">
        <f t="shared" si="45"/>
        <v>149.28571428571377</v>
      </c>
      <c r="U353" s="191">
        <f t="shared" si="47"/>
        <v>1024.2857142857138</v>
      </c>
      <c r="V353" s="192">
        <f t="shared" si="46"/>
        <v>0.10074841681059298</v>
      </c>
    </row>
    <row r="354" spans="1:22" s="191" customFormat="1">
      <c r="A354" s="190">
        <v>42776</v>
      </c>
      <c r="B354" s="191">
        <v>1040</v>
      </c>
      <c r="C354" s="191">
        <v>22500</v>
      </c>
      <c r="D354" s="191">
        <v>8950</v>
      </c>
      <c r="E354" s="191">
        <v>9273</v>
      </c>
      <c r="F354" s="191">
        <v>3069</v>
      </c>
      <c r="G354" s="191">
        <v>3069</v>
      </c>
      <c r="H354" s="192">
        <f t="shared" si="40"/>
        <v>1</v>
      </c>
      <c r="I354" s="191">
        <v>6205</v>
      </c>
      <c r="J354" s="191">
        <v>5393</v>
      </c>
      <c r="K354" s="192">
        <f t="shared" si="41"/>
        <v>0.86913779210314268</v>
      </c>
      <c r="L354" s="191">
        <v>5391</v>
      </c>
      <c r="M354" s="191">
        <v>8433</v>
      </c>
      <c r="N354" s="192">
        <f t="shared" si="42"/>
        <v>0.10043875251986245</v>
      </c>
      <c r="O354" s="192">
        <f t="shared" si="43"/>
        <v>0.91254178798662788</v>
      </c>
      <c r="P354" s="191">
        <f t="shared" si="44"/>
        <v>15943.2</v>
      </c>
      <c r="Q354"/>
      <c r="R354" s="191">
        <v>0</v>
      </c>
      <c r="S354" s="191">
        <v>847</v>
      </c>
      <c r="T354" s="191">
        <f t="shared" si="45"/>
        <v>133.71428571428578</v>
      </c>
      <c r="U354" s="191">
        <f t="shared" si="47"/>
        <v>980.71428571428578</v>
      </c>
      <c r="V354" s="192">
        <f t="shared" si="46"/>
        <v>0.10009454029780193</v>
      </c>
    </row>
    <row r="355" spans="1:22" s="191" customFormat="1">
      <c r="A355" s="190">
        <v>42783</v>
      </c>
      <c r="B355" s="191">
        <v>1034</v>
      </c>
      <c r="C355" s="191">
        <v>22669</v>
      </c>
      <c r="D355" s="191">
        <v>9429</v>
      </c>
      <c r="E355" s="191">
        <v>9236</v>
      </c>
      <c r="F355" s="191">
        <v>3101</v>
      </c>
      <c r="G355" s="191">
        <v>3101</v>
      </c>
      <c r="H355" s="192">
        <f t="shared" si="40"/>
        <v>1</v>
      </c>
      <c r="I355" s="191">
        <v>6135</v>
      </c>
      <c r="J355" s="191">
        <v>5543</v>
      </c>
      <c r="K355" s="192">
        <f t="shared" si="41"/>
        <v>0.90350448247758763</v>
      </c>
      <c r="L355" s="191">
        <v>5540</v>
      </c>
      <c r="M355" s="191">
        <v>8663</v>
      </c>
      <c r="N355" s="192">
        <f t="shared" si="42"/>
        <v>0.10019623686944476</v>
      </c>
      <c r="O355" s="192">
        <f t="shared" si="43"/>
        <v>0.93590298830662622</v>
      </c>
      <c r="P355" s="191">
        <f t="shared" si="44"/>
        <v>15851.22</v>
      </c>
      <c r="Q355"/>
      <c r="R355" s="191">
        <v>0</v>
      </c>
      <c r="S355" s="191">
        <v>868</v>
      </c>
      <c r="T355" s="191">
        <f t="shared" si="45"/>
        <v>141.85714285714221</v>
      </c>
      <c r="U355" s="191">
        <f t="shared" si="47"/>
        <v>1009.8571428571422</v>
      </c>
      <c r="V355" s="192">
        <f t="shared" si="46"/>
        <v>0.1004164738546969</v>
      </c>
    </row>
    <row r="356" spans="1:22" s="191" customFormat="1">
      <c r="A356" s="190">
        <v>42790</v>
      </c>
      <c r="B356" s="191">
        <v>1034</v>
      </c>
      <c r="C356" s="191">
        <v>23091</v>
      </c>
      <c r="D356" s="191">
        <v>9456</v>
      </c>
      <c r="E356" s="191">
        <v>9541</v>
      </c>
      <c r="F356" s="191">
        <v>3148</v>
      </c>
      <c r="G356" s="191">
        <v>3148</v>
      </c>
      <c r="H356" s="192">
        <f t="shared" si="40"/>
        <v>1</v>
      </c>
      <c r="I356" s="191">
        <v>6393</v>
      </c>
      <c r="J356" s="191">
        <v>5590</v>
      </c>
      <c r="K356" s="192">
        <f t="shared" si="41"/>
        <v>0.87439386829344601</v>
      </c>
      <c r="L356" s="191">
        <v>5587</v>
      </c>
      <c r="M356" s="191">
        <v>8686</v>
      </c>
      <c r="N356" s="192">
        <f t="shared" si="42"/>
        <v>0.10154271241077596</v>
      </c>
      <c r="O356" s="192">
        <f t="shared" si="43"/>
        <v>0.91583691436956294</v>
      </c>
      <c r="P356" s="191">
        <f t="shared" si="44"/>
        <v>15851.22</v>
      </c>
      <c r="Q356"/>
      <c r="R356" s="191">
        <v>0</v>
      </c>
      <c r="S356" s="191">
        <v>882</v>
      </c>
      <c r="T356" s="191">
        <f t="shared" si="45"/>
        <v>91.714285714285779</v>
      </c>
      <c r="U356" s="191">
        <f t="shared" si="47"/>
        <v>973.71428571428578</v>
      </c>
      <c r="V356" s="192">
        <f t="shared" si="46"/>
        <v>0.10093842984664683</v>
      </c>
    </row>
    <row r="357" spans="1:22" s="191" customFormat="1">
      <c r="A357" s="190">
        <v>42797</v>
      </c>
      <c r="B357" s="191">
        <v>1022</v>
      </c>
      <c r="C357" s="191">
        <v>22856</v>
      </c>
      <c r="D357" s="191">
        <v>9844</v>
      </c>
      <c r="E357" s="191">
        <v>9468</v>
      </c>
      <c r="F357" s="191">
        <v>3120</v>
      </c>
      <c r="G357" s="191">
        <v>3120</v>
      </c>
      <c r="H357" s="192">
        <f t="shared" si="40"/>
        <v>1</v>
      </c>
      <c r="I357" s="191">
        <v>6348</v>
      </c>
      <c r="J357" s="191">
        <v>5577</v>
      </c>
      <c r="K357" s="192">
        <f t="shared" si="41"/>
        <v>0.87854442344045369</v>
      </c>
      <c r="L357" s="191">
        <v>5574</v>
      </c>
      <c r="M357" s="191">
        <v>9268</v>
      </c>
      <c r="N357" s="192">
        <f t="shared" si="42"/>
        <v>9.4626672421234348E-2</v>
      </c>
      <c r="O357" s="192">
        <f t="shared" si="43"/>
        <v>0.91856780735107735</v>
      </c>
      <c r="P357" s="191">
        <f t="shared" si="44"/>
        <v>15667.26</v>
      </c>
      <c r="Q357"/>
      <c r="R357" s="191">
        <v>0</v>
      </c>
      <c r="S357" s="191">
        <v>877</v>
      </c>
      <c r="T357" s="191">
        <f t="shared" si="45"/>
        <v>178.5714285714289</v>
      </c>
      <c r="U357" s="191">
        <f t="shared" si="47"/>
        <v>1055.5714285714289</v>
      </c>
      <c r="V357" s="192">
        <f t="shared" si="46"/>
        <v>0.10083936989766586</v>
      </c>
    </row>
    <row r="358" spans="1:22" s="191" customFormat="1">
      <c r="A358" s="190">
        <v>42804</v>
      </c>
      <c r="B358" s="191">
        <v>1045</v>
      </c>
      <c r="C358" s="191">
        <v>22766</v>
      </c>
      <c r="D358" s="191">
        <v>9540</v>
      </c>
      <c r="E358" s="191">
        <v>9773</v>
      </c>
      <c r="F358" s="191">
        <v>3258</v>
      </c>
      <c r="G358" s="191">
        <v>3258</v>
      </c>
      <c r="H358" s="192">
        <f t="shared" si="40"/>
        <v>1</v>
      </c>
      <c r="I358" s="191">
        <v>6515</v>
      </c>
      <c r="J358" s="191">
        <v>5791</v>
      </c>
      <c r="K358" s="192">
        <f t="shared" si="41"/>
        <v>0.88887183422870297</v>
      </c>
      <c r="L358" s="191">
        <v>5787</v>
      </c>
      <c r="M358" s="191">
        <v>9254</v>
      </c>
      <c r="N358" s="192">
        <f t="shared" si="42"/>
        <v>9.8443916144370008E-2</v>
      </c>
      <c r="O358" s="192">
        <f t="shared" si="43"/>
        <v>0.9259183464647498</v>
      </c>
      <c r="P358" s="191">
        <f t="shared" si="44"/>
        <v>16019.85</v>
      </c>
      <c r="Q358"/>
      <c r="R358" s="191">
        <v>0</v>
      </c>
      <c r="S358" s="191">
        <v>911</v>
      </c>
      <c r="T358" s="191">
        <f t="shared" si="45"/>
        <v>146.85714285714266</v>
      </c>
      <c r="U358" s="191">
        <f t="shared" si="47"/>
        <v>1057.8571428571427</v>
      </c>
      <c r="V358" s="192">
        <f t="shared" si="46"/>
        <v>0.10067410763620289</v>
      </c>
    </row>
    <row r="359" spans="1:22" s="191" customFormat="1">
      <c r="A359" s="190">
        <v>42811</v>
      </c>
      <c r="B359" s="191">
        <v>1044</v>
      </c>
      <c r="C359" s="191">
        <v>22595</v>
      </c>
      <c r="D359" s="191">
        <v>9771</v>
      </c>
      <c r="E359" s="191">
        <v>9730</v>
      </c>
      <c r="F359" s="191">
        <v>3235</v>
      </c>
      <c r="G359" s="191">
        <v>3235</v>
      </c>
      <c r="H359" s="192">
        <f t="shared" si="40"/>
        <v>1</v>
      </c>
      <c r="I359" s="191">
        <v>6495</v>
      </c>
      <c r="J359" s="191">
        <v>5840</v>
      </c>
      <c r="K359" s="192">
        <f t="shared" si="41"/>
        <v>0.89915319476520406</v>
      </c>
      <c r="L359" s="191">
        <v>5837</v>
      </c>
      <c r="M359" s="191">
        <v>9200</v>
      </c>
      <c r="N359" s="192">
        <f t="shared" si="42"/>
        <v>9.945652173913043E-2</v>
      </c>
      <c r="O359" s="192">
        <f t="shared" si="43"/>
        <v>0.93268242548818092</v>
      </c>
      <c r="P359" s="191">
        <f t="shared" si="44"/>
        <v>16004.52</v>
      </c>
      <c r="Q359"/>
      <c r="R359" s="191">
        <v>0</v>
      </c>
      <c r="S359" s="191">
        <v>915</v>
      </c>
      <c r="T359" s="191">
        <f t="shared" si="45"/>
        <v>153.4285714285711</v>
      </c>
      <c r="U359" s="191">
        <f t="shared" si="47"/>
        <v>1068.4285714285711</v>
      </c>
      <c r="V359" s="192">
        <f t="shared" si="46"/>
        <v>0.10082644628099173</v>
      </c>
    </row>
    <row r="360" spans="1:22" s="191" customFormat="1">
      <c r="A360" s="190">
        <v>42818</v>
      </c>
      <c r="B360" s="191">
        <v>1054</v>
      </c>
      <c r="C360" s="191">
        <v>23257</v>
      </c>
      <c r="D360" s="191">
        <v>10028</v>
      </c>
      <c r="E360" s="191">
        <v>9791</v>
      </c>
      <c r="F360" s="191">
        <v>3223</v>
      </c>
      <c r="G360" s="191">
        <v>3223</v>
      </c>
      <c r="H360" s="192">
        <f t="shared" si="40"/>
        <v>1</v>
      </c>
      <c r="I360" s="191">
        <v>6568</v>
      </c>
      <c r="J360" s="191">
        <v>5800</v>
      </c>
      <c r="K360" s="192">
        <f t="shared" si="41"/>
        <v>0.88306942752740558</v>
      </c>
      <c r="L360" s="191">
        <v>5796</v>
      </c>
      <c r="M360" s="191">
        <v>9524</v>
      </c>
      <c r="N360" s="192">
        <f t="shared" si="42"/>
        <v>9.5653086938261231E-2</v>
      </c>
      <c r="O360" s="192">
        <f t="shared" si="43"/>
        <v>0.92156061689306501</v>
      </c>
      <c r="P360" s="191">
        <f t="shared" si="44"/>
        <v>16157.82</v>
      </c>
      <c r="Q360"/>
      <c r="R360" s="191">
        <v>0</v>
      </c>
      <c r="S360" s="191">
        <v>911</v>
      </c>
      <c r="T360" s="191">
        <f t="shared" si="45"/>
        <v>48.428571428571558</v>
      </c>
      <c r="U360" s="191">
        <f t="shared" si="47"/>
        <v>959.42857142857156</v>
      </c>
      <c r="V360" s="192">
        <f t="shared" si="46"/>
        <v>0.10096420259337249</v>
      </c>
    </row>
    <row r="361" spans="1:22" s="191" customFormat="1">
      <c r="A361" s="190">
        <v>42825</v>
      </c>
      <c r="B361" s="191">
        <v>1019</v>
      </c>
      <c r="C361" s="191">
        <v>23705</v>
      </c>
      <c r="D361" s="191">
        <v>9515</v>
      </c>
      <c r="E361" s="191">
        <v>9717</v>
      </c>
      <c r="F361" s="191">
        <v>3267</v>
      </c>
      <c r="G361" s="191">
        <v>3267</v>
      </c>
      <c r="H361" s="192">
        <f t="shared" si="40"/>
        <v>1</v>
      </c>
      <c r="I361" s="191">
        <v>6450</v>
      </c>
      <c r="J361" s="191">
        <v>5838</v>
      </c>
      <c r="K361" s="192">
        <f t="shared" si="41"/>
        <v>0.90511627906976744</v>
      </c>
      <c r="L361" s="191">
        <v>5834</v>
      </c>
      <c r="M361" s="191">
        <v>9245</v>
      </c>
      <c r="N361" s="192">
        <f t="shared" si="42"/>
        <v>9.929691725256895E-2</v>
      </c>
      <c r="O361" s="192">
        <f t="shared" si="43"/>
        <v>0.93701759802408147</v>
      </c>
      <c r="P361" s="191">
        <f t="shared" si="44"/>
        <v>15621.27</v>
      </c>
      <c r="Q361"/>
      <c r="R361" s="191">
        <v>0</v>
      </c>
      <c r="S361" s="191">
        <v>918</v>
      </c>
      <c r="T361" s="191">
        <f t="shared" si="45"/>
        <v>37</v>
      </c>
      <c r="U361" s="191">
        <f t="shared" si="47"/>
        <v>955</v>
      </c>
      <c r="V361" s="192">
        <f t="shared" si="46"/>
        <v>0.10082372322899506</v>
      </c>
    </row>
    <row r="362" spans="1:22" s="191" customFormat="1">
      <c r="A362" s="190">
        <v>42832</v>
      </c>
      <c r="B362" s="191">
        <v>986</v>
      </c>
      <c r="C362" s="191">
        <v>22903</v>
      </c>
      <c r="D362" s="191">
        <v>9927</v>
      </c>
      <c r="E362" s="191">
        <v>9717</v>
      </c>
      <c r="F362" s="191">
        <v>3221</v>
      </c>
      <c r="G362" s="191">
        <v>3221</v>
      </c>
      <c r="H362" s="192">
        <f t="shared" si="40"/>
        <v>1</v>
      </c>
      <c r="I362" s="191">
        <v>6496</v>
      </c>
      <c r="J362" s="191">
        <v>5784</v>
      </c>
      <c r="K362" s="192">
        <f t="shared" si="41"/>
        <v>0.89039408866995073</v>
      </c>
      <c r="L362" s="191">
        <v>5780</v>
      </c>
      <c r="M362" s="191">
        <v>9275</v>
      </c>
      <c r="N362" s="192">
        <f t="shared" si="42"/>
        <v>9.7897574123989223E-2</v>
      </c>
      <c r="O362" s="192">
        <f t="shared" si="43"/>
        <v>0.9267263558711536</v>
      </c>
      <c r="P362" s="191">
        <f t="shared" si="44"/>
        <v>15115.38</v>
      </c>
      <c r="Q362"/>
      <c r="R362" s="191">
        <v>0</v>
      </c>
      <c r="S362" s="191">
        <v>908</v>
      </c>
      <c r="T362" s="191">
        <f t="shared" si="45"/>
        <v>192.5714285714289</v>
      </c>
      <c r="U362" s="191">
        <f t="shared" si="47"/>
        <v>1100.5714285714289</v>
      </c>
      <c r="V362" s="192">
        <f t="shared" si="46"/>
        <v>0.10083287062742921</v>
      </c>
    </row>
    <row r="363" spans="1:22" s="191" customFormat="1">
      <c r="A363" s="190">
        <v>42839</v>
      </c>
      <c r="B363" s="191">
        <v>993</v>
      </c>
      <c r="C363" s="191">
        <v>23034</v>
      </c>
      <c r="D363" s="191">
        <v>9794</v>
      </c>
      <c r="E363" s="191">
        <v>9743</v>
      </c>
      <c r="F363" s="191">
        <v>3208</v>
      </c>
      <c r="G363" s="191">
        <v>3208</v>
      </c>
      <c r="H363" s="192">
        <f t="shared" si="40"/>
        <v>1</v>
      </c>
      <c r="I363" s="191">
        <v>6535</v>
      </c>
      <c r="J363" s="191">
        <v>5836</v>
      </c>
      <c r="K363" s="192">
        <f t="shared" si="41"/>
        <v>0.89303749043611325</v>
      </c>
      <c r="L363" s="191">
        <v>5833</v>
      </c>
      <c r="M363" s="191">
        <v>9223</v>
      </c>
      <c r="N363" s="192">
        <f t="shared" si="42"/>
        <v>9.8883226715819145E-2</v>
      </c>
      <c r="O363" s="192">
        <f t="shared" si="43"/>
        <v>0.92825618392692189</v>
      </c>
      <c r="P363" s="191">
        <f t="shared" si="44"/>
        <v>15222.69</v>
      </c>
      <c r="Q363"/>
      <c r="R363" s="191">
        <v>0</v>
      </c>
      <c r="S363" s="191">
        <v>912</v>
      </c>
      <c r="T363" s="191">
        <f t="shared" si="45"/>
        <v>62.285714285714675</v>
      </c>
      <c r="U363" s="191">
        <f t="shared" si="47"/>
        <v>974.28571428571468</v>
      </c>
      <c r="V363" s="192">
        <f t="shared" si="46"/>
        <v>0.10084033613445378</v>
      </c>
    </row>
    <row r="364" spans="1:22" s="191" customFormat="1">
      <c r="A364" s="190">
        <v>42846</v>
      </c>
      <c r="B364" s="191">
        <v>987</v>
      </c>
      <c r="C364" s="191">
        <v>23269</v>
      </c>
      <c r="D364" s="191">
        <v>9710</v>
      </c>
      <c r="E364" s="191">
        <v>9934</v>
      </c>
      <c r="F364" s="191">
        <v>3232</v>
      </c>
      <c r="G364" s="191">
        <v>3232</v>
      </c>
      <c r="H364" s="192">
        <f t="shared" si="40"/>
        <v>1</v>
      </c>
      <c r="I364" s="191">
        <v>6702</v>
      </c>
      <c r="J364" s="191">
        <v>5988</v>
      </c>
      <c r="K364" s="192">
        <f t="shared" si="41"/>
        <v>0.89346463742166515</v>
      </c>
      <c r="L364" s="191">
        <v>5984</v>
      </c>
      <c r="M364" s="191">
        <v>9206</v>
      </c>
      <c r="N364" s="192">
        <f t="shared" si="42"/>
        <v>0.10123832283293505</v>
      </c>
      <c r="O364" s="192">
        <f t="shared" si="43"/>
        <v>0.92812562915240593</v>
      </c>
      <c r="P364" s="191">
        <f t="shared" si="44"/>
        <v>15130.71</v>
      </c>
      <c r="Q364"/>
      <c r="R364" s="191">
        <v>0</v>
      </c>
      <c r="S364" s="191">
        <v>932</v>
      </c>
      <c r="T364" s="191">
        <f t="shared" si="45"/>
        <v>21.428571428571104</v>
      </c>
      <c r="U364" s="191">
        <f t="shared" si="47"/>
        <v>953.4285714285711</v>
      </c>
      <c r="V364" s="192">
        <f t="shared" si="46"/>
        <v>0.10108459869848156</v>
      </c>
    </row>
    <row r="365" spans="1:22" s="191" customFormat="1">
      <c r="A365" s="190">
        <v>42853</v>
      </c>
      <c r="B365" s="191">
        <v>986</v>
      </c>
      <c r="C365" s="191">
        <v>23213</v>
      </c>
      <c r="D365" s="191">
        <v>9783</v>
      </c>
      <c r="E365" s="191">
        <v>9977</v>
      </c>
      <c r="F365" s="191">
        <v>3245</v>
      </c>
      <c r="G365" s="191">
        <v>3245</v>
      </c>
      <c r="H365" s="192">
        <f t="shared" si="40"/>
        <v>1</v>
      </c>
      <c r="I365" s="191">
        <v>6731</v>
      </c>
      <c r="J365" s="191">
        <v>5958</v>
      </c>
      <c r="K365" s="192">
        <f t="shared" si="41"/>
        <v>0.88515822314663495</v>
      </c>
      <c r="L365" s="191">
        <v>5954</v>
      </c>
      <c r="M365" s="191">
        <v>9156</v>
      </c>
      <c r="N365" s="192">
        <f t="shared" si="42"/>
        <v>0.10124508519003932</v>
      </c>
      <c r="O365" s="192">
        <f t="shared" si="43"/>
        <v>0.92242156961010324</v>
      </c>
      <c r="P365" s="191">
        <f t="shared" si="44"/>
        <v>15115.38</v>
      </c>
      <c r="Q365"/>
      <c r="R365" s="191">
        <v>0</v>
      </c>
      <c r="S365" s="191">
        <v>927</v>
      </c>
      <c r="T365" s="191">
        <f t="shared" si="45"/>
        <v>66.999999999999545</v>
      </c>
      <c r="U365" s="191">
        <f t="shared" si="47"/>
        <v>993.99999999999955</v>
      </c>
      <c r="V365" s="192">
        <f t="shared" si="46"/>
        <v>0.10072802347060741</v>
      </c>
    </row>
    <row r="366" spans="1:22" s="191" customFormat="1">
      <c r="A366" s="190">
        <v>42860</v>
      </c>
      <c r="B366" s="191">
        <v>1006</v>
      </c>
      <c r="C366" s="191">
        <v>23055</v>
      </c>
      <c r="D366" s="191">
        <v>10052</v>
      </c>
      <c r="E366" s="191">
        <v>10024</v>
      </c>
      <c r="F366" s="191">
        <v>3243</v>
      </c>
      <c r="G366" s="191">
        <v>3243</v>
      </c>
      <c r="H366" s="192">
        <f t="shared" si="40"/>
        <v>1</v>
      </c>
      <c r="I366" s="191">
        <v>6781</v>
      </c>
      <c r="J366" s="191">
        <v>5918</v>
      </c>
      <c r="K366" s="192">
        <f t="shared" si="41"/>
        <v>0.87273263530452738</v>
      </c>
      <c r="L366" s="191">
        <v>5915</v>
      </c>
      <c r="M366" s="191">
        <v>9408</v>
      </c>
      <c r="N366" s="192">
        <f t="shared" si="42"/>
        <v>9.8639455782312924E-2</v>
      </c>
      <c r="O366" s="192">
        <f t="shared" si="43"/>
        <v>0.91390662410215484</v>
      </c>
      <c r="P366" s="191">
        <f t="shared" si="44"/>
        <v>15421.98</v>
      </c>
      <c r="Q366"/>
      <c r="R366" s="191">
        <v>28</v>
      </c>
      <c r="S366" s="191">
        <v>928</v>
      </c>
      <c r="T366" s="191">
        <f t="shared" si="45"/>
        <v>128.57142857142844</v>
      </c>
      <c r="U366" s="191">
        <f t="shared" si="47"/>
        <v>1056.5714285714284</v>
      </c>
      <c r="V366" s="192">
        <f t="shared" si="46"/>
        <v>0.10129898482698395</v>
      </c>
    </row>
    <row r="367" spans="1:22" s="191" customFormat="1">
      <c r="A367" s="190">
        <v>42867</v>
      </c>
      <c r="B367" s="191">
        <v>1027</v>
      </c>
      <c r="C367" s="191">
        <v>23414</v>
      </c>
      <c r="D367" s="191">
        <v>10020</v>
      </c>
      <c r="E367" s="191">
        <v>10189</v>
      </c>
      <c r="F367" s="191">
        <v>3325</v>
      </c>
      <c r="G367" s="191">
        <v>3325</v>
      </c>
      <c r="H367" s="192">
        <f t="shared" si="40"/>
        <v>1</v>
      </c>
      <c r="I367" s="191">
        <v>6864</v>
      </c>
      <c r="J367" s="191">
        <v>6083</v>
      </c>
      <c r="K367" s="192">
        <f t="shared" si="41"/>
        <v>0.88621794871794868</v>
      </c>
      <c r="L367" s="191">
        <v>6080</v>
      </c>
      <c r="M367" s="191">
        <v>9452</v>
      </c>
      <c r="N367" s="192">
        <f t="shared" si="42"/>
        <v>0.10061362674566229</v>
      </c>
      <c r="O367" s="192">
        <f t="shared" si="43"/>
        <v>0.92334870939248204</v>
      </c>
      <c r="P367" s="191">
        <f t="shared" si="44"/>
        <v>15743.91</v>
      </c>
      <c r="Q367"/>
      <c r="R367" s="191">
        <v>0</v>
      </c>
      <c r="S367" s="191">
        <v>951</v>
      </c>
      <c r="T367" s="191">
        <f t="shared" si="45"/>
        <v>24.714285714285779</v>
      </c>
      <c r="U367" s="191">
        <f t="shared" si="47"/>
        <v>975.71428571428578</v>
      </c>
      <c r="V367" s="192">
        <f t="shared" si="46"/>
        <v>0.10108418367346939</v>
      </c>
    </row>
    <row r="368" spans="1:22" s="191" customFormat="1">
      <c r="A368" s="190">
        <v>42874</v>
      </c>
      <c r="B368" s="191">
        <v>1010</v>
      </c>
      <c r="C368" s="191">
        <v>22684</v>
      </c>
      <c r="D368" s="191">
        <v>10243</v>
      </c>
      <c r="E368" s="191">
        <v>10169</v>
      </c>
      <c r="F368" s="191">
        <v>3322</v>
      </c>
      <c r="G368" s="191">
        <v>3322</v>
      </c>
      <c r="H368" s="192">
        <f t="shared" si="40"/>
        <v>1</v>
      </c>
      <c r="I368" s="191">
        <v>6847</v>
      </c>
      <c r="J368" s="191">
        <v>6072</v>
      </c>
      <c r="K368" s="192">
        <f t="shared" si="41"/>
        <v>0.88681174236892069</v>
      </c>
      <c r="L368" s="191">
        <v>6069</v>
      </c>
      <c r="M368" s="191">
        <v>9704</v>
      </c>
      <c r="N368" s="192">
        <f t="shared" si="42"/>
        <v>9.7794723825226706E-2</v>
      </c>
      <c r="O368" s="192">
        <f t="shared" si="43"/>
        <v>0.9237879830858492</v>
      </c>
      <c r="P368" s="191">
        <f t="shared" si="44"/>
        <v>15483.3</v>
      </c>
      <c r="Q368"/>
      <c r="R368" s="191">
        <v>0</v>
      </c>
      <c r="S368" s="191">
        <v>949</v>
      </c>
      <c r="T368" s="191">
        <f t="shared" si="45"/>
        <v>165.28571428571468</v>
      </c>
      <c r="U368" s="191">
        <f t="shared" si="47"/>
        <v>1114.2857142857147</v>
      </c>
      <c r="V368" s="192">
        <f t="shared" si="46"/>
        <v>0.10102192889078135</v>
      </c>
    </row>
    <row r="369" spans="1:22" s="191" customFormat="1">
      <c r="A369" s="190">
        <v>42881</v>
      </c>
      <c r="B369" s="191">
        <v>1020</v>
      </c>
      <c r="C369" s="191">
        <v>22763</v>
      </c>
      <c r="D369" s="191">
        <v>10430</v>
      </c>
      <c r="E369" s="191">
        <v>10229</v>
      </c>
      <c r="F369" s="191">
        <v>3333</v>
      </c>
      <c r="G369" s="191">
        <v>3333</v>
      </c>
      <c r="H369" s="192">
        <f t="shared" si="40"/>
        <v>1</v>
      </c>
      <c r="I369" s="191">
        <v>6895</v>
      </c>
      <c r="J369" s="191">
        <v>6088</v>
      </c>
      <c r="K369" s="192">
        <f t="shared" si="41"/>
        <v>0.88295866569978243</v>
      </c>
      <c r="L369" s="191">
        <v>6085</v>
      </c>
      <c r="M369" s="191">
        <v>9822</v>
      </c>
      <c r="N369" s="192">
        <f t="shared" si="42"/>
        <v>9.672164528609245E-2</v>
      </c>
      <c r="O369" s="192">
        <f t="shared" si="43"/>
        <v>0.9210088962752957</v>
      </c>
      <c r="P369" s="191">
        <f t="shared" si="44"/>
        <v>15636.6</v>
      </c>
      <c r="Q369"/>
      <c r="R369" s="191">
        <v>0</v>
      </c>
      <c r="S369" s="191">
        <v>950</v>
      </c>
      <c r="T369" s="191">
        <f t="shared" si="45"/>
        <v>58.714285714285779</v>
      </c>
      <c r="U369" s="191">
        <f t="shared" si="47"/>
        <v>1008.7142857142858</v>
      </c>
      <c r="V369" s="192">
        <f t="shared" si="46"/>
        <v>0.10083855217068252</v>
      </c>
    </row>
    <row r="370" spans="1:22" s="191" customFormat="1">
      <c r="A370" s="190">
        <v>42888</v>
      </c>
      <c r="B370" s="191">
        <v>999</v>
      </c>
      <c r="C370" s="191">
        <v>21982</v>
      </c>
      <c r="D370" s="191">
        <v>9934</v>
      </c>
      <c r="E370" s="191">
        <v>9833</v>
      </c>
      <c r="F370" s="191">
        <v>3187</v>
      </c>
      <c r="G370" s="191">
        <v>3187</v>
      </c>
      <c r="H370" s="192">
        <f t="shared" si="40"/>
        <v>1</v>
      </c>
      <c r="I370" s="191">
        <v>6646</v>
      </c>
      <c r="J370" s="191">
        <v>5781</v>
      </c>
      <c r="K370" s="192">
        <f t="shared" si="41"/>
        <v>0.86984652422509778</v>
      </c>
      <c r="L370" s="191">
        <v>5777</v>
      </c>
      <c r="M370" s="191">
        <v>9317</v>
      </c>
      <c r="N370" s="192">
        <f t="shared" si="42"/>
        <v>9.756359343136202E-2</v>
      </c>
      <c r="O370" s="192">
        <f t="shared" si="43"/>
        <v>0.91203091630224753</v>
      </c>
      <c r="P370" s="191">
        <f t="shared" si="44"/>
        <v>15314.67</v>
      </c>
      <c r="Q370"/>
      <c r="R370" s="191">
        <v>0</v>
      </c>
      <c r="S370" s="191">
        <v>909</v>
      </c>
      <c r="T370" s="191">
        <f t="shared" si="45"/>
        <v>201.5714285714289</v>
      </c>
      <c r="U370" s="191">
        <f t="shared" si="47"/>
        <v>1110.5714285714289</v>
      </c>
      <c r="V370" s="192">
        <f t="shared" si="46"/>
        <v>0.10136039250669046</v>
      </c>
    </row>
    <row r="371" spans="1:22" s="191" customFormat="1">
      <c r="A371" s="190">
        <v>42895</v>
      </c>
      <c r="B371" s="191">
        <v>1002</v>
      </c>
      <c r="C371" s="191">
        <v>22542</v>
      </c>
      <c r="D371" s="191">
        <v>9843</v>
      </c>
      <c r="E371" s="191">
        <v>10098</v>
      </c>
      <c r="F371" s="191">
        <v>3294</v>
      </c>
      <c r="G371" s="191">
        <v>3294</v>
      </c>
      <c r="H371" s="192">
        <f t="shared" si="40"/>
        <v>1</v>
      </c>
      <c r="I371" s="191">
        <v>6804</v>
      </c>
      <c r="J371" s="191">
        <v>5958</v>
      </c>
      <c r="K371" s="192">
        <f t="shared" si="41"/>
        <v>0.8756613756613757</v>
      </c>
      <c r="L371" s="191">
        <v>5955</v>
      </c>
      <c r="M371" s="191">
        <v>9269</v>
      </c>
      <c r="N371" s="192">
        <f t="shared" si="42"/>
        <v>0.10044233466393354</v>
      </c>
      <c r="O371" s="192">
        <f t="shared" si="43"/>
        <v>0.91622103386809273</v>
      </c>
      <c r="P371" s="191">
        <f t="shared" si="44"/>
        <v>15360.66</v>
      </c>
      <c r="Q371"/>
      <c r="R371" s="191">
        <v>0</v>
      </c>
      <c r="S371" s="191">
        <v>931</v>
      </c>
      <c r="T371" s="191">
        <f t="shared" si="45"/>
        <v>-9.0000000000004547</v>
      </c>
      <c r="U371" s="191">
        <f t="shared" si="47"/>
        <v>921.99999999999955</v>
      </c>
      <c r="V371" s="192">
        <f t="shared" si="46"/>
        <v>0.10062689148292261</v>
      </c>
    </row>
    <row r="372" spans="1:22" s="191" customFormat="1">
      <c r="A372" s="190">
        <v>42902</v>
      </c>
      <c r="B372" s="191">
        <v>990</v>
      </c>
      <c r="C372" s="191">
        <v>22280</v>
      </c>
      <c r="D372" s="191">
        <v>10163</v>
      </c>
      <c r="E372" s="191">
        <v>10151</v>
      </c>
      <c r="F372" s="191">
        <v>3309</v>
      </c>
      <c r="G372" s="191">
        <v>3309</v>
      </c>
      <c r="H372" s="192">
        <f t="shared" si="40"/>
        <v>1</v>
      </c>
      <c r="I372" s="191">
        <v>6841</v>
      </c>
      <c r="J372" s="191">
        <v>6039</v>
      </c>
      <c r="K372" s="192">
        <f t="shared" si="41"/>
        <v>0.88276567753252444</v>
      </c>
      <c r="L372" s="191">
        <v>6035</v>
      </c>
      <c r="M372" s="191">
        <v>9816</v>
      </c>
      <c r="N372" s="192">
        <f t="shared" si="42"/>
        <v>9.6067644661776697E-2</v>
      </c>
      <c r="O372" s="192">
        <f t="shared" si="43"/>
        <v>0.9208944931533839</v>
      </c>
      <c r="P372" s="191">
        <f t="shared" si="44"/>
        <v>15176.7</v>
      </c>
      <c r="Q372"/>
      <c r="R372" s="191">
        <v>0</v>
      </c>
      <c r="S372" s="191">
        <v>943</v>
      </c>
      <c r="T372" s="191">
        <f t="shared" si="45"/>
        <v>84.428571428571104</v>
      </c>
      <c r="U372" s="191">
        <f t="shared" si="47"/>
        <v>1027.4285714285711</v>
      </c>
      <c r="V372" s="192">
        <f t="shared" si="46"/>
        <v>0.10087719298245613</v>
      </c>
    </row>
    <row r="373" spans="1:22" s="191" customFormat="1">
      <c r="A373" s="190">
        <v>42909</v>
      </c>
      <c r="B373" s="191">
        <v>1015</v>
      </c>
      <c r="C373" s="191">
        <v>21838</v>
      </c>
      <c r="D373" s="191">
        <v>10334</v>
      </c>
      <c r="E373" s="191">
        <v>10366</v>
      </c>
      <c r="F373" s="191">
        <v>3377</v>
      </c>
      <c r="G373" s="191">
        <v>3377</v>
      </c>
      <c r="H373" s="192">
        <f t="shared" si="40"/>
        <v>1</v>
      </c>
      <c r="I373" s="191">
        <v>6990</v>
      </c>
      <c r="J373" s="191">
        <v>6152</v>
      </c>
      <c r="K373" s="192">
        <f t="shared" si="41"/>
        <v>0.88011444921316162</v>
      </c>
      <c r="L373" s="191">
        <v>6149</v>
      </c>
      <c r="M373" s="191">
        <v>9538</v>
      </c>
      <c r="N373" s="192">
        <f t="shared" si="42"/>
        <v>0.10075487523589852</v>
      </c>
      <c r="O373" s="192">
        <f t="shared" si="43"/>
        <v>0.91925525757283422</v>
      </c>
      <c r="P373" s="191">
        <f t="shared" si="44"/>
        <v>15559.95</v>
      </c>
      <c r="Q373"/>
      <c r="R373" s="191">
        <v>0</v>
      </c>
      <c r="S373" s="191">
        <v>961</v>
      </c>
      <c r="T373" s="191">
        <f t="shared" si="45"/>
        <v>117.14285714285734</v>
      </c>
      <c r="U373" s="191">
        <f t="shared" si="47"/>
        <v>1078.1428571428573</v>
      </c>
      <c r="V373" s="192">
        <f t="shared" si="46"/>
        <v>0.10085003672998216</v>
      </c>
    </row>
    <row r="374" spans="1:22" s="191" customFormat="1">
      <c r="A374" s="190">
        <v>42916</v>
      </c>
      <c r="B374" s="191">
        <v>1014</v>
      </c>
      <c r="C374" s="191">
        <v>21571</v>
      </c>
      <c r="D374" s="191">
        <v>10365</v>
      </c>
      <c r="E374" s="191">
        <v>10087</v>
      </c>
      <c r="F374" s="191">
        <v>3326</v>
      </c>
      <c r="G374" s="191">
        <v>3326</v>
      </c>
      <c r="H374" s="192">
        <f t="shared" si="40"/>
        <v>1</v>
      </c>
      <c r="I374" s="191">
        <v>6761</v>
      </c>
      <c r="J374" s="191">
        <v>6061</v>
      </c>
      <c r="K374" s="192">
        <f t="shared" si="41"/>
        <v>0.89646501996746042</v>
      </c>
      <c r="L374" s="191">
        <v>6057</v>
      </c>
      <c r="M374" s="191">
        <v>9705</v>
      </c>
      <c r="N374" s="192">
        <f t="shared" si="42"/>
        <v>9.7372488408037097E-2</v>
      </c>
      <c r="O374" s="192">
        <f t="shared" si="43"/>
        <v>0.93060374739764051</v>
      </c>
      <c r="P374" s="191">
        <f t="shared" si="44"/>
        <v>15544.62</v>
      </c>
      <c r="Q374"/>
      <c r="R374" s="191">
        <v>0</v>
      </c>
      <c r="S374" s="191">
        <v>945</v>
      </c>
      <c r="T374" s="191">
        <f t="shared" si="45"/>
        <v>107.14285714285779</v>
      </c>
      <c r="U374" s="191">
        <f t="shared" si="47"/>
        <v>1052.1428571428578</v>
      </c>
      <c r="V374" s="192">
        <f t="shared" si="46"/>
        <v>0.10067114093959731</v>
      </c>
    </row>
    <row r="375" spans="1:22" s="191" customFormat="1">
      <c r="A375" s="190">
        <v>42923</v>
      </c>
      <c r="B375" s="191">
        <v>1007</v>
      </c>
      <c r="C375" s="191">
        <v>21181</v>
      </c>
      <c r="D375" s="191">
        <v>10469</v>
      </c>
      <c r="E375" s="191">
        <v>10358</v>
      </c>
      <c r="F375" s="191">
        <v>3206</v>
      </c>
      <c r="G375" s="191">
        <v>3206</v>
      </c>
      <c r="H375" s="192">
        <f t="shared" si="40"/>
        <v>1</v>
      </c>
      <c r="I375" s="191">
        <v>7152</v>
      </c>
      <c r="J375" s="191">
        <v>6017</v>
      </c>
      <c r="K375" s="192">
        <f t="shared" si="41"/>
        <v>0.84130313199105144</v>
      </c>
      <c r="L375" s="191">
        <v>6013</v>
      </c>
      <c r="M375" s="191">
        <v>9786</v>
      </c>
      <c r="N375" s="192">
        <f t="shared" si="42"/>
        <v>9.4727161250766398E-2</v>
      </c>
      <c r="O375" s="192">
        <f t="shared" si="43"/>
        <v>0.89042286155628503</v>
      </c>
      <c r="P375" s="191">
        <f t="shared" si="44"/>
        <v>15437.31</v>
      </c>
      <c r="Q375"/>
      <c r="R375" s="191">
        <v>0</v>
      </c>
      <c r="S375" s="191">
        <v>927</v>
      </c>
      <c r="T375" s="191">
        <f t="shared" si="45"/>
        <v>135.71428571428578</v>
      </c>
      <c r="U375" s="191">
        <f t="shared" si="47"/>
        <v>1062.7142857142858</v>
      </c>
      <c r="V375" s="192">
        <f t="shared" si="46"/>
        <v>0.1005095955762767</v>
      </c>
    </row>
    <row r="376" spans="1:22" s="191" customFormat="1">
      <c r="A376" s="190">
        <v>42930</v>
      </c>
      <c r="B376" s="191">
        <v>1026</v>
      </c>
      <c r="C376" s="191">
        <v>22137</v>
      </c>
      <c r="D376" s="191">
        <v>10096</v>
      </c>
      <c r="E376" s="191">
        <v>9859</v>
      </c>
      <c r="F376" s="191">
        <v>3186</v>
      </c>
      <c r="G376" s="191">
        <v>3186</v>
      </c>
      <c r="H376" s="192">
        <f t="shared" si="40"/>
        <v>1</v>
      </c>
      <c r="I376" s="191">
        <v>6673</v>
      </c>
      <c r="J376" s="191">
        <v>5947</v>
      </c>
      <c r="K376" s="192">
        <f t="shared" si="41"/>
        <v>0.89120335681102947</v>
      </c>
      <c r="L376" s="191">
        <v>5944</v>
      </c>
      <c r="M376" s="191">
        <v>9592</v>
      </c>
      <c r="N376" s="192">
        <f t="shared" si="42"/>
        <v>9.6017514595496248E-2</v>
      </c>
      <c r="O376" s="192">
        <f t="shared" si="43"/>
        <v>0.92636169996957096</v>
      </c>
      <c r="P376" s="191">
        <f t="shared" si="44"/>
        <v>15728.58</v>
      </c>
      <c r="Q376"/>
      <c r="R376" s="191">
        <v>0</v>
      </c>
      <c r="S376" s="191">
        <v>921</v>
      </c>
      <c r="T376" s="191">
        <f t="shared" si="45"/>
        <v>-31.571428571428896</v>
      </c>
      <c r="U376" s="191">
        <f t="shared" si="47"/>
        <v>889.4285714285711</v>
      </c>
      <c r="V376" s="192">
        <f t="shared" si="46"/>
        <v>0.10084309646337458</v>
      </c>
    </row>
    <row r="377" spans="1:22" s="191" customFormat="1">
      <c r="A377" s="190">
        <v>42937</v>
      </c>
      <c r="B377" s="191">
        <v>1012</v>
      </c>
      <c r="C377" s="191">
        <v>21529</v>
      </c>
      <c r="D377" s="191">
        <v>10393</v>
      </c>
      <c r="E377" s="191">
        <v>10334</v>
      </c>
      <c r="F377" s="191">
        <v>3283</v>
      </c>
      <c r="G377" s="191">
        <v>3283</v>
      </c>
      <c r="H377" s="192">
        <f t="shared" si="40"/>
        <v>1</v>
      </c>
      <c r="I377" s="191">
        <v>7051</v>
      </c>
      <c r="J377" s="191">
        <v>6084</v>
      </c>
      <c r="K377" s="192">
        <f t="shared" si="41"/>
        <v>0.86285633243511561</v>
      </c>
      <c r="L377" s="191">
        <v>6080</v>
      </c>
      <c r="M377" s="191">
        <v>9821</v>
      </c>
      <c r="N377" s="192">
        <f t="shared" si="42"/>
        <v>9.6222380612972197E-2</v>
      </c>
      <c r="O377" s="192">
        <f t="shared" si="43"/>
        <v>0.90642539191019933</v>
      </c>
      <c r="P377" s="191">
        <f t="shared" si="44"/>
        <v>15513.96</v>
      </c>
      <c r="Q377"/>
      <c r="R377" s="191">
        <v>0</v>
      </c>
      <c r="S377" s="191">
        <v>945</v>
      </c>
      <c r="T377" s="191">
        <f t="shared" si="45"/>
        <v>153.85714285714312</v>
      </c>
      <c r="U377" s="191">
        <f t="shared" si="47"/>
        <v>1098.8571428571431</v>
      </c>
      <c r="V377" s="192">
        <f t="shared" si="46"/>
        <v>0.10088608946300844</v>
      </c>
    </row>
    <row r="378" spans="1:22" s="191" customFormat="1">
      <c r="A378" s="190">
        <v>42944</v>
      </c>
      <c r="B378" s="191">
        <v>1002</v>
      </c>
      <c r="C378" s="191">
        <v>20852</v>
      </c>
      <c r="D378" s="191">
        <v>10295</v>
      </c>
      <c r="E378" s="191">
        <v>10206</v>
      </c>
      <c r="F378" s="191">
        <v>3336</v>
      </c>
      <c r="G378" s="191">
        <v>3336</v>
      </c>
      <c r="H378" s="192">
        <f t="shared" si="40"/>
        <v>1</v>
      </c>
      <c r="I378" s="191">
        <v>6870</v>
      </c>
      <c r="J378" s="191">
        <v>6076</v>
      </c>
      <c r="K378" s="192">
        <f t="shared" si="41"/>
        <v>0.88442503639010184</v>
      </c>
      <c r="L378" s="191">
        <v>6072</v>
      </c>
      <c r="M378" s="191">
        <v>9842</v>
      </c>
      <c r="N378" s="192">
        <f t="shared" si="42"/>
        <v>9.6626701889859778E-2</v>
      </c>
      <c r="O378" s="192">
        <f t="shared" si="43"/>
        <v>0.92220262590632962</v>
      </c>
      <c r="P378" s="191">
        <f t="shared" si="44"/>
        <v>15360.66</v>
      </c>
      <c r="Q378"/>
      <c r="R378" s="191">
        <v>38</v>
      </c>
      <c r="S378" s="191">
        <v>951</v>
      </c>
      <c r="T378" s="191">
        <f t="shared" si="45"/>
        <v>185.71428571428578</v>
      </c>
      <c r="U378" s="191">
        <f t="shared" si="47"/>
        <v>1136.7142857142858</v>
      </c>
      <c r="V378" s="192">
        <f t="shared" si="46"/>
        <v>0.10104122396940077</v>
      </c>
    </row>
    <row r="379" spans="1:22" s="191" customFormat="1">
      <c r="A379" s="190">
        <v>42951</v>
      </c>
      <c r="B379" s="191">
        <v>1012</v>
      </c>
      <c r="C379" s="191">
        <v>21347</v>
      </c>
      <c r="D379" s="191">
        <v>10301</v>
      </c>
      <c r="E379" s="191">
        <v>10082</v>
      </c>
      <c r="F379" s="191">
        <v>3286</v>
      </c>
      <c r="G379" s="191">
        <v>3286</v>
      </c>
      <c r="H379" s="192">
        <f t="shared" si="40"/>
        <v>1</v>
      </c>
      <c r="I379" s="191">
        <v>6796</v>
      </c>
      <c r="J379" s="191">
        <v>6010</v>
      </c>
      <c r="K379" s="192">
        <f t="shared" si="41"/>
        <v>0.88434373160682755</v>
      </c>
      <c r="L379" s="191">
        <v>6007</v>
      </c>
      <c r="M379" s="191">
        <v>9797</v>
      </c>
      <c r="N379" s="192">
        <f t="shared" si="42"/>
        <v>9.57435949780545E-2</v>
      </c>
      <c r="O379" s="192">
        <f t="shared" si="43"/>
        <v>0.92203927792104745</v>
      </c>
      <c r="P379" s="191">
        <f t="shared" si="44"/>
        <v>15513.96</v>
      </c>
      <c r="Q379"/>
      <c r="R379" s="191">
        <v>0</v>
      </c>
      <c r="S379" s="191">
        <v>938</v>
      </c>
      <c r="T379" s="191">
        <f t="shared" si="45"/>
        <v>3.2857142857142208</v>
      </c>
      <c r="U379" s="191">
        <f t="shared" si="47"/>
        <v>941.28571428571422</v>
      </c>
      <c r="V379" s="192">
        <f t="shared" si="46"/>
        <v>0.10090361445783133</v>
      </c>
    </row>
    <row r="380" spans="1:22" s="191" customFormat="1">
      <c r="A380" s="190">
        <v>42958</v>
      </c>
      <c r="B380" s="191">
        <v>1059</v>
      </c>
      <c r="C380" s="191">
        <v>21828</v>
      </c>
      <c r="D380" s="191">
        <v>10048</v>
      </c>
      <c r="E380" s="191">
        <v>10207</v>
      </c>
      <c r="F380" s="191">
        <v>3286</v>
      </c>
      <c r="G380" s="191">
        <v>3286</v>
      </c>
      <c r="H380" s="192">
        <f t="shared" si="40"/>
        <v>1</v>
      </c>
      <c r="I380" s="191">
        <v>6921</v>
      </c>
      <c r="J380" s="191">
        <v>6097</v>
      </c>
      <c r="K380" s="192">
        <f t="shared" si="41"/>
        <v>0.88094206039589651</v>
      </c>
      <c r="L380" s="191">
        <v>6092</v>
      </c>
      <c r="M380" s="191">
        <v>9522</v>
      </c>
      <c r="N380" s="192">
        <f t="shared" si="42"/>
        <v>9.9558916194076877E-2</v>
      </c>
      <c r="O380" s="192">
        <f t="shared" si="43"/>
        <v>0.91927108846869798</v>
      </c>
      <c r="P380" s="191">
        <f t="shared" si="44"/>
        <v>16234.47</v>
      </c>
      <c r="Q380"/>
      <c r="R380" s="191">
        <v>37</v>
      </c>
      <c r="S380" s="191">
        <v>948</v>
      </c>
      <c r="T380" s="191">
        <f t="shared" si="45"/>
        <v>79.285714285714221</v>
      </c>
      <c r="U380" s="191">
        <f t="shared" si="47"/>
        <v>1027.2857142857142</v>
      </c>
      <c r="V380" s="192">
        <f t="shared" si="46"/>
        <v>0.10103378450389001</v>
      </c>
    </row>
    <row r="381" spans="1:22" s="191" customFormat="1">
      <c r="A381" s="190">
        <v>42965</v>
      </c>
      <c r="B381" s="191">
        <v>1052</v>
      </c>
      <c r="C381" s="191">
        <v>21509</v>
      </c>
      <c r="D381" s="191">
        <v>10566</v>
      </c>
      <c r="E381" s="191">
        <v>10355</v>
      </c>
      <c r="F381" s="191">
        <v>3315</v>
      </c>
      <c r="G381" s="191">
        <v>3315</v>
      </c>
      <c r="H381" s="192">
        <f t="shared" si="40"/>
        <v>1</v>
      </c>
      <c r="I381" s="191">
        <v>7040</v>
      </c>
      <c r="J381" s="191">
        <v>6077</v>
      </c>
      <c r="K381" s="192">
        <f t="shared" si="41"/>
        <v>0.86321022727272723</v>
      </c>
      <c r="L381" s="191">
        <v>6074</v>
      </c>
      <c r="M381" s="191">
        <v>9629</v>
      </c>
      <c r="N381" s="192">
        <f t="shared" si="42"/>
        <v>9.8452591130958569E-2</v>
      </c>
      <c r="O381" s="192">
        <f t="shared" si="43"/>
        <v>0.9070014485755673</v>
      </c>
      <c r="P381" s="191">
        <f t="shared" si="44"/>
        <v>16127.16</v>
      </c>
      <c r="Q381"/>
      <c r="R381" s="191">
        <v>0</v>
      </c>
      <c r="S381" s="191">
        <v>948</v>
      </c>
      <c r="T381" s="191">
        <f t="shared" si="45"/>
        <v>149.57142857142799</v>
      </c>
      <c r="U381" s="191">
        <f t="shared" si="47"/>
        <v>1097.571428571428</v>
      </c>
      <c r="V381" s="192">
        <f t="shared" si="46"/>
        <v>0.10093696763202725</v>
      </c>
    </row>
    <row r="382" spans="1:22" s="191" customFormat="1">
      <c r="A382" s="190">
        <v>42972</v>
      </c>
      <c r="B382" s="191">
        <v>1042</v>
      </c>
      <c r="C382" s="191">
        <v>21303</v>
      </c>
      <c r="D382" s="191">
        <v>10602</v>
      </c>
      <c r="E382" s="191">
        <v>10316</v>
      </c>
      <c r="F382" s="191">
        <v>3303</v>
      </c>
      <c r="G382" s="191">
        <v>3303</v>
      </c>
      <c r="H382" s="192">
        <f t="shared" si="40"/>
        <v>1</v>
      </c>
      <c r="I382" s="191">
        <v>7014</v>
      </c>
      <c r="J382" s="191">
        <v>6144</v>
      </c>
      <c r="K382" s="192">
        <f t="shared" si="41"/>
        <v>0.87596236099230107</v>
      </c>
      <c r="L382" s="191">
        <v>6140</v>
      </c>
      <c r="M382" s="191">
        <v>9846</v>
      </c>
      <c r="N382" s="192">
        <f t="shared" si="42"/>
        <v>9.7095267113548656E-2</v>
      </c>
      <c r="O382" s="192">
        <f t="shared" si="43"/>
        <v>0.91576192322605665</v>
      </c>
      <c r="P382" s="191">
        <f t="shared" si="44"/>
        <v>15973.86</v>
      </c>
      <c r="Q382"/>
      <c r="R382" s="191">
        <v>0</v>
      </c>
      <c r="S382" s="191">
        <v>956</v>
      </c>
      <c r="T382" s="191">
        <f t="shared" si="45"/>
        <v>115.42857142857201</v>
      </c>
      <c r="U382" s="191">
        <f t="shared" si="47"/>
        <v>1071.428571428572</v>
      </c>
      <c r="V382" s="192">
        <f t="shared" si="46"/>
        <v>0.10119614692494971</v>
      </c>
    </row>
    <row r="383" spans="1:22" s="191" customFormat="1">
      <c r="A383" s="190">
        <v>42979</v>
      </c>
      <c r="B383" s="191">
        <v>1060</v>
      </c>
      <c r="C383" s="191">
        <v>21116</v>
      </c>
      <c r="D383" s="191">
        <v>9517</v>
      </c>
      <c r="E383" s="191">
        <v>9486</v>
      </c>
      <c r="F383" s="191">
        <v>3099</v>
      </c>
      <c r="G383" s="191">
        <v>3099</v>
      </c>
      <c r="H383" s="192">
        <f t="shared" si="40"/>
        <v>1</v>
      </c>
      <c r="I383" s="191">
        <v>6387</v>
      </c>
      <c r="J383" s="191">
        <v>6033</v>
      </c>
      <c r="K383" s="192">
        <f t="shared" si="41"/>
        <v>0.94457491780178493</v>
      </c>
      <c r="L383" s="191">
        <v>6029</v>
      </c>
      <c r="M383" s="191">
        <v>9163</v>
      </c>
      <c r="N383" s="192">
        <f t="shared" si="42"/>
        <v>0.10073120157153771</v>
      </c>
      <c r="O383" s="192">
        <f t="shared" si="43"/>
        <v>0.96268184693232128</v>
      </c>
      <c r="P383" s="191">
        <f t="shared" si="44"/>
        <v>16249.8</v>
      </c>
      <c r="Q383"/>
      <c r="R383" s="191">
        <v>0</v>
      </c>
      <c r="S383" s="191">
        <v>923</v>
      </c>
      <c r="T383" s="191">
        <f t="shared" si="45"/>
        <v>163.71428571428532</v>
      </c>
      <c r="U383" s="191">
        <f t="shared" si="47"/>
        <v>1086.7142857142853</v>
      </c>
      <c r="V383" s="192">
        <f t="shared" si="46"/>
        <v>0.10107314936487079</v>
      </c>
    </row>
    <row r="384" spans="1:22" s="191" customFormat="1">
      <c r="A384" s="190">
        <v>42986</v>
      </c>
      <c r="B384" s="191">
        <v>1047</v>
      </c>
      <c r="C384" s="191">
        <v>21132</v>
      </c>
      <c r="D384" s="191">
        <v>9888</v>
      </c>
      <c r="E384" s="191">
        <v>9540</v>
      </c>
      <c r="F384" s="191">
        <v>3026</v>
      </c>
      <c r="G384" s="191">
        <v>3026</v>
      </c>
      <c r="H384" s="192">
        <f t="shared" si="40"/>
        <v>1</v>
      </c>
      <c r="I384" s="191">
        <v>6514</v>
      </c>
      <c r="J384" s="191">
        <v>5906</v>
      </c>
      <c r="K384" s="192">
        <f t="shared" si="41"/>
        <v>0.90666257291986485</v>
      </c>
      <c r="L384" s="191">
        <v>5902</v>
      </c>
      <c r="M384" s="191">
        <v>9619</v>
      </c>
      <c r="N384" s="192">
        <f t="shared" si="42"/>
        <v>9.3668780538517515E-2</v>
      </c>
      <c r="O384" s="192">
        <f t="shared" si="43"/>
        <v>0.9362683438155136</v>
      </c>
      <c r="P384" s="191">
        <f t="shared" si="44"/>
        <v>16050.51</v>
      </c>
      <c r="Q384"/>
      <c r="R384" s="191">
        <v>36</v>
      </c>
      <c r="S384" s="191">
        <v>901</v>
      </c>
      <c r="T384" s="191">
        <f t="shared" si="45"/>
        <v>179.71428571428578</v>
      </c>
      <c r="U384" s="191">
        <f t="shared" si="47"/>
        <v>1080.7142857142858</v>
      </c>
      <c r="V384" s="192">
        <f t="shared" si="46"/>
        <v>0.10087326466636812</v>
      </c>
    </row>
    <row r="385" spans="1:22" s="191" customFormat="1">
      <c r="A385" s="190">
        <v>42993</v>
      </c>
      <c r="B385" s="191">
        <v>1033</v>
      </c>
      <c r="C385" s="191">
        <v>21138</v>
      </c>
      <c r="D385" s="191">
        <v>9793</v>
      </c>
      <c r="E385" s="191">
        <v>9679</v>
      </c>
      <c r="F385" s="191">
        <v>3209</v>
      </c>
      <c r="G385" s="191">
        <v>3209</v>
      </c>
      <c r="H385" s="192">
        <f t="shared" si="40"/>
        <v>1</v>
      </c>
      <c r="I385" s="191">
        <v>6470</v>
      </c>
      <c r="J385" s="191">
        <v>5678</v>
      </c>
      <c r="K385" s="192">
        <f t="shared" si="41"/>
        <v>0.87758887171561051</v>
      </c>
      <c r="L385" s="191">
        <v>5674</v>
      </c>
      <c r="M385" s="191">
        <v>9441</v>
      </c>
      <c r="N385" s="192">
        <f t="shared" si="42"/>
        <v>9.5117042686156131E-2</v>
      </c>
      <c r="O385" s="192">
        <f t="shared" si="43"/>
        <v>0.91817336501704716</v>
      </c>
      <c r="P385" s="191">
        <f t="shared" si="44"/>
        <v>15835.89</v>
      </c>
      <c r="Q385"/>
      <c r="R385" s="191">
        <v>0</v>
      </c>
      <c r="S385" s="191">
        <v>898</v>
      </c>
      <c r="T385" s="191">
        <f t="shared" si="45"/>
        <v>134.14285714285688</v>
      </c>
      <c r="U385" s="191">
        <f t="shared" si="47"/>
        <v>1032.1428571428569</v>
      </c>
      <c r="V385" s="192">
        <f t="shared" si="46"/>
        <v>0.10104647237537977</v>
      </c>
    </row>
    <row r="386" spans="1:22" s="191" customFormat="1">
      <c r="A386" s="190">
        <v>43000</v>
      </c>
      <c r="B386" s="191">
        <v>996</v>
      </c>
      <c r="C386" s="191">
        <v>20740</v>
      </c>
      <c r="D386" s="191">
        <v>9855</v>
      </c>
      <c r="E386" s="191">
        <v>9719</v>
      </c>
      <c r="F386" s="191">
        <v>3259</v>
      </c>
      <c r="G386" s="191">
        <v>3259</v>
      </c>
      <c r="H386" s="192">
        <f t="shared" si="40"/>
        <v>1</v>
      </c>
      <c r="I386" s="191">
        <v>6460</v>
      </c>
      <c r="J386" s="191">
        <v>5795</v>
      </c>
      <c r="K386" s="192">
        <f t="shared" si="41"/>
        <v>0.8970588235294118</v>
      </c>
      <c r="L386" s="191">
        <v>5790</v>
      </c>
      <c r="M386" s="191">
        <v>9522</v>
      </c>
      <c r="N386" s="192">
        <f t="shared" si="42"/>
        <v>9.6303297626549045E-2</v>
      </c>
      <c r="O386" s="192">
        <f t="shared" si="43"/>
        <v>0.93157732276983229</v>
      </c>
      <c r="P386" s="191">
        <f t="shared" si="44"/>
        <v>15268.68</v>
      </c>
      <c r="Q386"/>
      <c r="R386" s="191">
        <v>0</v>
      </c>
      <c r="S386" s="191">
        <v>917</v>
      </c>
      <c r="T386" s="191">
        <f t="shared" si="45"/>
        <v>135.85714285714312</v>
      </c>
      <c r="U386" s="191">
        <f t="shared" si="47"/>
        <v>1052.8571428571431</v>
      </c>
      <c r="V386" s="192">
        <f t="shared" si="46"/>
        <v>0.10128120167881599</v>
      </c>
    </row>
    <row r="387" spans="1:22" s="191" customFormat="1">
      <c r="A387" s="190">
        <v>43007</v>
      </c>
      <c r="B387" s="191">
        <v>1010</v>
      </c>
      <c r="C387" s="191">
        <v>21545</v>
      </c>
      <c r="D387" s="191">
        <v>9853</v>
      </c>
      <c r="E387" s="191">
        <v>10170</v>
      </c>
      <c r="F387" s="191">
        <v>3327</v>
      </c>
      <c r="G387" s="191">
        <v>3327</v>
      </c>
      <c r="H387" s="192">
        <f t="shared" si="40"/>
        <v>1</v>
      </c>
      <c r="I387" s="191">
        <v>6843</v>
      </c>
      <c r="J387" s="191">
        <v>5904</v>
      </c>
      <c r="K387" s="192">
        <f t="shared" si="41"/>
        <v>0.86277948268303373</v>
      </c>
      <c r="L387" s="191">
        <v>5900</v>
      </c>
      <c r="M387" s="191">
        <v>9241</v>
      </c>
      <c r="N387" s="192">
        <f t="shared" si="42"/>
        <v>0.1006384590412293</v>
      </c>
      <c r="O387" s="192">
        <f t="shared" si="43"/>
        <v>0.90766961651917399</v>
      </c>
      <c r="P387" s="191">
        <f t="shared" si="44"/>
        <v>15483.3</v>
      </c>
      <c r="Q387"/>
      <c r="R387" s="191">
        <v>0</v>
      </c>
      <c r="S387" s="191">
        <v>930</v>
      </c>
      <c r="T387" s="191">
        <f t="shared" si="45"/>
        <v>-35</v>
      </c>
      <c r="U387" s="191">
        <f t="shared" si="47"/>
        <v>895</v>
      </c>
      <c r="V387" s="192">
        <f t="shared" si="46"/>
        <v>0.10074748131296718</v>
      </c>
    </row>
    <row r="388" spans="1:22" s="191" customFormat="1">
      <c r="A388" s="190">
        <v>43014</v>
      </c>
      <c r="B388" s="191">
        <v>967</v>
      </c>
      <c r="C388" s="191">
        <v>21523</v>
      </c>
      <c r="D388" s="191">
        <v>9741</v>
      </c>
      <c r="E388" s="191">
        <v>10071</v>
      </c>
      <c r="F388" s="191">
        <v>3313</v>
      </c>
      <c r="G388" s="191">
        <v>3313</v>
      </c>
      <c r="H388" s="192">
        <f t="shared" si="40"/>
        <v>1</v>
      </c>
      <c r="I388" s="191">
        <v>6758</v>
      </c>
      <c r="J388" s="191">
        <v>5971</v>
      </c>
      <c r="K388" s="192">
        <f t="shared" si="41"/>
        <v>0.88354542764131405</v>
      </c>
      <c r="L388" s="191">
        <v>5967</v>
      </c>
      <c r="M388" s="191">
        <v>9480</v>
      </c>
      <c r="N388" s="192">
        <f t="shared" si="42"/>
        <v>9.8839662447257379E-2</v>
      </c>
      <c r="O388" s="192">
        <f t="shared" si="43"/>
        <v>0.92185483070201568</v>
      </c>
      <c r="P388" s="191">
        <f t="shared" si="44"/>
        <v>14824.11</v>
      </c>
      <c r="Q388"/>
      <c r="R388" s="191">
        <v>0</v>
      </c>
      <c r="S388" s="191">
        <v>937</v>
      </c>
      <c r="T388" s="191">
        <f t="shared" si="45"/>
        <v>33.142857142856883</v>
      </c>
      <c r="U388" s="191">
        <f t="shared" si="47"/>
        <v>970.14285714285688</v>
      </c>
      <c r="V388" s="192">
        <f t="shared" si="46"/>
        <v>0.10092632485997415</v>
      </c>
    </row>
    <row r="389" spans="1:22" s="191" customFormat="1">
      <c r="A389" s="190">
        <v>43021</v>
      </c>
      <c r="B389" s="191">
        <v>1019</v>
      </c>
      <c r="C389" s="191">
        <v>21480</v>
      </c>
      <c r="D389" s="191">
        <v>10031</v>
      </c>
      <c r="E389" s="191">
        <v>9938</v>
      </c>
      <c r="F389" s="191">
        <v>3269</v>
      </c>
      <c r="G389" s="191">
        <v>3269</v>
      </c>
      <c r="H389" s="192">
        <f t="shared" si="40"/>
        <v>1</v>
      </c>
      <c r="I389" s="191">
        <v>6670</v>
      </c>
      <c r="J389" s="191">
        <v>5862</v>
      </c>
      <c r="K389" s="192">
        <f t="shared" si="41"/>
        <v>0.87886056971514248</v>
      </c>
      <c r="L389" s="191">
        <v>5858</v>
      </c>
      <c r="M389" s="191">
        <v>9136</v>
      </c>
      <c r="N389" s="192">
        <f t="shared" si="42"/>
        <v>0.10091943957968476</v>
      </c>
      <c r="O389" s="192">
        <f t="shared" si="43"/>
        <v>0.91879653853894139</v>
      </c>
      <c r="P389" s="191">
        <f t="shared" si="44"/>
        <v>15621.27</v>
      </c>
      <c r="Q389"/>
      <c r="R389" s="191">
        <v>0</v>
      </c>
      <c r="S389" s="191">
        <v>922</v>
      </c>
      <c r="T389" s="191">
        <f t="shared" si="45"/>
        <v>103.14285714285734</v>
      </c>
      <c r="U389" s="191">
        <f t="shared" si="47"/>
        <v>1025.1428571428573</v>
      </c>
      <c r="V389" s="192">
        <f t="shared" si="46"/>
        <v>0.10097470156609353</v>
      </c>
    </row>
    <row r="390" spans="1:22" s="191" customFormat="1">
      <c r="A390" s="190">
        <v>43028</v>
      </c>
      <c r="B390" s="191">
        <v>1039</v>
      </c>
      <c r="C390" s="191">
        <v>21034</v>
      </c>
      <c r="D390" s="191">
        <v>9936</v>
      </c>
      <c r="E390" s="191">
        <v>10031</v>
      </c>
      <c r="F390" s="191">
        <v>3287</v>
      </c>
      <c r="G390" s="191">
        <v>3287</v>
      </c>
      <c r="H390" s="192">
        <f t="shared" ref="H390:H401" si="48">G390/F390</f>
        <v>1</v>
      </c>
      <c r="I390" s="191">
        <v>6744</v>
      </c>
      <c r="J390" s="191">
        <v>5895</v>
      </c>
      <c r="K390" s="192">
        <f t="shared" ref="K390:K401" si="49">J390/I390</f>
        <v>0.87411032028469748</v>
      </c>
      <c r="L390" s="191">
        <v>5891</v>
      </c>
      <c r="M390" s="191">
        <v>9314</v>
      </c>
      <c r="N390" s="192">
        <f t="shared" ref="N390:N401" si="50">S390/M390</f>
        <v>9.9312862357741033E-2</v>
      </c>
      <c r="O390" s="192">
        <f t="shared" ref="O390:O401" si="51">(J390+G390)/E390</f>
        <v>0.91536237663243947</v>
      </c>
      <c r="P390" s="191">
        <f t="shared" ref="P390:P401" si="52">B390*42*365/1000</f>
        <v>15927.87</v>
      </c>
      <c r="Q390"/>
      <c r="R390" s="191">
        <v>0</v>
      </c>
      <c r="S390" s="191">
        <v>925</v>
      </c>
      <c r="T390" s="191">
        <f t="shared" ref="T390:T401" si="53">U390-S390</f>
        <v>177.71428571428578</v>
      </c>
      <c r="U390" s="191">
        <f t="shared" si="47"/>
        <v>1102.7142857142858</v>
      </c>
      <c r="V390" s="192">
        <f t="shared" ref="V390:V401" si="54">S390/(G390+J390)</f>
        <v>0.10074057939446744</v>
      </c>
    </row>
    <row r="391" spans="1:22" s="191" customFormat="1">
      <c r="A391" s="190">
        <v>43035</v>
      </c>
      <c r="B391" s="191">
        <v>1056</v>
      </c>
      <c r="C391" s="191">
        <v>21474</v>
      </c>
      <c r="D391" s="191">
        <v>10187</v>
      </c>
      <c r="E391" s="191">
        <v>10175</v>
      </c>
      <c r="F391" s="191">
        <v>3278</v>
      </c>
      <c r="G391" s="191">
        <v>3278</v>
      </c>
      <c r="H391" s="192">
        <f t="shared" si="48"/>
        <v>1</v>
      </c>
      <c r="I391" s="191">
        <v>6897</v>
      </c>
      <c r="J391" s="191">
        <v>5907</v>
      </c>
      <c r="K391" s="192">
        <f t="shared" si="49"/>
        <v>0.8564593301435407</v>
      </c>
      <c r="L391" s="191">
        <v>5903</v>
      </c>
      <c r="M391" s="191">
        <v>9461</v>
      </c>
      <c r="N391" s="192">
        <f t="shared" si="50"/>
        <v>9.8298277137723281E-2</v>
      </c>
      <c r="O391" s="192">
        <f t="shared" si="51"/>
        <v>0.9027027027027027</v>
      </c>
      <c r="P391" s="191">
        <f t="shared" si="52"/>
        <v>16188.48</v>
      </c>
      <c r="Q391"/>
      <c r="R391" s="191">
        <v>0</v>
      </c>
      <c r="S391" s="191">
        <v>930</v>
      </c>
      <c r="T391" s="191">
        <f t="shared" si="53"/>
        <v>63.142857142856883</v>
      </c>
      <c r="U391" s="191">
        <f t="shared" ref="U391:U401" si="55">C390/7+B391+R391-C391/7</f>
        <v>993.14285714285688</v>
      </c>
      <c r="V391" s="192">
        <f t="shared" si="54"/>
        <v>0.10125204137180185</v>
      </c>
    </row>
    <row r="392" spans="1:22" s="191" customFormat="1">
      <c r="A392" s="190">
        <v>43042</v>
      </c>
      <c r="B392" s="191">
        <v>1057</v>
      </c>
      <c r="C392" s="191">
        <v>21345</v>
      </c>
      <c r="D392" s="191">
        <v>10167</v>
      </c>
      <c r="E392" s="191">
        <v>10306</v>
      </c>
      <c r="F392" s="191">
        <v>3253</v>
      </c>
      <c r="G392" s="191">
        <v>3253</v>
      </c>
      <c r="H392" s="192">
        <f t="shared" si="48"/>
        <v>1</v>
      </c>
      <c r="I392" s="191">
        <v>7054</v>
      </c>
      <c r="J392" s="191">
        <v>5861</v>
      </c>
      <c r="K392" s="192">
        <f t="shared" si="49"/>
        <v>0.83087609866742274</v>
      </c>
      <c r="L392" s="191">
        <v>5857</v>
      </c>
      <c r="M392" s="191">
        <v>9496</v>
      </c>
      <c r="N392" s="192">
        <f t="shared" si="50"/>
        <v>9.6672283066554343E-2</v>
      </c>
      <c r="O392" s="192">
        <f t="shared" si="51"/>
        <v>0.88433921987191932</v>
      </c>
      <c r="P392" s="191">
        <f t="shared" si="52"/>
        <v>16203.81</v>
      </c>
      <c r="Q392"/>
      <c r="R392" s="191">
        <v>35</v>
      </c>
      <c r="S392" s="191">
        <v>918</v>
      </c>
      <c r="T392" s="191">
        <f t="shared" si="53"/>
        <v>192.42857142857201</v>
      </c>
      <c r="U392" s="191">
        <f t="shared" si="55"/>
        <v>1110.428571428572</v>
      </c>
      <c r="V392" s="192">
        <f t="shared" si="54"/>
        <v>0.10072416063199473</v>
      </c>
    </row>
    <row r="393" spans="1:22" s="191" customFormat="1">
      <c r="A393" s="190">
        <v>43049</v>
      </c>
      <c r="B393" s="191">
        <v>1054</v>
      </c>
      <c r="C393" s="191">
        <v>21497</v>
      </c>
      <c r="D393" s="191">
        <v>9852</v>
      </c>
      <c r="E393" s="191">
        <v>10095</v>
      </c>
      <c r="F393" s="191">
        <v>3250</v>
      </c>
      <c r="G393" s="191">
        <v>3250</v>
      </c>
      <c r="H393" s="192">
        <f t="shared" si="48"/>
        <v>1</v>
      </c>
      <c r="I393" s="191">
        <v>6845</v>
      </c>
      <c r="J393" s="191">
        <v>5850</v>
      </c>
      <c r="K393" s="192">
        <f t="shared" si="49"/>
        <v>0.85463842220598973</v>
      </c>
      <c r="L393" s="191">
        <v>5845</v>
      </c>
      <c r="M393" s="191">
        <v>9172</v>
      </c>
      <c r="N393" s="192">
        <f t="shared" si="50"/>
        <v>0.10008722197993894</v>
      </c>
      <c r="O393" s="192">
        <f t="shared" si="51"/>
        <v>0.90143635463100547</v>
      </c>
      <c r="P393" s="191">
        <f t="shared" si="52"/>
        <v>16157.82</v>
      </c>
      <c r="Q393"/>
      <c r="R393" s="191">
        <v>0</v>
      </c>
      <c r="S393" s="191">
        <v>918</v>
      </c>
      <c r="T393" s="191">
        <f t="shared" si="53"/>
        <v>114.28571428571377</v>
      </c>
      <c r="U393" s="191">
        <f t="shared" si="55"/>
        <v>1032.2857142857138</v>
      </c>
      <c r="V393" s="192">
        <f t="shared" si="54"/>
        <v>0.10087912087912088</v>
      </c>
    </row>
    <row r="394" spans="1:22" s="191" customFormat="1">
      <c r="A394" s="190">
        <v>43056</v>
      </c>
      <c r="B394" s="191">
        <v>1074</v>
      </c>
      <c r="C394" s="191">
        <v>21897</v>
      </c>
      <c r="D394" s="191">
        <v>10432</v>
      </c>
      <c r="E394" s="191">
        <v>10409</v>
      </c>
      <c r="F394" s="191">
        <v>3291</v>
      </c>
      <c r="G394" s="191">
        <v>3291</v>
      </c>
      <c r="H394" s="192">
        <f t="shared" si="48"/>
        <v>1</v>
      </c>
      <c r="I394" s="191">
        <v>7118</v>
      </c>
      <c r="J394" s="191">
        <v>5820</v>
      </c>
      <c r="K394" s="192">
        <f t="shared" si="49"/>
        <v>0.81764540601292501</v>
      </c>
      <c r="L394" s="191">
        <v>5815</v>
      </c>
      <c r="M394" s="191">
        <v>9595</v>
      </c>
      <c r="N394" s="192">
        <f t="shared" si="50"/>
        <v>9.588327253778009E-2</v>
      </c>
      <c r="O394" s="192">
        <f t="shared" si="51"/>
        <v>0.87530022096262849</v>
      </c>
      <c r="P394" s="191">
        <f t="shared" si="52"/>
        <v>16464.419999999998</v>
      </c>
      <c r="Q394"/>
      <c r="R394" s="191">
        <v>0</v>
      </c>
      <c r="S394" s="191">
        <v>920</v>
      </c>
      <c r="T394" s="191">
        <f t="shared" si="53"/>
        <v>96.857142857142662</v>
      </c>
      <c r="U394" s="191">
        <f t="shared" si="55"/>
        <v>1016.8571428571427</v>
      </c>
      <c r="V394" s="192">
        <f t="shared" si="54"/>
        <v>0.10097684118099001</v>
      </c>
    </row>
    <row r="395" spans="1:22" s="191" customFormat="1">
      <c r="A395" s="190">
        <v>43063</v>
      </c>
      <c r="B395" s="191">
        <v>1066</v>
      </c>
      <c r="C395" s="191">
        <v>22044</v>
      </c>
      <c r="D395" s="191">
        <v>10222</v>
      </c>
      <c r="E395" s="191">
        <v>10402</v>
      </c>
      <c r="F395" s="191">
        <v>3238</v>
      </c>
      <c r="G395" s="191">
        <v>3238</v>
      </c>
      <c r="H395" s="192">
        <f t="shared" si="48"/>
        <v>1</v>
      </c>
      <c r="I395" s="191">
        <v>7165</v>
      </c>
      <c r="J395" s="191">
        <v>5839</v>
      </c>
      <c r="K395" s="192">
        <f t="shared" si="49"/>
        <v>0.81493370551291</v>
      </c>
      <c r="L395" s="191">
        <v>5834</v>
      </c>
      <c r="M395" s="191">
        <v>8724</v>
      </c>
      <c r="N395" s="192">
        <f t="shared" si="50"/>
        <v>0.10568546538285191</v>
      </c>
      <c r="O395" s="192">
        <f t="shared" si="51"/>
        <v>0.87262064987502408</v>
      </c>
      <c r="P395" s="191">
        <f t="shared" si="52"/>
        <v>16341.78</v>
      </c>
      <c r="Q395"/>
      <c r="R395" s="191">
        <v>0</v>
      </c>
      <c r="S395" s="191">
        <v>922</v>
      </c>
      <c r="T395" s="191">
        <f t="shared" si="53"/>
        <v>122.99999999999955</v>
      </c>
      <c r="U395" s="191">
        <f t="shared" si="55"/>
        <v>1044.9999999999995</v>
      </c>
      <c r="V395" s="192">
        <f t="shared" si="54"/>
        <v>0.10157541037787815</v>
      </c>
    </row>
    <row r="396" spans="1:22" s="191" customFormat="1">
      <c r="A396" s="190">
        <v>43070</v>
      </c>
      <c r="B396" s="191">
        <v>1108</v>
      </c>
      <c r="C396" s="191">
        <v>22544</v>
      </c>
      <c r="D396" s="191">
        <v>9758</v>
      </c>
      <c r="E396" s="191">
        <v>9895</v>
      </c>
      <c r="F396" s="191">
        <v>3133</v>
      </c>
      <c r="G396" s="191">
        <v>3133</v>
      </c>
      <c r="H396" s="192">
        <f t="shared" si="48"/>
        <v>1</v>
      </c>
      <c r="I396" s="191">
        <v>6762</v>
      </c>
      <c r="J396" s="191">
        <v>5603</v>
      </c>
      <c r="K396" s="192">
        <f t="shared" si="49"/>
        <v>0.82860100561963912</v>
      </c>
      <c r="L396" s="191">
        <v>5598</v>
      </c>
      <c r="M396" s="191">
        <v>8895</v>
      </c>
      <c r="N396" s="192">
        <f t="shared" si="50"/>
        <v>9.949409780775717E-2</v>
      </c>
      <c r="O396" s="192">
        <f t="shared" si="51"/>
        <v>0.88287013643254164</v>
      </c>
      <c r="P396" s="191">
        <f t="shared" si="52"/>
        <v>16985.64</v>
      </c>
      <c r="Q396"/>
      <c r="R396" s="191">
        <v>36</v>
      </c>
      <c r="S396" s="191">
        <v>885</v>
      </c>
      <c r="T396" s="191">
        <f t="shared" si="53"/>
        <v>187.57142857142844</v>
      </c>
      <c r="U396" s="191">
        <f t="shared" si="55"/>
        <v>1072.5714285714284</v>
      </c>
      <c r="V396" s="192">
        <f t="shared" si="54"/>
        <v>0.10130494505494506</v>
      </c>
    </row>
    <row r="397" spans="1:22" s="191" customFormat="1">
      <c r="A397" s="190">
        <v>43077</v>
      </c>
      <c r="B397" s="191">
        <v>1089</v>
      </c>
      <c r="C397" s="191">
        <v>22374</v>
      </c>
      <c r="D397" s="191">
        <v>10129</v>
      </c>
      <c r="E397" s="191">
        <v>10316</v>
      </c>
      <c r="F397" s="191">
        <v>3279</v>
      </c>
      <c r="G397" s="191">
        <v>3279</v>
      </c>
      <c r="H397" s="192">
        <f t="shared" si="48"/>
        <v>1</v>
      </c>
      <c r="I397" s="191">
        <v>7037</v>
      </c>
      <c r="J397" s="191">
        <v>5810</v>
      </c>
      <c r="K397" s="192">
        <f t="shared" si="49"/>
        <v>0.82563592439960209</v>
      </c>
      <c r="L397" s="191">
        <v>5807</v>
      </c>
      <c r="M397" s="191">
        <v>9091</v>
      </c>
      <c r="N397" s="192">
        <f t="shared" si="50"/>
        <v>0.1007589924100759</v>
      </c>
      <c r="O397" s="192">
        <f t="shared" si="51"/>
        <v>0.88105854982551379</v>
      </c>
      <c r="P397" s="191">
        <f t="shared" si="52"/>
        <v>16694.37</v>
      </c>
      <c r="Q397"/>
      <c r="R397" s="191">
        <v>0</v>
      </c>
      <c r="S397" s="191">
        <v>916</v>
      </c>
      <c r="T397" s="191">
        <f t="shared" si="53"/>
        <v>197.28571428571422</v>
      </c>
      <c r="U397" s="191">
        <f t="shared" si="55"/>
        <v>1113.2857142857142</v>
      </c>
      <c r="V397" s="192">
        <f t="shared" si="54"/>
        <v>0.10078116404444934</v>
      </c>
    </row>
    <row r="398" spans="1:22" s="191" customFormat="1">
      <c r="A398" s="190">
        <v>43084</v>
      </c>
      <c r="B398" s="191">
        <v>1077</v>
      </c>
      <c r="C398" s="191">
        <v>22320</v>
      </c>
      <c r="D398" s="191">
        <v>10065</v>
      </c>
      <c r="E398" s="191">
        <v>10184</v>
      </c>
      <c r="F398" s="191">
        <v>3250</v>
      </c>
      <c r="G398" s="191">
        <v>3250</v>
      </c>
      <c r="H398" s="192">
        <f t="shared" si="48"/>
        <v>1</v>
      </c>
      <c r="I398" s="191">
        <v>6934</v>
      </c>
      <c r="J398" s="191">
        <v>5798</v>
      </c>
      <c r="K398" s="192">
        <f t="shared" si="49"/>
        <v>0.83616959907701183</v>
      </c>
      <c r="L398" s="191">
        <v>5793</v>
      </c>
      <c r="M398" s="191">
        <v>9426</v>
      </c>
      <c r="N398" s="192">
        <f t="shared" si="50"/>
        <v>9.6965839168258003E-2</v>
      </c>
      <c r="O398" s="192">
        <f t="shared" si="51"/>
        <v>0.8884524744697565</v>
      </c>
      <c r="P398" s="191">
        <f t="shared" si="52"/>
        <v>16510.41</v>
      </c>
      <c r="Q398"/>
      <c r="R398" s="191">
        <v>0</v>
      </c>
      <c r="S398" s="191">
        <v>914</v>
      </c>
      <c r="T398" s="191">
        <f t="shared" si="53"/>
        <v>170.71428571428532</v>
      </c>
      <c r="U398" s="191">
        <f t="shared" si="55"/>
        <v>1084.7142857142853</v>
      </c>
      <c r="V398" s="192">
        <f t="shared" si="54"/>
        <v>0.10101679929266136</v>
      </c>
    </row>
    <row r="399" spans="1:22" s="191" customFormat="1">
      <c r="A399" s="190">
        <v>43091</v>
      </c>
      <c r="B399" s="191">
        <v>1090</v>
      </c>
      <c r="C399" s="191">
        <v>22031</v>
      </c>
      <c r="D399" s="191">
        <v>10246</v>
      </c>
      <c r="E399" s="191">
        <v>10399</v>
      </c>
      <c r="F399" s="191">
        <v>3365</v>
      </c>
      <c r="G399" s="191">
        <v>3365</v>
      </c>
      <c r="H399" s="192">
        <f t="shared" si="48"/>
        <v>1</v>
      </c>
      <c r="I399" s="191">
        <v>7034</v>
      </c>
      <c r="J399" s="191">
        <v>6016</v>
      </c>
      <c r="K399" s="192">
        <f t="shared" si="49"/>
        <v>0.85527438157520619</v>
      </c>
      <c r="L399" s="191">
        <v>6012</v>
      </c>
      <c r="M399" s="191">
        <v>9485</v>
      </c>
      <c r="N399" s="192">
        <f t="shared" si="50"/>
        <v>9.9736425935687933E-2</v>
      </c>
      <c r="O399" s="192">
        <f t="shared" si="51"/>
        <v>0.90210597172805074</v>
      </c>
      <c r="P399" s="191">
        <f t="shared" si="52"/>
        <v>16709.7</v>
      </c>
      <c r="Q399"/>
      <c r="R399" s="191">
        <v>0</v>
      </c>
      <c r="S399" s="191">
        <v>946</v>
      </c>
      <c r="T399" s="191">
        <f t="shared" si="53"/>
        <v>185.28571428571422</v>
      </c>
      <c r="U399" s="191">
        <f t="shared" si="55"/>
        <v>1131.2857142857142</v>
      </c>
      <c r="V399" s="192">
        <f t="shared" si="54"/>
        <v>0.1008421277049355</v>
      </c>
    </row>
    <row r="400" spans="1:22">
      <c r="A400" s="190">
        <v>43098</v>
      </c>
      <c r="B400">
        <v>1032</v>
      </c>
      <c r="H400" s="192" t="e">
        <f t="shared" si="48"/>
        <v>#DIV/0!</v>
      </c>
      <c r="K400" s="192" t="e">
        <f t="shared" si="49"/>
        <v>#DIV/0!</v>
      </c>
      <c r="N400" s="192" t="e">
        <f t="shared" si="50"/>
        <v>#DIV/0!</v>
      </c>
      <c r="O400" s="192" t="e">
        <f t="shared" si="51"/>
        <v>#DIV/0!</v>
      </c>
      <c r="P400" s="191">
        <f t="shared" si="52"/>
        <v>15820.56</v>
      </c>
      <c r="T400" s="191">
        <f t="shared" si="53"/>
        <v>4179.2857142857138</v>
      </c>
      <c r="U400" s="191">
        <f t="shared" si="55"/>
        <v>4179.2857142857138</v>
      </c>
      <c r="V400" s="192" t="e">
        <f t="shared" si="54"/>
        <v>#DIV/0!</v>
      </c>
    </row>
    <row r="401" spans="1:22">
      <c r="A401" s="190">
        <v>43105</v>
      </c>
      <c r="B401">
        <v>996</v>
      </c>
      <c r="H401" s="192" t="e">
        <f t="shared" si="48"/>
        <v>#DIV/0!</v>
      </c>
      <c r="K401" s="192" t="e">
        <f t="shared" si="49"/>
        <v>#DIV/0!</v>
      </c>
      <c r="N401" s="192" t="e">
        <f t="shared" si="50"/>
        <v>#DIV/0!</v>
      </c>
      <c r="O401" s="192" t="e">
        <f t="shared" si="51"/>
        <v>#DIV/0!</v>
      </c>
      <c r="P401" s="191">
        <f t="shared" si="52"/>
        <v>15268.68</v>
      </c>
      <c r="T401" s="191">
        <f t="shared" si="53"/>
        <v>996</v>
      </c>
      <c r="U401" s="191">
        <f t="shared" si="55"/>
        <v>996</v>
      </c>
      <c r="V401" s="192" t="e">
        <f t="shared" si="54"/>
        <v>#DIV/0!</v>
      </c>
    </row>
    <row r="402" spans="1:22">
      <c r="A402" s="190">
        <v>43112</v>
      </c>
      <c r="B402">
        <v>1061</v>
      </c>
    </row>
    <row r="403" spans="1:22">
      <c r="A403" s="190">
        <v>43119</v>
      </c>
      <c r="B403">
        <v>1062</v>
      </c>
    </row>
    <row r="404" spans="1:22">
      <c r="A404" s="190">
        <v>43126</v>
      </c>
      <c r="B404">
        <v>1040</v>
      </c>
    </row>
    <row r="405" spans="1:22">
      <c r="A405" s="190">
        <v>43133</v>
      </c>
      <c r="B405">
        <v>1057</v>
      </c>
    </row>
    <row r="406" spans="1:22">
      <c r="A406" s="190">
        <v>43140</v>
      </c>
      <c r="B406">
        <v>1016</v>
      </c>
    </row>
    <row r="407" spans="1:22">
      <c r="A407" s="190">
        <v>43147</v>
      </c>
      <c r="B407">
        <v>1068</v>
      </c>
    </row>
    <row r="408" spans="1:22">
      <c r="A408" s="190">
        <v>43154</v>
      </c>
      <c r="B408">
        <v>1044</v>
      </c>
    </row>
    <row r="409" spans="1:22">
      <c r="A409" s="190">
        <v>43161</v>
      </c>
      <c r="B409">
        <v>1057</v>
      </c>
    </row>
    <row r="410" spans="1:22">
      <c r="A410" s="190">
        <v>43168</v>
      </c>
      <c r="B410">
        <v>1025</v>
      </c>
    </row>
    <row r="411" spans="1:22">
      <c r="A411" s="190">
        <v>43175</v>
      </c>
      <c r="B411">
        <v>1049</v>
      </c>
    </row>
    <row r="412" spans="1:22">
      <c r="A412" s="190">
        <v>43182</v>
      </c>
      <c r="B412">
        <v>1039</v>
      </c>
    </row>
    <row r="413" spans="1:22">
      <c r="A413" s="190">
        <v>43189</v>
      </c>
      <c r="B413">
        <v>1038</v>
      </c>
    </row>
    <row r="414" spans="1:22">
      <c r="A414" s="190">
        <v>43196</v>
      </c>
      <c r="B414">
        <v>1034</v>
      </c>
    </row>
    <row r="415" spans="1:22">
      <c r="A415" s="190">
        <v>43203</v>
      </c>
      <c r="B415">
        <v>1009</v>
      </c>
    </row>
    <row r="416" spans="1:22">
      <c r="A416" s="190">
        <v>43210</v>
      </c>
      <c r="B416">
        <v>985</v>
      </c>
    </row>
    <row r="417" spans="1:2">
      <c r="A417" s="190">
        <v>43217</v>
      </c>
      <c r="B417">
        <v>1032</v>
      </c>
    </row>
    <row r="418" spans="1:2">
      <c r="A418" s="190">
        <v>43224</v>
      </c>
      <c r="B418">
        <v>1040</v>
      </c>
    </row>
    <row r="419" spans="1:2">
      <c r="A419" s="190">
        <v>43231</v>
      </c>
      <c r="B419">
        <v>1058</v>
      </c>
    </row>
    <row r="420" spans="1:2">
      <c r="A420" s="190">
        <v>43238</v>
      </c>
      <c r="B420">
        <v>1028</v>
      </c>
    </row>
    <row r="421" spans="1:2">
      <c r="A421" s="190">
        <v>43245</v>
      </c>
      <c r="B421">
        <v>1041</v>
      </c>
    </row>
    <row r="422" spans="1:2">
      <c r="A422" s="190">
        <v>43252</v>
      </c>
      <c r="B422">
        <v>1041</v>
      </c>
    </row>
    <row r="423" spans="1:2">
      <c r="A423" s="190">
        <v>43259</v>
      </c>
      <c r="B423">
        <v>1053</v>
      </c>
    </row>
    <row r="424" spans="1:2">
      <c r="A424" s="190">
        <v>43266</v>
      </c>
      <c r="B424">
        <v>1064</v>
      </c>
    </row>
    <row r="425" spans="1:2">
      <c r="A425" s="190">
        <v>43273</v>
      </c>
      <c r="B425">
        <v>1072</v>
      </c>
    </row>
    <row r="426" spans="1:2">
      <c r="A426" s="190">
        <v>43280</v>
      </c>
      <c r="B426">
        <v>1067</v>
      </c>
    </row>
    <row r="427" spans="1:2">
      <c r="A427" s="190">
        <v>43287</v>
      </c>
      <c r="B427">
        <v>1033</v>
      </c>
    </row>
    <row r="428" spans="1:2">
      <c r="A428" s="190">
        <v>43294</v>
      </c>
      <c r="B428">
        <v>1064</v>
      </c>
    </row>
    <row r="429" spans="1:2">
      <c r="A429" s="190">
        <v>43301</v>
      </c>
      <c r="B429">
        <v>1074</v>
      </c>
    </row>
    <row r="430" spans="1:2">
      <c r="A430" s="190">
        <v>43308</v>
      </c>
      <c r="B430">
        <v>1064</v>
      </c>
    </row>
    <row r="431" spans="1:2">
      <c r="A431" s="190">
        <v>43315</v>
      </c>
      <c r="B431">
        <v>1100</v>
      </c>
    </row>
    <row r="432" spans="1:2">
      <c r="A432" s="190">
        <v>43322</v>
      </c>
      <c r="B432">
        <v>1072</v>
      </c>
    </row>
    <row r="433" spans="1:2">
      <c r="A433" s="190">
        <v>43329</v>
      </c>
      <c r="B433">
        <v>1073</v>
      </c>
    </row>
    <row r="434" spans="1:2">
      <c r="A434" s="190">
        <v>43336</v>
      </c>
      <c r="B434">
        <v>1070</v>
      </c>
    </row>
    <row r="435" spans="1:2">
      <c r="A435" s="190">
        <v>43343</v>
      </c>
      <c r="B435">
        <v>1087</v>
      </c>
    </row>
    <row r="436" spans="1:2">
      <c r="A436" s="190">
        <v>43350</v>
      </c>
      <c r="B436">
        <v>1020</v>
      </c>
    </row>
    <row r="437" spans="1:2">
      <c r="A437" s="190">
        <v>43357</v>
      </c>
      <c r="B437">
        <v>1051</v>
      </c>
    </row>
    <row r="438" spans="1:2">
      <c r="A438" s="190">
        <v>43364</v>
      </c>
      <c r="B438">
        <v>1036</v>
      </c>
    </row>
    <row r="439" spans="1:2">
      <c r="A439" s="190">
        <v>43371</v>
      </c>
      <c r="B439">
        <v>1015</v>
      </c>
    </row>
    <row r="440" spans="1:2">
      <c r="A440" s="190">
        <v>43378</v>
      </c>
      <c r="B440">
        <v>1040</v>
      </c>
    </row>
    <row r="441" spans="1:2">
      <c r="A441" s="190">
        <v>43385</v>
      </c>
      <c r="B441">
        <v>1011</v>
      </c>
    </row>
    <row r="442" spans="1:2">
      <c r="A442" s="190">
        <v>43392</v>
      </c>
      <c r="B442">
        <v>1024</v>
      </c>
    </row>
    <row r="443" spans="1:2">
      <c r="A443" s="190">
        <v>43399</v>
      </c>
      <c r="B443">
        <v>1059</v>
      </c>
    </row>
    <row r="444" spans="1:2">
      <c r="A444" s="190">
        <v>43406</v>
      </c>
      <c r="B444">
        <v>1068</v>
      </c>
    </row>
    <row r="445" spans="1:2">
      <c r="A445" s="190">
        <v>43413</v>
      </c>
      <c r="B445">
        <v>1067</v>
      </c>
    </row>
    <row r="446" spans="1:2">
      <c r="A446" s="190">
        <v>43420</v>
      </c>
      <c r="B446">
        <v>1042</v>
      </c>
    </row>
    <row r="447" spans="1:2">
      <c r="A447" s="190">
        <v>43427</v>
      </c>
      <c r="B447">
        <v>1048</v>
      </c>
    </row>
    <row r="448" spans="1:2">
      <c r="A448" s="190">
        <v>43434</v>
      </c>
      <c r="B448">
        <v>1069</v>
      </c>
    </row>
    <row r="449" spans="1:2">
      <c r="A449" s="190">
        <v>43441</v>
      </c>
      <c r="B449">
        <v>1046</v>
      </c>
    </row>
    <row r="450" spans="1:2">
      <c r="A450" s="190">
        <v>43448</v>
      </c>
      <c r="B450">
        <v>1046</v>
      </c>
    </row>
    <row r="451" spans="1:2">
      <c r="A451" s="190">
        <v>43455</v>
      </c>
      <c r="B451">
        <v>1042</v>
      </c>
    </row>
    <row r="452" spans="1:2">
      <c r="A452" s="190">
        <v>43462</v>
      </c>
      <c r="B452">
        <v>1011</v>
      </c>
    </row>
    <row r="453" spans="1:2">
      <c r="A453" s="190">
        <v>43469</v>
      </c>
      <c r="B453">
        <v>1000</v>
      </c>
    </row>
    <row r="454" spans="1:2">
      <c r="A454" s="190">
        <v>43476</v>
      </c>
      <c r="B454">
        <v>1051</v>
      </c>
    </row>
    <row r="455" spans="1:2">
      <c r="A455" s="190">
        <v>43483</v>
      </c>
      <c r="B455">
        <v>1031</v>
      </c>
    </row>
    <row r="456" spans="1:2">
      <c r="A456" s="190">
        <v>43490</v>
      </c>
      <c r="B456">
        <v>1012</v>
      </c>
    </row>
    <row r="457" spans="1:2">
      <c r="A457" s="190">
        <v>43497</v>
      </c>
      <c r="B457">
        <v>967</v>
      </c>
    </row>
    <row r="458" spans="1:2">
      <c r="A458" s="190">
        <v>43504</v>
      </c>
      <c r="B458">
        <v>1029</v>
      </c>
    </row>
    <row r="459" spans="1:2">
      <c r="A459" s="190">
        <v>43511</v>
      </c>
      <c r="B459">
        <v>996</v>
      </c>
    </row>
    <row r="460" spans="1:2">
      <c r="A460" s="190">
        <v>43518</v>
      </c>
      <c r="B460">
        <v>1028</v>
      </c>
    </row>
    <row r="461" spans="1:2">
      <c r="A461" s="190">
        <v>43525</v>
      </c>
      <c r="B461">
        <v>1024</v>
      </c>
    </row>
    <row r="462" spans="1:2">
      <c r="A462" s="190">
        <v>43532</v>
      </c>
      <c r="B462">
        <v>1005</v>
      </c>
    </row>
    <row r="463" spans="1:2">
      <c r="A463" s="190">
        <v>43539</v>
      </c>
      <c r="B463">
        <v>1004</v>
      </c>
    </row>
    <row r="464" spans="1:2">
      <c r="A464" s="190">
        <v>43546</v>
      </c>
      <c r="B464">
        <v>975</v>
      </c>
    </row>
    <row r="465" spans="1:2">
      <c r="A465" s="190">
        <v>43553</v>
      </c>
      <c r="B465">
        <v>999</v>
      </c>
    </row>
    <row r="466" spans="1:2">
      <c r="A466" s="190">
        <v>43560</v>
      </c>
      <c r="B466">
        <v>1002</v>
      </c>
    </row>
    <row r="467" spans="1:2">
      <c r="A467" s="190">
        <v>43567</v>
      </c>
      <c r="B467">
        <v>1016</v>
      </c>
    </row>
    <row r="468" spans="1:2">
      <c r="A468" s="190">
        <v>43574</v>
      </c>
      <c r="B468">
        <v>1048</v>
      </c>
    </row>
    <row r="469" spans="1:2">
      <c r="A469" s="190">
        <v>43581</v>
      </c>
      <c r="B469">
        <v>1024</v>
      </c>
    </row>
    <row r="470" spans="1:2">
      <c r="A470" s="190">
        <v>43588</v>
      </c>
      <c r="B470">
        <v>1036</v>
      </c>
    </row>
    <row r="471" spans="1:2">
      <c r="A471" s="190">
        <v>43595</v>
      </c>
      <c r="B471">
        <v>1051</v>
      </c>
    </row>
    <row r="472" spans="1:2">
      <c r="A472" s="190">
        <v>43602</v>
      </c>
      <c r="B472">
        <v>1071</v>
      </c>
    </row>
    <row r="473" spans="1:2">
      <c r="A473" s="190">
        <v>43609</v>
      </c>
      <c r="B473">
        <v>1057</v>
      </c>
    </row>
    <row r="474" spans="1:2">
      <c r="A474" s="190">
        <v>43616</v>
      </c>
      <c r="B474">
        <v>1044</v>
      </c>
    </row>
    <row r="475" spans="1:2">
      <c r="A475" s="190">
        <v>43623</v>
      </c>
      <c r="B475">
        <v>1096</v>
      </c>
    </row>
    <row r="476" spans="1:2">
      <c r="A476" s="190">
        <v>43630</v>
      </c>
      <c r="B476">
        <v>1081</v>
      </c>
    </row>
    <row r="477" spans="1:2">
      <c r="A477" s="190">
        <v>43637</v>
      </c>
      <c r="B477">
        <v>1072</v>
      </c>
    </row>
    <row r="478" spans="1:2">
      <c r="A478" s="190">
        <v>43644</v>
      </c>
      <c r="B478">
        <v>1081</v>
      </c>
    </row>
    <row r="479" spans="1:2">
      <c r="A479" s="190">
        <v>43651</v>
      </c>
      <c r="B479">
        <v>1047</v>
      </c>
    </row>
    <row r="480" spans="1:2">
      <c r="A480" s="190">
        <v>43658</v>
      </c>
      <c r="B480">
        <v>1066</v>
      </c>
    </row>
    <row r="481" spans="1:2">
      <c r="A481" s="190">
        <v>43665</v>
      </c>
      <c r="B481">
        <v>1039</v>
      </c>
    </row>
    <row r="482" spans="1:2">
      <c r="A482" s="190">
        <v>43672</v>
      </c>
      <c r="B482">
        <v>1031</v>
      </c>
    </row>
    <row r="483" spans="1:2">
      <c r="A483" s="190">
        <v>43679</v>
      </c>
      <c r="B483">
        <v>1040</v>
      </c>
    </row>
    <row r="484" spans="1:2">
      <c r="A484" s="190">
        <v>43686</v>
      </c>
      <c r="B484">
        <v>1045</v>
      </c>
    </row>
    <row r="485" spans="1:2">
      <c r="A485" s="190">
        <v>43693</v>
      </c>
      <c r="B485">
        <v>1023</v>
      </c>
    </row>
    <row r="486" spans="1:2">
      <c r="A486" s="190">
        <v>43700</v>
      </c>
      <c r="B486">
        <v>1038</v>
      </c>
    </row>
    <row r="487" spans="1:2">
      <c r="A487" s="190">
        <v>43707</v>
      </c>
      <c r="B487">
        <v>1013</v>
      </c>
    </row>
    <row r="488" spans="1:2">
      <c r="A488" s="190">
        <v>43714</v>
      </c>
      <c r="B488">
        <v>1023</v>
      </c>
    </row>
    <row r="489" spans="1:2">
      <c r="A489" s="190">
        <v>43721</v>
      </c>
      <c r="B489">
        <v>1003</v>
      </c>
    </row>
    <row r="490" spans="1:2">
      <c r="A490" s="190">
        <v>43728</v>
      </c>
      <c r="B490">
        <v>943</v>
      </c>
    </row>
    <row r="491" spans="1:2">
      <c r="A491" s="190">
        <v>43735</v>
      </c>
      <c r="B491">
        <v>958</v>
      </c>
    </row>
    <row r="492" spans="1:2">
      <c r="A492" s="190">
        <v>43742</v>
      </c>
      <c r="B492">
        <v>963</v>
      </c>
    </row>
    <row r="493" spans="1:2">
      <c r="A493" s="190">
        <v>43749</v>
      </c>
      <c r="B493">
        <v>971</v>
      </c>
    </row>
    <row r="494" spans="1:2">
      <c r="A494" s="190">
        <v>43756</v>
      </c>
      <c r="B494">
        <v>996</v>
      </c>
    </row>
    <row r="495" spans="1:2">
      <c r="A495" s="190">
        <v>43763</v>
      </c>
      <c r="B495">
        <v>1004</v>
      </c>
    </row>
    <row r="496" spans="1:2">
      <c r="A496" s="190">
        <v>43770</v>
      </c>
      <c r="B496">
        <v>1014</v>
      </c>
    </row>
    <row r="497" spans="1:2">
      <c r="A497" s="190">
        <v>43777</v>
      </c>
      <c r="B497">
        <v>1030</v>
      </c>
    </row>
    <row r="498" spans="1:2">
      <c r="A498" s="190">
        <v>43784</v>
      </c>
      <c r="B498">
        <v>1033</v>
      </c>
    </row>
    <row r="499" spans="1:2">
      <c r="A499" s="190">
        <v>43791</v>
      </c>
      <c r="B499">
        <v>1059</v>
      </c>
    </row>
    <row r="500" spans="1:2">
      <c r="A500" s="190">
        <v>43798</v>
      </c>
      <c r="B500">
        <v>1060</v>
      </c>
    </row>
    <row r="501" spans="1:2">
      <c r="A501" s="190">
        <v>43805</v>
      </c>
      <c r="B501">
        <v>1072</v>
      </c>
    </row>
    <row r="502" spans="1:2">
      <c r="A502" s="190">
        <v>43812</v>
      </c>
      <c r="B502">
        <v>1064</v>
      </c>
    </row>
    <row r="503" spans="1:2">
      <c r="A503" s="190">
        <v>43819</v>
      </c>
      <c r="B503">
        <v>1083</v>
      </c>
    </row>
    <row r="504" spans="1:2">
      <c r="A504" s="190">
        <v>43826</v>
      </c>
      <c r="B504">
        <v>1066</v>
      </c>
    </row>
    <row r="505" spans="1:2">
      <c r="A505" s="190">
        <v>43833</v>
      </c>
      <c r="B505">
        <v>1062</v>
      </c>
    </row>
    <row r="506" spans="1:2">
      <c r="A506" s="190">
        <v>43840</v>
      </c>
      <c r="B506">
        <v>1095</v>
      </c>
    </row>
    <row r="507" spans="1:2">
      <c r="A507" s="190">
        <v>43847</v>
      </c>
      <c r="B507">
        <v>1049</v>
      </c>
    </row>
    <row r="508" spans="1:2">
      <c r="A508" s="190">
        <v>43854</v>
      </c>
      <c r="B508">
        <v>1029</v>
      </c>
    </row>
    <row r="509" spans="1:2">
      <c r="A509" s="190">
        <v>43861</v>
      </c>
      <c r="B509">
        <v>1081</v>
      </c>
    </row>
    <row r="510" spans="1:2">
      <c r="A510" s="190">
        <v>43868</v>
      </c>
      <c r="B510">
        <v>1033</v>
      </c>
    </row>
    <row r="511" spans="1:2">
      <c r="A511" s="190">
        <v>43875</v>
      </c>
      <c r="B511">
        <v>1040</v>
      </c>
    </row>
    <row r="512" spans="1:2">
      <c r="A512" s="190">
        <v>43882</v>
      </c>
      <c r="B512">
        <v>1054</v>
      </c>
    </row>
    <row r="513" spans="1:2">
      <c r="A513" s="190">
        <v>43889</v>
      </c>
      <c r="B513">
        <v>1079</v>
      </c>
    </row>
    <row r="514" spans="1:2">
      <c r="A514" s="190">
        <v>43896</v>
      </c>
      <c r="B514">
        <v>1044</v>
      </c>
    </row>
    <row r="515" spans="1:2">
      <c r="A515" s="190">
        <v>43903</v>
      </c>
      <c r="B515">
        <v>1035</v>
      </c>
    </row>
    <row r="516" spans="1:2">
      <c r="A516" s="190">
        <v>43910</v>
      </c>
      <c r="B516">
        <v>1005</v>
      </c>
    </row>
    <row r="517" spans="1:2">
      <c r="A517" s="190">
        <v>43917</v>
      </c>
      <c r="B517">
        <v>840</v>
      </c>
    </row>
    <row r="518" spans="1:2">
      <c r="A518" s="190">
        <v>43924</v>
      </c>
      <c r="B518">
        <v>672</v>
      </c>
    </row>
    <row r="519" spans="1:2">
      <c r="A519" s="190">
        <v>43931</v>
      </c>
      <c r="B519">
        <v>570</v>
      </c>
    </row>
    <row r="520" spans="1:2">
      <c r="A520" s="190">
        <v>43938</v>
      </c>
      <c r="B520">
        <v>563</v>
      </c>
    </row>
    <row r="521" spans="1:2">
      <c r="A521" s="190">
        <v>43945</v>
      </c>
      <c r="B521">
        <v>537</v>
      </c>
    </row>
    <row r="522" spans="1:2">
      <c r="A522" s="190">
        <v>43952</v>
      </c>
      <c r="B522">
        <v>598</v>
      </c>
    </row>
    <row r="523" spans="1:2">
      <c r="A523" s="190">
        <v>43959</v>
      </c>
      <c r="B523">
        <v>617</v>
      </c>
    </row>
    <row r="524" spans="1:2">
      <c r="A524" s="190">
        <v>43966</v>
      </c>
      <c r="B524">
        <v>663</v>
      </c>
    </row>
    <row r="525" spans="1:2">
      <c r="A525" s="190">
        <v>43973</v>
      </c>
      <c r="B525">
        <v>724</v>
      </c>
    </row>
    <row r="526" spans="1:2">
      <c r="A526" s="190">
        <v>43980</v>
      </c>
      <c r="B526">
        <v>765</v>
      </c>
    </row>
    <row r="527" spans="1:2">
      <c r="A527" s="190">
        <v>43987</v>
      </c>
      <c r="B527">
        <v>837</v>
      </c>
    </row>
    <row r="528" spans="1:2">
      <c r="A528" s="190">
        <v>43994</v>
      </c>
      <c r="B528">
        <v>841</v>
      </c>
    </row>
    <row r="529" spans="1:2">
      <c r="A529" s="190">
        <v>44001</v>
      </c>
      <c r="B529">
        <v>893</v>
      </c>
    </row>
    <row r="530" spans="1:2">
      <c r="A530" s="190">
        <v>44008</v>
      </c>
      <c r="B530">
        <v>900</v>
      </c>
    </row>
    <row r="531" spans="1:2">
      <c r="A531" s="190">
        <v>44015</v>
      </c>
      <c r="B531">
        <v>914</v>
      </c>
    </row>
    <row r="532" spans="1:2">
      <c r="A532" s="190">
        <v>44022</v>
      </c>
      <c r="B532">
        <v>931</v>
      </c>
    </row>
    <row r="533" spans="1:2">
      <c r="A533" s="190">
        <v>44029</v>
      </c>
      <c r="B533">
        <v>908</v>
      </c>
    </row>
    <row r="534" spans="1:2">
      <c r="A534" s="190">
        <v>44036</v>
      </c>
      <c r="B534">
        <v>958</v>
      </c>
    </row>
    <row r="535" spans="1:2">
      <c r="A535" s="190">
        <v>44043</v>
      </c>
      <c r="B535">
        <v>931</v>
      </c>
    </row>
    <row r="536" spans="1:2">
      <c r="A536" s="190">
        <v>44050</v>
      </c>
      <c r="B536">
        <v>918</v>
      </c>
    </row>
    <row r="537" spans="1:2">
      <c r="A537" s="190">
        <v>44057</v>
      </c>
      <c r="B537">
        <v>926</v>
      </c>
    </row>
    <row r="538" spans="1:2">
      <c r="A538" s="190">
        <v>44064</v>
      </c>
      <c r="B538">
        <v>931</v>
      </c>
    </row>
    <row r="539" spans="1:2">
      <c r="A539" s="190">
        <v>44071</v>
      </c>
      <c r="B539">
        <v>922</v>
      </c>
    </row>
    <row r="540" spans="1:2">
      <c r="A540" s="190">
        <v>44078</v>
      </c>
      <c r="B540">
        <v>941</v>
      </c>
    </row>
    <row r="541" spans="1:2">
      <c r="A541" s="190">
        <v>44085</v>
      </c>
      <c r="B541">
        <v>926</v>
      </c>
    </row>
    <row r="542" spans="1:2">
      <c r="A542" s="190">
        <v>44092</v>
      </c>
      <c r="B542">
        <v>906</v>
      </c>
    </row>
    <row r="543" spans="1:2">
      <c r="A543" s="190">
        <v>44099</v>
      </c>
      <c r="B543">
        <v>881</v>
      </c>
    </row>
    <row r="544" spans="1:2">
      <c r="A544" s="190">
        <v>44106</v>
      </c>
      <c r="B544">
        <v>923</v>
      </c>
    </row>
    <row r="545" spans="1:2">
      <c r="A545" s="190">
        <v>44113</v>
      </c>
      <c r="B545">
        <v>937</v>
      </c>
    </row>
    <row r="546" spans="1:2">
      <c r="A546" s="190">
        <v>44120</v>
      </c>
      <c r="B546">
        <v>913</v>
      </c>
    </row>
    <row r="547" spans="1:2">
      <c r="A547" s="190">
        <v>44127</v>
      </c>
      <c r="B547">
        <v>941</v>
      </c>
    </row>
    <row r="548" spans="1:2">
      <c r="A548" s="190">
        <v>44134</v>
      </c>
      <c r="B548">
        <v>961</v>
      </c>
    </row>
  </sheetData>
  <hyperlinks>
    <hyperlink ref="B3" r:id="rId1" xr:uid="{D80D4AA2-4B31-4ACD-9AFC-9CC5E7BE0BA7}"/>
    <hyperlink ref="C3" r:id="rId2" xr:uid="{62BF7B8C-838D-44A6-8889-C063CF6F4F63}"/>
    <hyperlink ref="D3" r:id="rId3" xr:uid="{56B3930E-8526-4AFF-AA75-AE776D547465}"/>
    <hyperlink ref="E3" r:id="rId4" xr:uid="{241DA40E-2B65-4E17-8CCF-2BDB488647F9}"/>
    <hyperlink ref="F3" r:id="rId5" xr:uid="{D5A53713-F1ED-4755-8AE9-446A23D5BA46}"/>
    <hyperlink ref="G3" r:id="rId6" xr:uid="{DCC45605-3EA4-4151-8F19-88AE7EBC09D1}"/>
    <hyperlink ref="I3" r:id="rId7" xr:uid="{785EE1C1-0748-41AD-B085-0810BA2E1AA6}"/>
    <hyperlink ref="J3" r:id="rId8" xr:uid="{0824EBB1-7B31-426A-9F21-11A5C39AA0D2}"/>
    <hyperlink ref="L3" r:id="rId9" xr:uid="{5ABBA14B-68E9-4E2F-A79E-34AD6C0B39AA}"/>
    <hyperlink ref="M3" r:id="rId10" xr:uid="{E660E030-F3F6-47F6-B88E-BC9A6F8B5687}"/>
    <hyperlink ref="R3" r:id="rId11" xr:uid="{6BC415B4-4511-48E4-B081-0F1E20290386}"/>
    <hyperlink ref="S3" r:id="rId12" xr:uid="{21E73023-2B7A-4AA8-B045-4528FACF830C}"/>
  </hyperlinks>
  <pageMargins left="0.7" right="0.7" top="0.75" bottom="0.75" header="0.3" footer="0.3"/>
  <pageSetup orientation="portrait" r:id="rId1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FA6F-9B08-47A9-82E9-C09056ADD563}">
  <dimension ref="A1:AS125"/>
  <sheetViews>
    <sheetView zoomScale="130" zoomScaleNormal="130" workbookViewId="0">
      <pane xSplit="1" ySplit="2" topLeftCell="X104" activePane="bottomRight" state="frozen"/>
      <selection activeCell="J39" sqref="J39"/>
      <selection pane="topRight" activeCell="J39" sqref="J39"/>
      <selection pane="bottomLeft" activeCell="J39" sqref="J39"/>
      <selection pane="bottomRight" activeCell="J39" sqref="J39"/>
    </sheetView>
  </sheetViews>
  <sheetFormatPr defaultColWidth="9.140625" defaultRowHeight="11.25"/>
  <cols>
    <col min="1" max="1" width="32" style="69" customWidth="1"/>
    <col min="2" max="31" width="9.140625" style="69"/>
    <col min="32" max="32" width="11" style="69" customWidth="1"/>
    <col min="33" max="16384" width="9.140625" style="69"/>
  </cols>
  <sheetData>
    <row r="1" spans="1:45" ht="12" thickBot="1">
      <c r="A1" s="83" t="s">
        <v>330</v>
      </c>
      <c r="AF1" s="193"/>
      <c r="AG1" s="194"/>
      <c r="AH1" s="193"/>
      <c r="AI1" s="193"/>
      <c r="AJ1" s="193"/>
      <c r="AK1" s="193"/>
      <c r="AL1" s="193"/>
      <c r="AM1" s="193"/>
      <c r="AN1" s="195"/>
      <c r="AP1" s="195"/>
      <c r="AQ1" s="193"/>
      <c r="AR1" s="193"/>
      <c r="AS1" s="193"/>
    </row>
    <row r="2" spans="1:45" ht="12" thickBot="1">
      <c r="A2" s="196"/>
      <c r="B2" s="197" t="str">
        <f>'DDG Balance Sheet'!B2</f>
        <v xml:space="preserve">93/94 </v>
      </c>
      <c r="C2" s="197" t="str">
        <f>'DDG Balance Sheet'!C2</f>
        <v xml:space="preserve">94/95 </v>
      </c>
      <c r="D2" s="197" t="str">
        <f>'DDG Balance Sheet'!D2</f>
        <v xml:space="preserve">95/96 </v>
      </c>
      <c r="E2" s="197" t="str">
        <f>'DDG Balance Sheet'!E2</f>
        <v xml:space="preserve">96/97 </v>
      </c>
      <c r="F2" s="197" t="str">
        <f>'DDG Balance Sheet'!F2</f>
        <v xml:space="preserve">97/98 </v>
      </c>
      <c r="G2" s="197" t="str">
        <f>'DDG Balance Sheet'!G2</f>
        <v xml:space="preserve">98/99 </v>
      </c>
      <c r="H2" s="197" t="str">
        <f>'DDG Balance Sheet'!H2</f>
        <v xml:space="preserve">99/00 </v>
      </c>
      <c r="I2" s="197" t="str">
        <f>'DDG Balance Sheet'!I2</f>
        <v xml:space="preserve">00/01 </v>
      </c>
      <c r="J2" s="197" t="str">
        <f>'DDG Balance Sheet'!J2</f>
        <v xml:space="preserve">01/02 </v>
      </c>
      <c r="K2" s="197" t="str">
        <f>'DDG Balance Sheet'!K2</f>
        <v xml:space="preserve">02/03 </v>
      </c>
      <c r="L2" s="197" t="str">
        <f>'DDG Balance Sheet'!L2</f>
        <v xml:space="preserve">03/04 </v>
      </c>
      <c r="M2" s="197" t="str">
        <f>'DDG Balance Sheet'!M2</f>
        <v xml:space="preserve">04/05 </v>
      </c>
      <c r="N2" s="197" t="str">
        <f>'DDG Balance Sheet'!N2</f>
        <v xml:space="preserve">05/06 </v>
      </c>
      <c r="O2" s="197" t="str">
        <f>'DDG Balance Sheet'!O2</f>
        <v xml:space="preserve">06/07 </v>
      </c>
      <c r="P2" s="197" t="str">
        <f>'DDG Balance Sheet'!P2</f>
        <v xml:space="preserve">07/08 </v>
      </c>
      <c r="Q2" s="197" t="str">
        <f>'DDG Balance Sheet'!Q2</f>
        <v xml:space="preserve">08/09 </v>
      </c>
      <c r="R2" s="197" t="str">
        <f>'DDG Balance Sheet'!R2</f>
        <v xml:space="preserve">09/10 </v>
      </c>
      <c r="S2" s="197" t="str">
        <f>'DDG Balance Sheet'!S2</f>
        <v xml:space="preserve">10/11 </v>
      </c>
      <c r="T2" s="197" t="str">
        <f>'DDG Balance Sheet'!T2</f>
        <v xml:space="preserve">11/12 </v>
      </c>
      <c r="U2" s="197" t="str">
        <f>'DDG Balance Sheet'!U2</f>
        <v xml:space="preserve">12/13 </v>
      </c>
      <c r="V2" s="197" t="str">
        <f>'DDG Balance Sheet'!V2</f>
        <v xml:space="preserve">13/14 </v>
      </c>
      <c r="W2" s="197" t="str">
        <f>'DDG Balance Sheet'!W2</f>
        <v xml:space="preserve">14/15 </v>
      </c>
      <c r="X2" s="197" t="str">
        <f>'DDG Balance Sheet'!X2</f>
        <v xml:space="preserve">15/16 </v>
      </c>
      <c r="Y2" s="197" t="str">
        <f>'DDG Balance Sheet'!Y2</f>
        <v xml:space="preserve">16/17 </v>
      </c>
      <c r="Z2" s="197" t="str">
        <f>'DDG Balance Sheet'!Z2</f>
        <v xml:space="preserve">17/18 </v>
      </c>
      <c r="AA2" s="197" t="str">
        <f>'DDG Balance Sheet'!AA2</f>
        <v xml:space="preserve">18/19 </v>
      </c>
      <c r="AB2" s="197" t="str">
        <f>'DDG Balance Sheet'!AB2</f>
        <v xml:space="preserve">19/20 </v>
      </c>
      <c r="AC2" s="197" t="str">
        <f>'DDG Balance Sheet'!AC2</f>
        <v xml:space="preserve">20/21 </v>
      </c>
      <c r="AD2" s="197" t="str">
        <f>'DDG Balance Sheet'!AD2</f>
        <v>21/22</v>
      </c>
      <c r="AE2" s="197" t="str">
        <f>'DDG Balance Sheet'!AE2</f>
        <v>22/23</v>
      </c>
      <c r="AF2" s="197" t="str">
        <f>'DDG Balance Sheet'!AF2</f>
        <v>23/24</v>
      </c>
      <c r="AG2" s="197" t="str">
        <f>'DDG Balance Sheet'!AG2</f>
        <v>24/25</v>
      </c>
      <c r="AH2" s="197" t="str">
        <f>'DDG Balance Sheet'!AH2</f>
        <v>25/26</v>
      </c>
      <c r="AI2" s="197" t="str">
        <f>'DDG Balance Sheet'!AI2</f>
        <v>26/27</v>
      </c>
      <c r="AJ2" s="197" t="str">
        <f>'DDG Balance Sheet'!AJ2</f>
        <v>27/28</v>
      </c>
      <c r="AK2" s="197" t="str">
        <f>'DDG Balance Sheet'!AK2</f>
        <v>28/29</v>
      </c>
      <c r="AL2" s="197" t="str">
        <f>'DDG Balance Sheet'!AL2</f>
        <v>29/30</v>
      </c>
      <c r="AN2" s="198"/>
      <c r="AP2" s="198"/>
      <c r="AQ2" s="198"/>
      <c r="AR2" s="198"/>
      <c r="AS2" s="198"/>
    </row>
    <row r="3" spans="1:45">
      <c r="A3" s="199" t="s">
        <v>331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</row>
    <row r="4" spans="1:45">
      <c r="A4" s="82" t="s">
        <v>332</v>
      </c>
      <c r="B4" s="80">
        <v>0</v>
      </c>
      <c r="C4" s="80">
        <f>B11</f>
        <v>0</v>
      </c>
      <c r="D4" s="80">
        <f t="shared" ref="D4:AL4" si="0">C11</f>
        <v>0</v>
      </c>
      <c r="E4" s="80">
        <f t="shared" si="0"/>
        <v>0</v>
      </c>
      <c r="F4" s="80">
        <f t="shared" si="0"/>
        <v>0</v>
      </c>
      <c r="G4" s="80">
        <f t="shared" si="0"/>
        <v>0</v>
      </c>
      <c r="H4" s="80">
        <f t="shared" si="0"/>
        <v>0</v>
      </c>
      <c r="I4" s="80">
        <f t="shared" si="0"/>
        <v>0</v>
      </c>
      <c r="J4" s="80">
        <f t="shared" si="0"/>
        <v>0</v>
      </c>
      <c r="K4" s="80">
        <f t="shared" si="0"/>
        <v>0</v>
      </c>
      <c r="L4" s="80">
        <f t="shared" si="0"/>
        <v>0</v>
      </c>
      <c r="M4" s="80">
        <f t="shared" si="0"/>
        <v>0</v>
      </c>
      <c r="N4" s="80">
        <f t="shared" si="0"/>
        <v>0</v>
      </c>
      <c r="O4" s="80">
        <f t="shared" si="0"/>
        <v>0</v>
      </c>
      <c r="P4" s="80">
        <f t="shared" si="0"/>
        <v>0</v>
      </c>
      <c r="Q4" s="80">
        <f t="shared" si="0"/>
        <v>0</v>
      </c>
      <c r="R4" s="80">
        <f t="shared" si="0"/>
        <v>0</v>
      </c>
      <c r="S4" s="80">
        <f t="shared" si="0"/>
        <v>0</v>
      </c>
      <c r="T4" s="80">
        <f t="shared" si="0"/>
        <v>0</v>
      </c>
      <c r="U4" s="80">
        <f t="shared" si="0"/>
        <v>0</v>
      </c>
      <c r="V4" s="80">
        <f t="shared" si="0"/>
        <v>0</v>
      </c>
      <c r="W4" s="80">
        <f t="shared" si="0"/>
        <v>0</v>
      </c>
      <c r="X4" s="80">
        <f t="shared" si="0"/>
        <v>0</v>
      </c>
      <c r="Y4" s="80">
        <f t="shared" si="0"/>
        <v>0</v>
      </c>
      <c r="Z4" s="80">
        <f t="shared" si="0"/>
        <v>0</v>
      </c>
      <c r="AA4" s="118">
        <f t="shared" si="0"/>
        <v>0</v>
      </c>
      <c r="AB4" s="118">
        <f t="shared" si="0"/>
        <v>0</v>
      </c>
      <c r="AC4" s="118">
        <f t="shared" si="0"/>
        <v>0</v>
      </c>
      <c r="AD4" s="118">
        <f t="shared" si="0"/>
        <v>0</v>
      </c>
      <c r="AE4" s="118">
        <f t="shared" si="0"/>
        <v>0</v>
      </c>
      <c r="AF4" s="118">
        <f t="shared" si="0"/>
        <v>0</v>
      </c>
      <c r="AG4" s="118">
        <f t="shared" si="0"/>
        <v>0</v>
      </c>
      <c r="AH4" s="81">
        <f t="shared" si="0"/>
        <v>0</v>
      </c>
      <c r="AI4" s="81">
        <f t="shared" si="0"/>
        <v>0</v>
      </c>
      <c r="AJ4" s="81">
        <f t="shared" si="0"/>
        <v>0</v>
      </c>
      <c r="AK4" s="81">
        <f t="shared" si="0"/>
        <v>0</v>
      </c>
      <c r="AL4" s="81">
        <f t="shared" si="0"/>
        <v>0</v>
      </c>
    </row>
    <row r="5" spans="1:45">
      <c r="A5" s="69" t="s">
        <v>124</v>
      </c>
      <c r="B5" s="76">
        <f>B29</f>
        <v>1562.3558898834663</v>
      </c>
      <c r="C5" s="76">
        <f t="shared" ref="C5:AL5" si="1">C29</f>
        <v>1611.8636210651982</v>
      </c>
      <c r="D5" s="76">
        <f t="shared" si="1"/>
        <v>1555.6238212264959</v>
      </c>
      <c r="E5" s="76">
        <f t="shared" si="1"/>
        <v>1573.498200598561</v>
      </c>
      <c r="F5" s="76">
        <f t="shared" si="1"/>
        <v>1645.069426867735</v>
      </c>
      <c r="G5" s="76">
        <f t="shared" si="1"/>
        <v>1657.4647868583972</v>
      </c>
      <c r="H5" s="76">
        <f t="shared" si="1"/>
        <v>1688.5084684207393</v>
      </c>
      <c r="I5" s="76">
        <f t="shared" si="1"/>
        <v>1693.7172222721172</v>
      </c>
      <c r="J5" s="76">
        <f t="shared" si="1"/>
        <v>1741.025974823197</v>
      </c>
      <c r="K5" s="76">
        <f t="shared" si="1"/>
        <v>1773.9000911116132</v>
      </c>
      <c r="L5" s="76">
        <f t="shared" si="1"/>
        <v>1733.2128440461297</v>
      </c>
      <c r="M5" s="76">
        <f t="shared" si="1"/>
        <v>1738.9375593639181</v>
      </c>
      <c r="N5" s="76">
        <f t="shared" si="1"/>
        <v>1779.8459327721487</v>
      </c>
      <c r="O5" s="76">
        <f t="shared" si="1"/>
        <v>1779.7637191318961</v>
      </c>
      <c r="P5" s="76">
        <f t="shared" si="1"/>
        <v>1752.4681172668149</v>
      </c>
      <c r="Q5" s="76">
        <f t="shared" si="1"/>
        <v>1748.4835835803144</v>
      </c>
      <c r="R5" s="76">
        <f t="shared" si="1"/>
        <v>1537.2834322618573</v>
      </c>
      <c r="S5" s="76">
        <f t="shared" si="1"/>
        <v>1472.1642757806098</v>
      </c>
      <c r="T5" s="76">
        <f t="shared" si="1"/>
        <v>1611.3541824354929</v>
      </c>
      <c r="U5" s="76">
        <f t="shared" si="1"/>
        <v>1825.7006848450185</v>
      </c>
      <c r="V5" s="76">
        <f t="shared" si="1"/>
        <v>1799.7617626034908</v>
      </c>
      <c r="W5" s="76">
        <f t="shared" si="1"/>
        <v>1295.9018983083301</v>
      </c>
      <c r="X5" s="76">
        <f t="shared" si="1"/>
        <v>1040.06</v>
      </c>
      <c r="Y5" s="76">
        <f t="shared" si="1"/>
        <v>1051.7440000000001</v>
      </c>
      <c r="Z5" s="76">
        <f>Z29</f>
        <v>1104.174</v>
      </c>
      <c r="AA5" s="76">
        <f t="shared" si="1"/>
        <v>1059.53</v>
      </c>
      <c r="AB5" s="76">
        <f t="shared" si="1"/>
        <v>1069.296</v>
      </c>
      <c r="AC5" s="76">
        <f t="shared" si="1"/>
        <v>1293.1790000000001</v>
      </c>
      <c r="AD5" s="76">
        <f t="shared" si="1"/>
        <v>1236.7570000000001</v>
      </c>
      <c r="AE5" s="76">
        <f t="shared" si="1"/>
        <v>1355.221</v>
      </c>
      <c r="AF5" s="76">
        <f t="shared" si="1"/>
        <v>1359.739</v>
      </c>
      <c r="AG5" s="88">
        <f t="shared" si="1"/>
        <v>1245.17449810619</v>
      </c>
      <c r="AH5" s="88">
        <f t="shared" si="1"/>
        <v>1297.433511764365</v>
      </c>
      <c r="AI5" s="88">
        <f t="shared" si="1"/>
        <v>1300.5867293527374</v>
      </c>
      <c r="AJ5" s="88">
        <f t="shared" si="1"/>
        <v>1309.2986984601321</v>
      </c>
      <c r="AK5" s="88">
        <f t="shared" si="1"/>
        <v>1294.4165921591275</v>
      </c>
      <c r="AL5" s="88">
        <f t="shared" si="1"/>
        <v>1284.9838678987724</v>
      </c>
    </row>
    <row r="6" spans="1:45">
      <c r="A6" s="69" t="s">
        <v>125</v>
      </c>
      <c r="B6" s="76">
        <f>B61</f>
        <v>5.8989999617266387</v>
      </c>
      <c r="C6" s="76">
        <f t="shared" ref="C6:AF6" si="2">C61</f>
        <v>9.8329999362024125</v>
      </c>
      <c r="D6" s="76">
        <f t="shared" si="2"/>
        <v>14.476999906071633</v>
      </c>
      <c r="E6" s="76">
        <f t="shared" si="2"/>
        <v>13.420999912923076</v>
      </c>
      <c r="F6" s="76">
        <f t="shared" si="2"/>
        <v>12.246999920540118</v>
      </c>
      <c r="G6" s="76">
        <f t="shared" si="2"/>
        <v>11.39699992605501</v>
      </c>
      <c r="H6" s="76">
        <f t="shared" si="2"/>
        <v>13.388999913130693</v>
      </c>
      <c r="I6" s="76">
        <f t="shared" si="2"/>
        <v>10.931999929071981</v>
      </c>
      <c r="J6" s="76">
        <f t="shared" si="2"/>
        <v>14.136999908277589</v>
      </c>
      <c r="K6" s="76">
        <f t="shared" si="2"/>
        <v>13.925999909646579</v>
      </c>
      <c r="L6" s="76">
        <f t="shared" si="2"/>
        <v>12.162999921085117</v>
      </c>
      <c r="M6" s="76">
        <f t="shared" si="2"/>
        <v>10.361999932770205</v>
      </c>
      <c r="N6" s="76">
        <f t="shared" si="2"/>
        <v>12.051999921805297</v>
      </c>
      <c r="O6" s="76">
        <f t="shared" si="2"/>
        <v>10.013999935028066</v>
      </c>
      <c r="P6" s="76">
        <f t="shared" si="2"/>
        <v>13.073999915174452</v>
      </c>
      <c r="Q6" s="76">
        <f t="shared" si="2"/>
        <v>7.669999950236198</v>
      </c>
      <c r="R6" s="76">
        <f t="shared" si="2"/>
        <v>6.9619999548297784</v>
      </c>
      <c r="S6" s="76">
        <f t="shared" si="2"/>
        <v>7.4099999519231057</v>
      </c>
      <c r="T6" s="76">
        <f t="shared" si="2"/>
        <v>10.636999930985974</v>
      </c>
      <c r="U6" s="76">
        <f t="shared" si="2"/>
        <v>11.003999928604836</v>
      </c>
      <c r="V6" s="76">
        <f t="shared" si="2"/>
        <v>10.287999933250322</v>
      </c>
      <c r="W6" s="76">
        <f t="shared" si="2"/>
        <v>10.974999928792991</v>
      </c>
      <c r="X6" s="76">
        <f t="shared" si="2"/>
        <v>10.370999932711811</v>
      </c>
      <c r="Y6" s="76">
        <f t="shared" si="2"/>
        <v>11.12099997816102</v>
      </c>
      <c r="Z6" s="76">
        <f t="shared" si="2"/>
        <v>13.788</v>
      </c>
      <c r="AA6" s="76">
        <f t="shared" si="2"/>
        <v>14.35</v>
      </c>
      <c r="AB6" s="76">
        <f t="shared" si="2"/>
        <v>14.250999999999998</v>
      </c>
      <c r="AC6" s="76">
        <f t="shared" si="2"/>
        <v>14.7</v>
      </c>
      <c r="AD6" s="76">
        <f t="shared" si="2"/>
        <v>25.868000000000002</v>
      </c>
      <c r="AE6" s="76">
        <f t="shared" si="2"/>
        <v>23.115000000000002</v>
      </c>
      <c r="AF6" s="76">
        <f t="shared" si="2"/>
        <v>21.781999999999996</v>
      </c>
      <c r="AG6" s="88">
        <v>25</v>
      </c>
      <c r="AH6" s="88">
        <v>25</v>
      </c>
      <c r="AI6" s="88">
        <v>25</v>
      </c>
      <c r="AJ6" s="88">
        <v>25</v>
      </c>
      <c r="AK6" s="88">
        <v>25</v>
      </c>
      <c r="AL6" s="88">
        <v>25</v>
      </c>
    </row>
    <row r="7" spans="1:45">
      <c r="A7" s="82" t="s">
        <v>126</v>
      </c>
      <c r="B7" s="80">
        <f>SUM(B4:B6)</f>
        <v>1568.2548898451928</v>
      </c>
      <c r="C7" s="80">
        <f t="shared" ref="C7:AC7" si="3">SUM(C4:C6)</f>
        <v>1621.6966210014007</v>
      </c>
      <c r="D7" s="80">
        <f t="shared" si="3"/>
        <v>1570.1008211325675</v>
      </c>
      <c r="E7" s="80">
        <f t="shared" si="3"/>
        <v>1586.919200511484</v>
      </c>
      <c r="F7" s="80">
        <f t="shared" si="3"/>
        <v>1657.3164267882751</v>
      </c>
      <c r="G7" s="80">
        <f t="shared" si="3"/>
        <v>1668.8617867844523</v>
      </c>
      <c r="H7" s="80">
        <f t="shared" si="3"/>
        <v>1701.8974683338699</v>
      </c>
      <c r="I7" s="80">
        <f t="shared" si="3"/>
        <v>1704.6492222011891</v>
      </c>
      <c r="J7" s="80">
        <f t="shared" si="3"/>
        <v>1755.1629747314746</v>
      </c>
      <c r="K7" s="80">
        <f t="shared" si="3"/>
        <v>1787.8260910212598</v>
      </c>
      <c r="L7" s="80">
        <f t="shared" si="3"/>
        <v>1745.3758439672149</v>
      </c>
      <c r="M7" s="80">
        <f t="shared" si="3"/>
        <v>1749.2995592966884</v>
      </c>
      <c r="N7" s="80">
        <f t="shared" si="3"/>
        <v>1791.8979326939539</v>
      </c>
      <c r="O7" s="80">
        <f t="shared" si="3"/>
        <v>1789.7777190669242</v>
      </c>
      <c r="P7" s="80">
        <f t="shared" si="3"/>
        <v>1765.5421171819894</v>
      </c>
      <c r="Q7" s="80">
        <f t="shared" si="3"/>
        <v>1756.1535835305506</v>
      </c>
      <c r="R7" s="80">
        <f t="shared" si="3"/>
        <v>1544.245432216687</v>
      </c>
      <c r="S7" s="80">
        <f t="shared" si="3"/>
        <v>1479.5742757325329</v>
      </c>
      <c r="T7" s="80">
        <f t="shared" si="3"/>
        <v>1621.9911823664788</v>
      </c>
      <c r="U7" s="80">
        <f t="shared" si="3"/>
        <v>1836.7046847736233</v>
      </c>
      <c r="V7" s="80">
        <f t="shared" si="3"/>
        <v>1810.0497625367411</v>
      </c>
      <c r="W7" s="80">
        <f t="shared" si="3"/>
        <v>1306.8768982371232</v>
      </c>
      <c r="X7" s="80">
        <f t="shared" si="3"/>
        <v>1050.4309999327118</v>
      </c>
      <c r="Y7" s="80">
        <f t="shared" si="3"/>
        <v>1062.8649999781612</v>
      </c>
      <c r="Z7" s="118">
        <f t="shared" si="3"/>
        <v>1117.962</v>
      </c>
      <c r="AA7" s="118">
        <f t="shared" si="3"/>
        <v>1073.8799999999999</v>
      </c>
      <c r="AB7" s="118">
        <f t="shared" si="3"/>
        <v>1083.547</v>
      </c>
      <c r="AC7" s="118">
        <f t="shared" si="3"/>
        <v>1307.8790000000001</v>
      </c>
      <c r="AD7" s="118">
        <f>SUM(AD4:AD6)</f>
        <v>1262.625</v>
      </c>
      <c r="AE7" s="118">
        <f t="shared" ref="AE7:AL7" si="4">SUM(AE4:AE6)</f>
        <v>1378.336</v>
      </c>
      <c r="AF7" s="118">
        <f t="shared" si="4"/>
        <v>1381.521</v>
      </c>
      <c r="AG7" s="81">
        <f t="shared" si="4"/>
        <v>1270.17449810619</v>
      </c>
      <c r="AH7" s="81">
        <f t="shared" si="4"/>
        <v>1322.433511764365</v>
      </c>
      <c r="AI7" s="81">
        <f t="shared" si="4"/>
        <v>1325.5867293527374</v>
      </c>
      <c r="AJ7" s="81">
        <f t="shared" si="4"/>
        <v>1334.2986984601321</v>
      </c>
      <c r="AK7" s="81">
        <f t="shared" si="4"/>
        <v>1319.4165921591275</v>
      </c>
      <c r="AL7" s="81">
        <f t="shared" si="4"/>
        <v>1309.9838678987724</v>
      </c>
    </row>
    <row r="8" spans="1:45">
      <c r="A8" s="69" t="s">
        <v>127</v>
      </c>
      <c r="B8" s="76">
        <f>B10-B9</f>
        <v>921.80189403945099</v>
      </c>
      <c r="C8" s="76">
        <f t="shared" ref="C8:AL8" si="5">C10-C9</f>
        <v>1013.9156249447507</v>
      </c>
      <c r="D8" s="76">
        <f t="shared" si="5"/>
        <v>797.761826143588</v>
      </c>
      <c r="E8" s="76">
        <f t="shared" si="5"/>
        <v>809.84720555321258</v>
      </c>
      <c r="F8" s="76">
        <f t="shared" si="5"/>
        <v>885.77443179412444</v>
      </c>
      <c r="G8" s="76">
        <f t="shared" si="5"/>
        <v>1023.6767909704836</v>
      </c>
      <c r="H8" s="76">
        <f t="shared" si="5"/>
        <v>1006.072472848459</v>
      </c>
      <c r="I8" s="76">
        <f t="shared" si="5"/>
        <v>914.12222733021508</v>
      </c>
      <c r="J8" s="76">
        <f t="shared" si="5"/>
        <v>936.27598004450351</v>
      </c>
      <c r="K8" s="76">
        <f t="shared" si="5"/>
        <v>973.13009630709701</v>
      </c>
      <c r="L8" s="76">
        <f t="shared" si="5"/>
        <v>842.64284982424601</v>
      </c>
      <c r="M8" s="76">
        <f t="shared" si="5"/>
        <v>885.81056489909997</v>
      </c>
      <c r="N8" s="76">
        <f t="shared" si="5"/>
        <v>890.9739385392478</v>
      </c>
      <c r="O8" s="76">
        <f t="shared" si="5"/>
        <v>802.18872547451019</v>
      </c>
      <c r="P8" s="76">
        <f t="shared" si="5"/>
        <v>667.31312430741991</v>
      </c>
      <c r="Q8" s="76">
        <f t="shared" si="5"/>
        <v>1038.3015881880533</v>
      </c>
      <c r="R8" s="76">
        <f t="shared" si="5"/>
        <v>843.53843676295105</v>
      </c>
      <c r="S8" s="76">
        <f t="shared" si="5"/>
        <v>752.38028045064755</v>
      </c>
      <c r="T8" s="76">
        <f t="shared" si="5"/>
        <v>722.71018820111283</v>
      </c>
      <c r="U8" s="76">
        <f t="shared" si="5"/>
        <v>838.98469124694043</v>
      </c>
      <c r="V8" s="76">
        <f t="shared" si="5"/>
        <v>837.13176884914014</v>
      </c>
      <c r="W8" s="76">
        <f t="shared" si="5"/>
        <v>444.66890383122347</v>
      </c>
      <c r="X8" s="76">
        <f t="shared" si="5"/>
        <v>304.50100477238766</v>
      </c>
      <c r="Y8" s="76">
        <f t="shared" si="5"/>
        <v>276.77400142947999</v>
      </c>
      <c r="Z8" s="79">
        <f t="shared" si="5"/>
        <v>318.03700000000003</v>
      </c>
      <c r="AA8" s="79">
        <f t="shared" si="5"/>
        <v>294.7679999999998</v>
      </c>
      <c r="AB8" s="79">
        <f t="shared" si="5"/>
        <v>319.1160000000001</v>
      </c>
      <c r="AC8" s="79">
        <f t="shared" si="5"/>
        <v>523.05500000000018</v>
      </c>
      <c r="AD8" s="79">
        <f t="shared" si="5"/>
        <v>587.7639999999999</v>
      </c>
      <c r="AE8" s="79">
        <f t="shared" si="5"/>
        <v>717.1690000000001</v>
      </c>
      <c r="AF8" s="79">
        <f t="shared" si="5"/>
        <v>596.03200000000004</v>
      </c>
      <c r="AG8" s="77">
        <f t="shared" si="5"/>
        <v>495.17449810618996</v>
      </c>
      <c r="AH8" s="77">
        <f t="shared" si="5"/>
        <v>547.43351176436499</v>
      </c>
      <c r="AI8" s="77">
        <f t="shared" si="5"/>
        <v>550.58672935273739</v>
      </c>
      <c r="AJ8" s="77">
        <f t="shared" si="5"/>
        <v>559.29869846013207</v>
      </c>
      <c r="AK8" s="77">
        <f t="shared" si="5"/>
        <v>544.4165921591275</v>
      </c>
      <c r="AL8" s="77">
        <f t="shared" si="5"/>
        <v>534.98386789877236</v>
      </c>
    </row>
    <row r="9" spans="1:45">
      <c r="A9" s="69" t="s">
        <v>128</v>
      </c>
      <c r="B9" s="76">
        <f>B77</f>
        <v>646.45299580574181</v>
      </c>
      <c r="C9" s="76">
        <f t="shared" ref="C9:AF9" si="6">C77</f>
        <v>607.78099605665</v>
      </c>
      <c r="D9" s="76">
        <f t="shared" si="6"/>
        <v>772.33899498897949</v>
      </c>
      <c r="E9" s="76">
        <f t="shared" si="6"/>
        <v>777.07199495827138</v>
      </c>
      <c r="F9" s="76">
        <f t="shared" si="6"/>
        <v>771.54199499415063</v>
      </c>
      <c r="G9" s="76">
        <f t="shared" si="6"/>
        <v>645.18499581396873</v>
      </c>
      <c r="H9" s="76">
        <f t="shared" si="6"/>
        <v>695.82499548541091</v>
      </c>
      <c r="I9" s="76">
        <f t="shared" si="6"/>
        <v>790.52699487097402</v>
      </c>
      <c r="J9" s="76">
        <f t="shared" si="6"/>
        <v>818.88699468697109</v>
      </c>
      <c r="K9" s="76">
        <f t="shared" si="6"/>
        <v>814.69599471416279</v>
      </c>
      <c r="L9" s="76">
        <f t="shared" si="6"/>
        <v>902.73299414296889</v>
      </c>
      <c r="M9" s="76">
        <f t="shared" si="6"/>
        <v>863.48899439758839</v>
      </c>
      <c r="N9" s="76">
        <f t="shared" si="6"/>
        <v>900.92399415470607</v>
      </c>
      <c r="O9" s="76">
        <f t="shared" si="6"/>
        <v>987.588993592414</v>
      </c>
      <c r="P9" s="76">
        <f t="shared" si="6"/>
        <v>1098.2289928745695</v>
      </c>
      <c r="Q9" s="76">
        <f t="shared" si="6"/>
        <v>717.85199534249728</v>
      </c>
      <c r="R9" s="76">
        <f t="shared" si="6"/>
        <v>700.706995453736</v>
      </c>
      <c r="S9" s="76">
        <f t="shared" si="6"/>
        <v>727.19399528188535</v>
      </c>
      <c r="T9" s="76">
        <f t="shared" si="6"/>
        <v>899.280994165366</v>
      </c>
      <c r="U9" s="76">
        <f t="shared" si="6"/>
        <v>997.71999352668286</v>
      </c>
      <c r="V9" s="76">
        <f t="shared" si="6"/>
        <v>972.91799368760098</v>
      </c>
      <c r="W9" s="76">
        <f t="shared" si="6"/>
        <v>862.20799440589974</v>
      </c>
      <c r="X9" s="76">
        <f t="shared" si="6"/>
        <v>745.9299951603241</v>
      </c>
      <c r="Y9" s="76">
        <f t="shared" si="6"/>
        <v>786.09099854868123</v>
      </c>
      <c r="Z9" s="76">
        <f t="shared" si="6"/>
        <v>799.92499999999995</v>
      </c>
      <c r="AA9" s="76">
        <f t="shared" si="6"/>
        <v>779.11200000000008</v>
      </c>
      <c r="AB9" s="76">
        <f t="shared" si="6"/>
        <v>764.43099999999993</v>
      </c>
      <c r="AC9" s="76">
        <f t="shared" si="6"/>
        <v>784.82399999999996</v>
      </c>
      <c r="AD9" s="76">
        <f t="shared" si="6"/>
        <v>674.8610000000001</v>
      </c>
      <c r="AE9" s="76">
        <f t="shared" si="6"/>
        <v>661.16699999999992</v>
      </c>
      <c r="AF9" s="76">
        <f t="shared" si="6"/>
        <v>785.48899999999992</v>
      </c>
      <c r="AG9" s="88">
        <v>775</v>
      </c>
      <c r="AH9" s="88">
        <v>775</v>
      </c>
      <c r="AI9" s="88">
        <v>775</v>
      </c>
      <c r="AJ9" s="88">
        <v>775</v>
      </c>
      <c r="AK9" s="88">
        <v>775</v>
      </c>
      <c r="AL9" s="88">
        <v>775</v>
      </c>
    </row>
    <row r="10" spans="1:45">
      <c r="A10" s="82" t="s">
        <v>129</v>
      </c>
      <c r="B10" s="80">
        <f>B7-B11</f>
        <v>1568.2548898451928</v>
      </c>
      <c r="C10" s="80">
        <f t="shared" ref="C10:AL10" si="7">C7-C11</f>
        <v>1621.6966210014007</v>
      </c>
      <c r="D10" s="80">
        <f t="shared" si="7"/>
        <v>1570.1008211325675</v>
      </c>
      <c r="E10" s="80">
        <f t="shared" si="7"/>
        <v>1586.919200511484</v>
      </c>
      <c r="F10" s="80">
        <f t="shared" si="7"/>
        <v>1657.3164267882751</v>
      </c>
      <c r="G10" s="80">
        <f t="shared" si="7"/>
        <v>1668.8617867844523</v>
      </c>
      <c r="H10" s="80">
        <f t="shared" si="7"/>
        <v>1701.8974683338699</v>
      </c>
      <c r="I10" s="80">
        <f t="shared" si="7"/>
        <v>1704.6492222011891</v>
      </c>
      <c r="J10" s="80">
        <f t="shared" si="7"/>
        <v>1755.1629747314746</v>
      </c>
      <c r="K10" s="80">
        <f t="shared" si="7"/>
        <v>1787.8260910212598</v>
      </c>
      <c r="L10" s="80">
        <f t="shared" si="7"/>
        <v>1745.3758439672149</v>
      </c>
      <c r="M10" s="80">
        <f t="shared" si="7"/>
        <v>1749.2995592966884</v>
      </c>
      <c r="N10" s="80">
        <f t="shared" si="7"/>
        <v>1791.8979326939539</v>
      </c>
      <c r="O10" s="80">
        <f t="shared" si="7"/>
        <v>1789.7777190669242</v>
      </c>
      <c r="P10" s="80">
        <f t="shared" si="7"/>
        <v>1765.5421171819894</v>
      </c>
      <c r="Q10" s="80">
        <f t="shared" si="7"/>
        <v>1756.1535835305506</v>
      </c>
      <c r="R10" s="80">
        <f t="shared" si="7"/>
        <v>1544.245432216687</v>
      </c>
      <c r="S10" s="80">
        <f t="shared" si="7"/>
        <v>1479.5742757325329</v>
      </c>
      <c r="T10" s="80">
        <f t="shared" si="7"/>
        <v>1621.9911823664788</v>
      </c>
      <c r="U10" s="80">
        <f t="shared" si="7"/>
        <v>1836.7046847736233</v>
      </c>
      <c r="V10" s="80">
        <f t="shared" si="7"/>
        <v>1810.0497625367411</v>
      </c>
      <c r="W10" s="80">
        <f t="shared" si="7"/>
        <v>1306.8768982371232</v>
      </c>
      <c r="X10" s="80">
        <f t="shared" si="7"/>
        <v>1050.4309999327118</v>
      </c>
      <c r="Y10" s="80">
        <f t="shared" si="7"/>
        <v>1062.8649999781612</v>
      </c>
      <c r="Z10" s="118">
        <f t="shared" si="7"/>
        <v>1117.962</v>
      </c>
      <c r="AA10" s="118">
        <f t="shared" si="7"/>
        <v>1073.8799999999999</v>
      </c>
      <c r="AB10" s="118">
        <f t="shared" si="7"/>
        <v>1083.547</v>
      </c>
      <c r="AC10" s="118">
        <f t="shared" si="7"/>
        <v>1307.8790000000001</v>
      </c>
      <c r="AD10" s="118">
        <f t="shared" si="7"/>
        <v>1262.625</v>
      </c>
      <c r="AE10" s="118">
        <f t="shared" si="7"/>
        <v>1378.336</v>
      </c>
      <c r="AF10" s="118">
        <f t="shared" si="7"/>
        <v>1381.521</v>
      </c>
      <c r="AG10" s="81">
        <f t="shared" si="7"/>
        <v>1270.17449810619</v>
      </c>
      <c r="AH10" s="81">
        <f t="shared" si="7"/>
        <v>1322.433511764365</v>
      </c>
      <c r="AI10" s="81">
        <f t="shared" si="7"/>
        <v>1325.5867293527374</v>
      </c>
      <c r="AJ10" s="81">
        <f t="shared" si="7"/>
        <v>1334.2986984601321</v>
      </c>
      <c r="AK10" s="81">
        <f t="shared" si="7"/>
        <v>1319.4165921591275</v>
      </c>
      <c r="AL10" s="81">
        <f t="shared" si="7"/>
        <v>1309.9838678987724</v>
      </c>
    </row>
    <row r="11" spans="1:45">
      <c r="A11" s="69" t="s">
        <v>333</v>
      </c>
      <c r="B11" s="76">
        <v>0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0</v>
      </c>
      <c r="Z11" s="76">
        <v>0</v>
      </c>
      <c r="AA11" s="76">
        <v>0</v>
      </c>
      <c r="AB11" s="76">
        <v>0</v>
      </c>
      <c r="AC11" s="76">
        <v>0</v>
      </c>
      <c r="AD11" s="76">
        <v>0</v>
      </c>
      <c r="AE11" s="76">
        <v>0</v>
      </c>
      <c r="AF11" s="76">
        <v>0</v>
      </c>
      <c r="AG11" s="88">
        <v>0</v>
      </c>
      <c r="AH11" s="88">
        <v>0</v>
      </c>
      <c r="AI11" s="88">
        <v>0</v>
      </c>
      <c r="AJ11" s="88">
        <v>0</v>
      </c>
      <c r="AK11" s="88">
        <v>0</v>
      </c>
      <c r="AL11" s="88">
        <v>0</v>
      </c>
    </row>
    <row r="12" spans="1:45" ht="12" thickBot="1">
      <c r="A12" s="69" t="s">
        <v>334</v>
      </c>
    </row>
    <row r="13" spans="1:45">
      <c r="A13" s="201" t="s">
        <v>335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</row>
    <row r="14" spans="1:45">
      <c r="B14" s="69">
        <v>1993</v>
      </c>
      <c r="C14" s="69">
        <v>1994</v>
      </c>
      <c r="D14" s="69">
        <v>1995</v>
      </c>
      <c r="E14" s="69">
        <v>1996</v>
      </c>
      <c r="F14" s="69">
        <v>1997</v>
      </c>
      <c r="G14" s="69">
        <v>1998</v>
      </c>
      <c r="H14" s="69">
        <v>1999</v>
      </c>
      <c r="I14" s="69">
        <v>2000</v>
      </c>
      <c r="J14" s="69">
        <v>2001</v>
      </c>
      <c r="K14" s="69">
        <v>2002</v>
      </c>
      <c r="L14" s="69">
        <v>2003</v>
      </c>
      <c r="M14" s="69">
        <v>2004</v>
      </c>
      <c r="N14" s="69">
        <v>2005</v>
      </c>
      <c r="O14" s="69">
        <v>2006</v>
      </c>
      <c r="P14" s="69">
        <v>2007</v>
      </c>
      <c r="Q14" s="69">
        <v>2008</v>
      </c>
      <c r="R14" s="69">
        <v>2009</v>
      </c>
      <c r="S14" s="69">
        <v>2010</v>
      </c>
      <c r="T14" s="69">
        <v>2011</v>
      </c>
      <c r="U14" s="69">
        <v>2012</v>
      </c>
      <c r="V14" s="69">
        <v>2013</v>
      </c>
      <c r="W14" s="69">
        <v>2014</v>
      </c>
      <c r="X14" s="69">
        <v>2015</v>
      </c>
      <c r="Y14" s="69">
        <v>2016</v>
      </c>
      <c r="Z14" s="69">
        <v>2017</v>
      </c>
      <c r="AA14" s="69">
        <v>2018</v>
      </c>
      <c r="AB14" s="69">
        <v>2019</v>
      </c>
      <c r="AC14" s="69">
        <v>2020</v>
      </c>
      <c r="AD14" s="69">
        <v>2021</v>
      </c>
      <c r="AE14" s="69">
        <v>2022</v>
      </c>
      <c r="AF14" s="69">
        <v>2023</v>
      </c>
      <c r="AG14" s="69">
        <v>2024</v>
      </c>
      <c r="AH14" s="69">
        <v>2025</v>
      </c>
      <c r="AI14" s="69">
        <v>2026</v>
      </c>
      <c r="AJ14" s="69">
        <v>2027</v>
      </c>
      <c r="AK14" s="69">
        <v>2028</v>
      </c>
      <c r="AL14" s="69">
        <v>2029</v>
      </c>
    </row>
    <row r="15" spans="1:45" ht="12" thickBot="1">
      <c r="A15" s="69" t="s">
        <v>336</v>
      </c>
    </row>
    <row r="16" spans="1:45" ht="12" thickBot="1">
      <c r="A16" s="202"/>
      <c r="B16" s="203" t="str">
        <f>B$2</f>
        <v xml:space="preserve">93/94 </v>
      </c>
      <c r="C16" s="203" t="str">
        <f t="shared" ref="C16:AL16" si="8">C$2</f>
        <v xml:space="preserve">94/95 </v>
      </c>
      <c r="D16" s="203" t="str">
        <f t="shared" si="8"/>
        <v xml:space="preserve">95/96 </v>
      </c>
      <c r="E16" s="203" t="str">
        <f t="shared" si="8"/>
        <v xml:space="preserve">96/97 </v>
      </c>
      <c r="F16" s="203" t="str">
        <f t="shared" si="8"/>
        <v xml:space="preserve">97/98 </v>
      </c>
      <c r="G16" s="203" t="str">
        <f t="shared" si="8"/>
        <v xml:space="preserve">98/99 </v>
      </c>
      <c r="H16" s="203" t="str">
        <f t="shared" si="8"/>
        <v xml:space="preserve">99/00 </v>
      </c>
      <c r="I16" s="203" t="str">
        <f t="shared" si="8"/>
        <v xml:space="preserve">00/01 </v>
      </c>
      <c r="J16" s="203" t="str">
        <f t="shared" si="8"/>
        <v xml:space="preserve">01/02 </v>
      </c>
      <c r="K16" s="203" t="str">
        <f t="shared" si="8"/>
        <v xml:space="preserve">02/03 </v>
      </c>
      <c r="L16" s="203" t="str">
        <f t="shared" si="8"/>
        <v xml:space="preserve">03/04 </v>
      </c>
      <c r="M16" s="203" t="str">
        <f t="shared" si="8"/>
        <v xml:space="preserve">04/05 </v>
      </c>
      <c r="N16" s="203" t="str">
        <f t="shared" si="8"/>
        <v xml:space="preserve">05/06 </v>
      </c>
      <c r="O16" s="203" t="str">
        <f t="shared" si="8"/>
        <v xml:space="preserve">06/07 </v>
      </c>
      <c r="P16" s="203" t="str">
        <f t="shared" si="8"/>
        <v xml:space="preserve">07/08 </v>
      </c>
      <c r="Q16" s="203" t="str">
        <f t="shared" si="8"/>
        <v xml:space="preserve">08/09 </v>
      </c>
      <c r="R16" s="203" t="str">
        <f t="shared" si="8"/>
        <v xml:space="preserve">09/10 </v>
      </c>
      <c r="S16" s="203" t="str">
        <f t="shared" si="8"/>
        <v xml:space="preserve">10/11 </v>
      </c>
      <c r="T16" s="203" t="str">
        <f t="shared" si="8"/>
        <v xml:space="preserve">11/12 </v>
      </c>
      <c r="U16" s="203" t="str">
        <f t="shared" si="8"/>
        <v xml:space="preserve">12/13 </v>
      </c>
      <c r="V16" s="203" t="str">
        <f t="shared" si="8"/>
        <v xml:space="preserve">13/14 </v>
      </c>
      <c r="W16" s="203" t="str">
        <f t="shared" si="8"/>
        <v xml:space="preserve">14/15 </v>
      </c>
      <c r="X16" s="203" t="str">
        <f t="shared" si="8"/>
        <v xml:space="preserve">15/16 </v>
      </c>
      <c r="Y16" s="203" t="str">
        <f t="shared" si="8"/>
        <v xml:space="preserve">16/17 </v>
      </c>
      <c r="Z16" s="203" t="str">
        <f t="shared" si="8"/>
        <v xml:space="preserve">17/18 </v>
      </c>
      <c r="AA16" s="203" t="str">
        <f t="shared" si="8"/>
        <v xml:space="preserve">18/19 </v>
      </c>
      <c r="AB16" s="203" t="str">
        <f t="shared" si="8"/>
        <v xml:space="preserve">19/20 </v>
      </c>
      <c r="AC16" s="203" t="str">
        <f t="shared" si="8"/>
        <v xml:space="preserve">20/21 </v>
      </c>
      <c r="AD16" s="203" t="str">
        <f t="shared" si="8"/>
        <v>21/22</v>
      </c>
      <c r="AE16" s="203" t="str">
        <f t="shared" si="8"/>
        <v>22/23</v>
      </c>
      <c r="AF16" s="203" t="str">
        <f t="shared" si="8"/>
        <v>23/24</v>
      </c>
      <c r="AG16" s="203" t="str">
        <f t="shared" si="8"/>
        <v>24/25</v>
      </c>
      <c r="AH16" s="203" t="str">
        <f t="shared" si="8"/>
        <v>25/26</v>
      </c>
      <c r="AI16" s="203" t="str">
        <f t="shared" si="8"/>
        <v>26/27</v>
      </c>
      <c r="AJ16" s="203" t="str">
        <f t="shared" si="8"/>
        <v>27/28</v>
      </c>
      <c r="AK16" s="203" t="str">
        <f t="shared" si="8"/>
        <v>28/29</v>
      </c>
      <c r="AL16" s="203" t="str">
        <f t="shared" si="8"/>
        <v>29/30</v>
      </c>
    </row>
    <row r="17" spans="1:38">
      <c r="A17" s="69" t="s">
        <v>37</v>
      </c>
      <c r="B17" s="108">
        <v>121.69319729187133</v>
      </c>
      <c r="C17" s="108">
        <v>125.37863633765787</v>
      </c>
      <c r="D17" s="108">
        <v>125.894597804068</v>
      </c>
      <c r="E17" s="108">
        <v>113.73264895297245</v>
      </c>
      <c r="F17" s="108">
        <v>129.69060002122811</v>
      </c>
      <c r="G17" s="108">
        <v>133.09348874017101</v>
      </c>
      <c r="H17" s="108">
        <v>137.31945884600626</v>
      </c>
      <c r="I17" s="108">
        <v>139.61671585121317</v>
      </c>
      <c r="J17" s="108">
        <v>143.63384441112052</v>
      </c>
      <c r="K17" s="108">
        <v>149.38312932254749</v>
      </c>
      <c r="L17" s="108">
        <v>146.70504361594266</v>
      </c>
      <c r="M17" s="108">
        <v>144.54291937574783</v>
      </c>
      <c r="N17" s="108">
        <v>136.36124469410174</v>
      </c>
      <c r="O17" s="108">
        <v>145.29134699735374</v>
      </c>
      <c r="P17" s="108">
        <v>146.04827947829605</v>
      </c>
      <c r="Q17" s="108">
        <v>149.92513455821452</v>
      </c>
      <c r="R17" s="108">
        <v>132.72116489810952</v>
      </c>
      <c r="S17" s="108">
        <v>117.35285572764855</v>
      </c>
      <c r="T17" s="108">
        <f>'[1]Corn Oil Balance Sheet'!S49*T33/2.204622</f>
        <v>95.190683482247721</v>
      </c>
      <c r="U17" s="108">
        <f>'[1]Corn Oil Balance Sheet'!T49*U33/2.204622</f>
        <v>150.41957730597537</v>
      </c>
      <c r="V17" s="108">
        <f>'[1]Corn Oil Balance Sheet'!U49*V33/2.204622</f>
        <v>140.67653820212902</v>
      </c>
      <c r="W17" s="108">
        <f>'[1]Corn Oil Balance Sheet'!V49*W33/2.204622</f>
        <v>138.81755970190622</v>
      </c>
      <c r="X17" s="76">
        <f>'NASS Data'!$R13</f>
        <v>86.522000000000006</v>
      </c>
      <c r="Y17" s="76">
        <f>'NASS Data'!$R25</f>
        <v>86.724999999999994</v>
      </c>
      <c r="Z17" s="76">
        <f>'NASS Data'!$R37</f>
        <v>87.322000000000003</v>
      </c>
      <c r="AA17" s="76">
        <f>'NASS Data'!$R49</f>
        <v>83.262</v>
      </c>
      <c r="AB17" s="76">
        <f>'NASS Data'!$R61</f>
        <v>86.423000000000002</v>
      </c>
      <c r="AC17" s="76">
        <f>'NASS Data'!$R73</f>
        <v>85.347999999999999</v>
      </c>
      <c r="AD17" s="76">
        <f>'NASS Data'!$R85</f>
        <v>106.657</v>
      </c>
      <c r="AE17" s="76">
        <f>'NASS Data'!$R97</f>
        <v>101.78700000000001</v>
      </c>
      <c r="AF17" s="76">
        <f>'NASS Data'!$R109</f>
        <v>107.988</v>
      </c>
      <c r="AG17" s="76">
        <f>'NASS Data'!$R121</f>
        <v>111.744</v>
      </c>
      <c r="AH17" s="88">
        <f>'Ethanol Balance Sheet'!AH384*'Corn Gluten Meal Balance Sheet'!AH33</f>
        <v>106.36349412032463</v>
      </c>
      <c r="AI17" s="88">
        <f>'Ethanol Balance Sheet'!AI384*'Corn Gluten Meal Balance Sheet'!AI33</f>
        <v>106.4154393477957</v>
      </c>
      <c r="AJ17" s="88">
        <f>'Ethanol Balance Sheet'!AJ384*'Corn Gluten Meal Balance Sheet'!AJ33</f>
        <v>106.47112105255651</v>
      </c>
      <c r="AK17" s="88">
        <f>'Ethanol Balance Sheet'!AK384*'Corn Gluten Meal Balance Sheet'!AK33</f>
        <v>106.33941602118752</v>
      </c>
      <c r="AL17" s="88">
        <f>'Ethanol Balance Sheet'!AL384*'Corn Gluten Meal Balance Sheet'!AL33</f>
        <v>106.58643423575894</v>
      </c>
    </row>
    <row r="18" spans="1:38">
      <c r="A18" s="69" t="s">
        <v>38</v>
      </c>
      <c r="B18" s="108">
        <v>125.894597804068</v>
      </c>
      <c r="C18" s="108">
        <v>125.6734714613208</v>
      </c>
      <c r="D18" s="108">
        <v>135.91899200860738</v>
      </c>
      <c r="E18" s="108">
        <v>125.37863633765787</v>
      </c>
      <c r="F18" s="108">
        <v>135.77157444677593</v>
      </c>
      <c r="G18" s="108">
        <v>146.82789158413553</v>
      </c>
      <c r="H18" s="108">
        <v>139.53072227347818</v>
      </c>
      <c r="I18" s="108">
        <v>146.06623418133961</v>
      </c>
      <c r="J18" s="108">
        <v>138.32681218518789</v>
      </c>
      <c r="K18" s="108">
        <v>158.05619587696518</v>
      </c>
      <c r="L18" s="108">
        <v>151.17670965816362</v>
      </c>
      <c r="M18" s="108">
        <v>150.95558331541642</v>
      </c>
      <c r="N18" s="108">
        <v>149.99736916351193</v>
      </c>
      <c r="O18" s="108">
        <v>159.25349107466039</v>
      </c>
      <c r="P18" s="108">
        <v>148.87263695318291</v>
      </c>
      <c r="Q18" s="108">
        <v>149.40622474056778</v>
      </c>
      <c r="R18" s="108">
        <v>130.91246481256198</v>
      </c>
      <c r="S18" s="108">
        <v>120.34682135985217</v>
      </c>
      <c r="T18" s="108">
        <f>'[1]Corn Oil Balance Sheet'!T38*T34/2.204622</f>
        <v>142.00859847957622</v>
      </c>
      <c r="U18" s="108">
        <f>'[1]Corn Oil Balance Sheet'!U38*U34/2.204622</f>
        <v>156.91204959437437</v>
      </c>
      <c r="V18" s="108">
        <f>'[1]Corn Oil Balance Sheet'!V38*V34/2.204622</f>
        <v>152.38991671325564</v>
      </c>
      <c r="W18" s="108">
        <f>'[1]Corn Oil Balance Sheet'!W38*W34/2.204622</f>
        <v>142.45144388413027</v>
      </c>
      <c r="X18" s="76">
        <f>'NASS Data'!$R14</f>
        <v>83.212999999999994</v>
      </c>
      <c r="Y18" s="76">
        <f>'NASS Data'!$R26</f>
        <v>86.227000000000004</v>
      </c>
      <c r="Z18" s="76">
        <f>'NASS Data'!$R38</f>
        <v>93.462999999999994</v>
      </c>
      <c r="AA18" s="76">
        <f>'NASS Data'!$R50</f>
        <v>90.899000000000001</v>
      </c>
      <c r="AB18" s="76">
        <f>'NASS Data'!$R62</f>
        <v>87.588999999999999</v>
      </c>
      <c r="AC18" s="76">
        <f>'NASS Data'!$R74</f>
        <v>108.84399999999999</v>
      </c>
      <c r="AD18" s="76">
        <f>'NASS Data'!$R86</f>
        <v>108.083</v>
      </c>
      <c r="AE18" s="76">
        <f>'NASS Data'!$R98</f>
        <v>116.27</v>
      </c>
      <c r="AF18" s="76">
        <f>'NASS Data'!$R110</f>
        <v>116.953</v>
      </c>
      <c r="AG18" s="76">
        <f>'NASS Data'!$R122</f>
        <v>104.52</v>
      </c>
      <c r="AH18" s="88">
        <f>'Ethanol Balance Sheet'!AH385*'Corn Gluten Meal Balance Sheet'!AH34</f>
        <v>108.9190175385925</v>
      </c>
      <c r="AI18" s="88">
        <f>'Ethanol Balance Sheet'!AI385*'Corn Gluten Meal Balance Sheet'!AI34</f>
        <v>110.11582632113088</v>
      </c>
      <c r="AJ18" s="88">
        <f>'Ethanol Balance Sheet'!AJ385*'Corn Gluten Meal Balance Sheet'!AJ34</f>
        <v>109.99496516936908</v>
      </c>
      <c r="AK18" s="88">
        <f>'Ethanol Balance Sheet'!AK385*'Corn Gluten Meal Balance Sheet'!AK34</f>
        <v>107.41289946729167</v>
      </c>
      <c r="AL18" s="88">
        <f>'Ethanol Balance Sheet'!AL385*'Corn Gluten Meal Balance Sheet'!AL34</f>
        <v>107.24308389195214</v>
      </c>
    </row>
    <row r="19" spans="1:38">
      <c r="A19" s="69" t="s">
        <v>39</v>
      </c>
      <c r="B19" s="108">
        <v>127.81102610787701</v>
      </c>
      <c r="C19" s="108">
        <v>125.52605389948934</v>
      </c>
      <c r="D19" s="108">
        <v>135.47673932311298</v>
      </c>
      <c r="E19" s="108">
        <v>123.75704315751182</v>
      </c>
      <c r="F19" s="108">
        <v>134.51852517120852</v>
      </c>
      <c r="G19" s="108">
        <v>139.60443105439393</v>
      </c>
      <c r="H19" s="108">
        <v>138.0565466551636</v>
      </c>
      <c r="I19" s="108">
        <v>134.12541167299125</v>
      </c>
      <c r="J19" s="108">
        <v>143.70755319203627</v>
      </c>
      <c r="K19" s="108">
        <v>140.66092358085274</v>
      </c>
      <c r="L19" s="108">
        <v>141.88940326278154</v>
      </c>
      <c r="M19" s="108">
        <v>134.96077785670289</v>
      </c>
      <c r="N19" s="108">
        <v>144.39550181391644</v>
      </c>
      <c r="O19" s="108">
        <v>150.25251494360484</v>
      </c>
      <c r="P19" s="108">
        <v>149.19862112416553</v>
      </c>
      <c r="Q19" s="108">
        <v>152.86021821427889</v>
      </c>
      <c r="R19" s="108">
        <v>126.11005424059088</v>
      </c>
      <c r="S19" s="108">
        <v>123.93969918652721</v>
      </c>
      <c r="T19" s="108">
        <f>'[1]Corn Oil Balance Sheet'!T39*T35/2.204622</f>
        <v>138.80133376930863</v>
      </c>
      <c r="U19" s="108">
        <f>'[1]Corn Oil Balance Sheet'!U39*U35/2.204622</f>
        <v>153.36819038677731</v>
      </c>
      <c r="V19" s="108">
        <f>'[1]Corn Oil Balance Sheet'!V39*V35/2.204622</f>
        <v>148.94818989313393</v>
      </c>
      <c r="W19" s="108">
        <f>'[1]Corn Oil Balance Sheet'!W39*W35/2.204622</f>
        <v>139.23417750879909</v>
      </c>
      <c r="X19" s="76">
        <f>'NASS Data'!$R15</f>
        <v>84.504999999999995</v>
      </c>
      <c r="Y19" s="76">
        <f>'NASS Data'!$R27</f>
        <v>84.091999999999999</v>
      </c>
      <c r="Z19" s="76">
        <f>'NASS Data'!$R39</f>
        <v>90.366</v>
      </c>
      <c r="AA19" s="76">
        <f>'NASS Data'!$R51</f>
        <v>85.51</v>
      </c>
      <c r="AB19" s="76">
        <f>'NASS Data'!$R63</f>
        <v>90.102000000000004</v>
      </c>
      <c r="AC19" s="76">
        <f>'NASS Data'!$R75</f>
        <v>108.624</v>
      </c>
      <c r="AD19" s="76">
        <f>'NASS Data'!$R87</f>
        <v>110.303</v>
      </c>
      <c r="AE19" s="76">
        <f>'NASS Data'!$R99</f>
        <v>112.372</v>
      </c>
      <c r="AF19" s="76">
        <f>'NASS Data'!$R111</f>
        <v>110.684</v>
      </c>
      <c r="AG19" s="76">
        <f>'NASS Data'!$R123</f>
        <v>104.997</v>
      </c>
      <c r="AH19" s="88">
        <f>'Ethanol Balance Sheet'!AH386*'Corn Gluten Meal Balance Sheet'!AH35</f>
        <v>108.51843536605018</v>
      </c>
      <c r="AI19" s="88">
        <f>'Ethanol Balance Sheet'!AI386*'Corn Gluten Meal Balance Sheet'!AI35</f>
        <v>109.60104990691411</v>
      </c>
      <c r="AJ19" s="88">
        <f>'Ethanol Balance Sheet'!AJ386*'Corn Gluten Meal Balance Sheet'!AJ35</f>
        <v>110.26313206778519</v>
      </c>
      <c r="AK19" s="88">
        <f>'Ethanol Balance Sheet'!AK386*'Corn Gluten Meal Balance Sheet'!AK35</f>
        <v>108.7324128506684</v>
      </c>
      <c r="AL19" s="88">
        <f>'Ethanol Balance Sheet'!AL386*'Corn Gluten Meal Balance Sheet'!AL35</f>
        <v>108.47360377289839</v>
      </c>
    </row>
    <row r="20" spans="1:38">
      <c r="A20" s="69" t="s">
        <v>40</v>
      </c>
      <c r="B20" s="108">
        <v>127.14764707963542</v>
      </c>
      <c r="C20" s="108">
        <v>129.65374563077029</v>
      </c>
      <c r="D20" s="108">
        <v>135.9927007895231</v>
      </c>
      <c r="E20" s="108">
        <v>123.97816950025899</v>
      </c>
      <c r="F20" s="108">
        <v>130.4645422208433</v>
      </c>
      <c r="G20" s="108">
        <v>132.08613540098941</v>
      </c>
      <c r="H20" s="108">
        <v>131.64388271549501</v>
      </c>
      <c r="I20" s="108">
        <v>137.22118047145193</v>
      </c>
      <c r="J20" s="108">
        <v>137.4668764078377</v>
      </c>
      <c r="K20" s="108">
        <v>153.41254267927414</v>
      </c>
      <c r="L20" s="108">
        <v>139.45701349256242</v>
      </c>
      <c r="M20" s="108">
        <v>137.8354203124164</v>
      </c>
      <c r="N20" s="108">
        <v>144.69033693757936</v>
      </c>
      <c r="O20" s="108">
        <v>157.41077155176714</v>
      </c>
      <c r="P20" s="108">
        <v>149.55511647801754</v>
      </c>
      <c r="Q20" s="108">
        <v>143.92818814291067</v>
      </c>
      <c r="R20" s="108">
        <v>124.86267487124775</v>
      </c>
      <c r="S20" s="108">
        <v>116.61165723647861</v>
      </c>
      <c r="T20" s="108">
        <f>'[1]Corn Oil Balance Sheet'!T40*T36/2.204622</f>
        <v>138.48286659502719</v>
      </c>
      <c r="U20" s="108">
        <f>'[1]Corn Oil Balance Sheet'!U40*U36/2.204622</f>
        <v>153.01630087036742</v>
      </c>
      <c r="V20" s="108">
        <f>'[1]Corn Oil Balance Sheet'!V40*V36/2.204622</f>
        <v>148.60644167024986</v>
      </c>
      <c r="W20" s="108">
        <f>'[1]Corn Oil Balance Sheet'!W40*W36/2.204622</f>
        <v>138.91471721349444</v>
      </c>
      <c r="X20" s="76">
        <f>'NASS Data'!$R16</f>
        <v>88.921000000000006</v>
      </c>
      <c r="Y20" s="76">
        <f>'NASS Data'!$R28</f>
        <v>89.091999999999999</v>
      </c>
      <c r="Z20" s="76">
        <f>'NASS Data'!$R40</f>
        <v>91.091999999999999</v>
      </c>
      <c r="AA20" s="76">
        <f>'NASS Data'!$R52</f>
        <v>88.638000000000005</v>
      </c>
      <c r="AB20" s="76">
        <f>'NASS Data'!$R64</f>
        <v>93.644000000000005</v>
      </c>
      <c r="AC20" s="76">
        <f>'NASS Data'!$R76</f>
        <v>113.754</v>
      </c>
      <c r="AD20" s="76">
        <f>'NASS Data'!$R88</f>
        <v>107.003</v>
      </c>
      <c r="AE20" s="76">
        <f>'NASS Data'!$R100</f>
        <v>99.584999999999994</v>
      </c>
      <c r="AF20" s="76">
        <f>'NASS Data'!$R112</f>
        <v>113.012</v>
      </c>
      <c r="AG20" s="76">
        <f>'NASS Data'!$R124</f>
        <v>103.485</v>
      </c>
      <c r="AH20" s="88">
        <f>'Ethanol Balance Sheet'!AH387*'Corn Gluten Meal Balance Sheet'!AH36</f>
        <v>105.90721450913342</v>
      </c>
      <c r="AI20" s="88">
        <f>'Ethanol Balance Sheet'!AI387*'Corn Gluten Meal Balance Sheet'!AI36</f>
        <v>104.76232917543871</v>
      </c>
      <c r="AJ20" s="88">
        <f>'Ethanol Balance Sheet'!AJ387*'Corn Gluten Meal Balance Sheet'!AJ36</f>
        <v>104.36528365592615</v>
      </c>
      <c r="AK20" s="88">
        <f>'Ethanol Balance Sheet'!AK387*'Corn Gluten Meal Balance Sheet'!AK36</f>
        <v>104.42587928645919</v>
      </c>
      <c r="AL20" s="88">
        <f>'Ethanol Balance Sheet'!AL387*'Corn Gluten Meal Balance Sheet'!AL36</f>
        <v>103.9147787571772</v>
      </c>
    </row>
    <row r="21" spans="1:38">
      <c r="A21" s="69" t="s">
        <v>30</v>
      </c>
      <c r="B21" s="108">
        <v>122.06174119644999</v>
      </c>
      <c r="C21" s="108">
        <v>131.34904759183209</v>
      </c>
      <c r="D21" s="108">
        <v>133.48660223838823</v>
      </c>
      <c r="E21" s="108">
        <v>122.54084827240224</v>
      </c>
      <c r="F21" s="108">
        <v>130.02228953534893</v>
      </c>
      <c r="G21" s="108">
        <v>127.44248220329835</v>
      </c>
      <c r="H21" s="108">
        <v>133.19176711472537</v>
      </c>
      <c r="I21" s="108">
        <v>140.53807561265981</v>
      </c>
      <c r="J21" s="108">
        <v>140.12039252080399</v>
      </c>
      <c r="K21" s="108">
        <v>149.35855972890894</v>
      </c>
      <c r="L21" s="108">
        <v>145.20629840398942</v>
      </c>
      <c r="M21" s="108">
        <v>148.3020672024501</v>
      </c>
      <c r="N21" s="108">
        <v>151.25041843907931</v>
      </c>
      <c r="O21" s="108">
        <v>156.60564486791839</v>
      </c>
      <c r="P21" s="108">
        <v>143.32743322891633</v>
      </c>
      <c r="Q21" s="108">
        <v>145.42742474673662</v>
      </c>
      <c r="R21" s="108">
        <v>121.57957237113665</v>
      </c>
      <c r="S21" s="108">
        <v>129.70497323350668</v>
      </c>
      <c r="T21" s="108">
        <f>'[1]Corn Oil Balance Sheet'!T41*T37/2.204622</f>
        <v>137.882867529923</v>
      </c>
      <c r="U21" s="108">
        <f>'[1]Corn Oil Balance Sheet'!U41*U37/2.204622</f>
        <v>152.35333338763613</v>
      </c>
      <c r="V21" s="108">
        <f>'[1]Corn Oil Balance Sheet'!V41*V37/2.204622</f>
        <v>147.96258060452433</v>
      </c>
      <c r="W21" s="76">
        <f>'NASS Data'!$R5</f>
        <v>90.617000000000004</v>
      </c>
      <c r="X21" s="76">
        <f>'NASS Data'!$R17</f>
        <v>87.266000000000005</v>
      </c>
      <c r="Y21" s="76">
        <f>'NASS Data'!$R29</f>
        <v>90.593000000000004</v>
      </c>
      <c r="Z21" s="76">
        <f>'NASS Data'!$R41</f>
        <v>91.519000000000005</v>
      </c>
      <c r="AA21" s="76">
        <f>'NASS Data'!$R53</f>
        <v>84.213999999999999</v>
      </c>
      <c r="AB21" s="76">
        <f>'NASS Data'!$R65</f>
        <v>93.096999999999994</v>
      </c>
      <c r="AC21" s="76">
        <f>'NASS Data'!$R77</f>
        <v>116.178</v>
      </c>
      <c r="AD21" s="76">
        <f>'NASS Data'!$R89</f>
        <v>102.711</v>
      </c>
      <c r="AE21" s="76">
        <f>'NASS Data'!$R101</f>
        <v>117.94499999999999</v>
      </c>
      <c r="AF21" s="76">
        <f>'NASS Data'!$R113</f>
        <v>104.117</v>
      </c>
      <c r="AG21" s="76">
        <f>'NASS Data'!$R125</f>
        <v>104.688</v>
      </c>
      <c r="AH21" s="88">
        <f>'Ethanol Balance Sheet'!AH388*'Corn Gluten Meal Balance Sheet'!AH37</f>
        <v>113.05060088919643</v>
      </c>
      <c r="AI21" s="88">
        <f>'Ethanol Balance Sheet'!AI388*'Corn Gluten Meal Balance Sheet'!AI37</f>
        <v>113.79352249462414</v>
      </c>
      <c r="AJ21" s="88">
        <f>'Ethanol Balance Sheet'!AJ388*'Corn Gluten Meal Balance Sheet'!AJ37</f>
        <v>113.60768455167172</v>
      </c>
      <c r="AK21" s="88">
        <f>'Ethanol Balance Sheet'!AK388*'Corn Gluten Meal Balance Sheet'!AK37</f>
        <v>111.84216582952374</v>
      </c>
      <c r="AL21" s="88">
        <f>'Ethanol Balance Sheet'!AL388*'Corn Gluten Meal Balance Sheet'!AL37</f>
        <v>112.97323800473201</v>
      </c>
    </row>
    <row r="22" spans="1:38">
      <c r="A22" s="69" t="s">
        <v>31</v>
      </c>
      <c r="B22" s="108">
        <v>120.58756557813537</v>
      </c>
      <c r="C22" s="108">
        <v>125.52605389948934</v>
      </c>
      <c r="D22" s="108">
        <v>125.45234511857363</v>
      </c>
      <c r="E22" s="108">
        <v>121.36150777775057</v>
      </c>
      <c r="F22" s="108">
        <v>123.60962559568037</v>
      </c>
      <c r="G22" s="108">
        <v>123.09366412927022</v>
      </c>
      <c r="H22" s="108">
        <v>129.21149294527589</v>
      </c>
      <c r="I22" s="108">
        <v>126.90195114324963</v>
      </c>
      <c r="J22" s="108">
        <v>129.33434091346879</v>
      </c>
      <c r="K22" s="108">
        <v>130.85765571906052</v>
      </c>
      <c r="L22" s="108">
        <v>131.86500905824221</v>
      </c>
      <c r="M22" s="108">
        <v>132.89693199106242</v>
      </c>
      <c r="N22" s="108">
        <v>133.26547589564106</v>
      </c>
      <c r="O22" s="108">
        <v>130.16332845267806</v>
      </c>
      <c r="P22" s="108">
        <v>135.38814703835848</v>
      </c>
      <c r="Q22" s="108">
        <v>145.20703549179859</v>
      </c>
      <c r="R22" s="108">
        <v>115.46866084072462</v>
      </c>
      <c r="S22" s="108">
        <v>116.94683374292737</v>
      </c>
      <c r="T22" s="108">
        <f>'[1]Corn Oil Balance Sheet'!T42*T38/2.204622</f>
        <v>126.78806639403821</v>
      </c>
      <c r="U22" s="108">
        <f>'[1]Corn Oil Balance Sheet'!U42*U38/2.204622</f>
        <v>140.09416031845001</v>
      </c>
      <c r="V22" s="108">
        <f>'[1]Corn Oil Balance Sheet'!V42*V38/2.204622</f>
        <v>136.05671124767136</v>
      </c>
      <c r="W22" s="76">
        <f>'NASS Data'!$R6</f>
        <v>80.855000000000004</v>
      </c>
      <c r="X22" s="76">
        <f>'NASS Data'!$R18</f>
        <v>83.643000000000001</v>
      </c>
      <c r="Y22" s="76">
        <f>'NASS Data'!$R30</f>
        <v>78.78</v>
      </c>
      <c r="Z22" s="76">
        <f>'NASS Data'!$R42</f>
        <v>90.924000000000007</v>
      </c>
      <c r="AA22" s="76">
        <f>'NASS Data'!$R54</f>
        <v>77.453999999999994</v>
      </c>
      <c r="AB22" s="76">
        <f>'NASS Data'!$R66</f>
        <v>88.021000000000001</v>
      </c>
      <c r="AC22" s="76">
        <f>'NASS Data'!$R78</f>
        <v>97.68</v>
      </c>
      <c r="AD22" s="76">
        <f>'NASS Data'!$R90</f>
        <v>78.040000000000006</v>
      </c>
      <c r="AE22" s="76">
        <f>'NASS Data'!$R102</f>
        <v>108.496</v>
      </c>
      <c r="AF22" s="76">
        <f>'NASS Data'!$R114</f>
        <v>112.56399999999999</v>
      </c>
      <c r="AG22" s="88">
        <f>'Ethanol Balance Sheet'!AG389*'Corn Gluten Meal Balance Sheet'!AG38</f>
        <v>95.011753388306502</v>
      </c>
      <c r="AH22" s="88">
        <f>'Ethanol Balance Sheet'!AH389*'Corn Gluten Meal Balance Sheet'!AH38</f>
        <v>100.44433771976746</v>
      </c>
      <c r="AI22" s="88">
        <f>'Ethanol Balance Sheet'!AI389*'Corn Gluten Meal Balance Sheet'!AI38</f>
        <v>101.38451424490087</v>
      </c>
      <c r="AJ22" s="88">
        <f>'Ethanol Balance Sheet'!AJ389*'Corn Gluten Meal Balance Sheet'!AJ38</f>
        <v>104.02871637357867</v>
      </c>
      <c r="AK22" s="88">
        <f>'Ethanol Balance Sheet'!AK389*'Corn Gluten Meal Balance Sheet'!AK38</f>
        <v>102.4948651653325</v>
      </c>
      <c r="AL22" s="88">
        <f>'Ethanol Balance Sheet'!AL389*'Corn Gluten Meal Balance Sheet'!AL38</f>
        <v>100.64291505182339</v>
      </c>
    </row>
    <row r="23" spans="1:38">
      <c r="A23" s="69" t="s">
        <v>32</v>
      </c>
      <c r="B23" s="108">
        <v>134.07627248571413</v>
      </c>
      <c r="C23" s="108">
        <v>141.29973301545573</v>
      </c>
      <c r="D23" s="108">
        <v>142.18423838644452</v>
      </c>
      <c r="E23" s="108">
        <v>147.34385305054568</v>
      </c>
      <c r="F23" s="108">
        <v>140.78377154904558</v>
      </c>
      <c r="G23" s="108">
        <v>140.78377154904558</v>
      </c>
      <c r="H23" s="108">
        <v>144.18666026798851</v>
      </c>
      <c r="I23" s="108">
        <v>142.45450391646881</v>
      </c>
      <c r="J23" s="108">
        <v>145.28000718490514</v>
      </c>
      <c r="K23" s="108">
        <v>148.7688894815831</v>
      </c>
      <c r="L23" s="108">
        <v>141.37344179637148</v>
      </c>
      <c r="M23" s="108">
        <v>150.73445697266922</v>
      </c>
      <c r="N23" s="108">
        <v>157.44195603600073</v>
      </c>
      <c r="O23" s="108">
        <v>149.55086404834933</v>
      </c>
      <c r="P23" s="108">
        <v>155.66798412607693</v>
      </c>
      <c r="Q23" s="108">
        <v>159.06354921614681</v>
      </c>
      <c r="R23" s="108">
        <v>130.61933066076634</v>
      </c>
      <c r="S23" s="108">
        <v>128.06719247109027</v>
      </c>
      <c r="T23" s="108">
        <f>'[1]Corn Oil Balance Sheet'!T43*T39/2.204622</f>
        <v>144.51793247928163</v>
      </c>
      <c r="U23" s="108">
        <f>'[1]Corn Oil Balance Sheet'!U43*U39/2.204622</f>
        <v>159.68473198985095</v>
      </c>
      <c r="V23" s="108">
        <f>'[1]Corn Oil Balance Sheet'!V43*V39/2.204622</f>
        <v>155.08269168121535</v>
      </c>
      <c r="W23" s="76">
        <f>'NASS Data'!$R7</f>
        <v>93.078000000000003</v>
      </c>
      <c r="X23" s="76">
        <f>'NASS Data'!$R19</f>
        <v>91.944999999999993</v>
      </c>
      <c r="Y23" s="76">
        <f>'NASS Data'!$R31</f>
        <v>89.491</v>
      </c>
      <c r="Z23" s="76">
        <f>'NASS Data'!$R43</f>
        <v>97.156999999999996</v>
      </c>
      <c r="AA23" s="76">
        <f>'NASS Data'!$R55</f>
        <v>88.89</v>
      </c>
      <c r="AB23" s="76">
        <f>'NASS Data'!$R67</f>
        <v>92.269000000000005</v>
      </c>
      <c r="AC23" s="76">
        <f>'NASS Data'!$R79</f>
        <v>113.36499999999999</v>
      </c>
      <c r="AD23" s="76">
        <f>'NASS Data'!$R91</f>
        <v>109.13</v>
      </c>
      <c r="AE23" s="76">
        <f>'NASS Data'!$R103</f>
        <v>117.55</v>
      </c>
      <c r="AF23" s="76">
        <f>'NASS Data'!$R115</f>
        <v>116.91</v>
      </c>
      <c r="AG23" s="88">
        <f>'Ethanol Balance Sheet'!AG390*'Corn Gluten Meal Balance Sheet'!AG39</f>
        <v>109.144957352646</v>
      </c>
      <c r="AH23" s="88">
        <f>'Ethanol Balance Sheet'!AH390*'Corn Gluten Meal Balance Sheet'!AH39</f>
        <v>112.55365791127174</v>
      </c>
      <c r="AI23" s="88">
        <f>'Ethanol Balance Sheet'!AI390*'Corn Gluten Meal Balance Sheet'!AI39</f>
        <v>113.21629204850944</v>
      </c>
      <c r="AJ23" s="88">
        <f>'Ethanol Balance Sheet'!AJ390*'Corn Gluten Meal Balance Sheet'!AJ39</f>
        <v>113.89783296220746</v>
      </c>
      <c r="AK23" s="88">
        <f>'Ethanol Balance Sheet'!AK390*'Corn Gluten Meal Balance Sheet'!AK39</f>
        <v>112.52481934166013</v>
      </c>
      <c r="AL23" s="88">
        <f>'Ethanol Balance Sheet'!AL390*'Corn Gluten Meal Balance Sheet'!AL39</f>
        <v>111.53903206273036</v>
      </c>
    </row>
    <row r="24" spans="1:38">
      <c r="A24" s="69" t="s">
        <v>33</v>
      </c>
      <c r="B24" s="108">
        <v>125.52605389948934</v>
      </c>
      <c r="C24" s="108">
        <v>136.87720616051189</v>
      </c>
      <c r="D24" s="108">
        <v>138.0565466551636</v>
      </c>
      <c r="E24" s="108">
        <v>134.1868356570877</v>
      </c>
      <c r="F24" s="108">
        <v>139.23588714981528</v>
      </c>
      <c r="G24" s="108">
        <v>140.85748032996131</v>
      </c>
      <c r="H24" s="108">
        <v>142.12281440234801</v>
      </c>
      <c r="I24" s="108">
        <v>141.79112488822722</v>
      </c>
      <c r="J24" s="108">
        <v>150.66074819175356</v>
      </c>
      <c r="K24" s="108">
        <v>144.12523628389206</v>
      </c>
      <c r="L24" s="108">
        <v>144.46921059483216</v>
      </c>
      <c r="M24" s="108">
        <v>157.14712091233778</v>
      </c>
      <c r="N24" s="108">
        <v>138.35138177882646</v>
      </c>
      <c r="O24" s="108">
        <v>134.54758344060792</v>
      </c>
      <c r="P24" s="108">
        <v>133.18609720850105</v>
      </c>
      <c r="Q24" s="108">
        <v>137.39316762692201</v>
      </c>
      <c r="R24" s="108">
        <v>132.03510624497079</v>
      </c>
      <c r="S24" s="108">
        <v>119.10196509877881</v>
      </c>
      <c r="T24" s="108">
        <f>'[1]Corn Oil Balance Sheet'!T44*T40/2.204622</f>
        <v>130.28868095722802</v>
      </c>
      <c r="U24" s="108">
        <f>'[1]Corn Oil Balance Sheet'!U44*U40/2.204622</f>
        <v>143.96215572035541</v>
      </c>
      <c r="V24" s="108">
        <f>'[1]Corn Oil Balance Sheet'!V44*V40/2.204622</f>
        <v>145.89206901549395</v>
      </c>
      <c r="W24" s="76">
        <f>'NASS Data'!$R8</f>
        <v>89.355999999999995</v>
      </c>
      <c r="X24" s="76">
        <f>'NASS Data'!$R20</f>
        <v>84.915999999999997</v>
      </c>
      <c r="Y24" s="76">
        <f>'NASS Data'!$R32</f>
        <v>90.132999999999996</v>
      </c>
      <c r="Z24" s="76">
        <f>'NASS Data'!$R44</f>
        <v>91.427000000000007</v>
      </c>
      <c r="AA24" s="76">
        <f>'NASS Data'!$R56</f>
        <v>91.364000000000004</v>
      </c>
      <c r="AB24" s="76">
        <f>'NASS Data'!$R68</f>
        <v>76.897000000000006</v>
      </c>
      <c r="AC24" s="76">
        <f>'NASS Data'!$R80</f>
        <v>113.905</v>
      </c>
      <c r="AD24" s="76">
        <f>'NASS Data'!$R92</f>
        <v>102.67700000000001</v>
      </c>
      <c r="AE24" s="76">
        <f>'NASS Data'!$R104</f>
        <v>109.13500000000001</v>
      </c>
      <c r="AF24" s="76">
        <f>'NASS Data'!$R116</f>
        <v>109.375</v>
      </c>
      <c r="AG24" s="88">
        <f>'Ethanol Balance Sheet'!AG391*'Corn Gluten Meal Balance Sheet'!AG40</f>
        <v>102.19607439845076</v>
      </c>
      <c r="AH24" s="88">
        <f>'Ethanol Balance Sheet'!AH391*'Corn Gluten Meal Balance Sheet'!AH40</f>
        <v>106.92222783356445</v>
      </c>
      <c r="AI24" s="88">
        <f>'Ethanol Balance Sheet'!AI391*'Corn Gluten Meal Balance Sheet'!AI40</f>
        <v>106.45376825589845</v>
      </c>
      <c r="AJ24" s="88">
        <f>'Ethanol Balance Sheet'!AJ391*'Corn Gluten Meal Balance Sheet'!AJ40</f>
        <v>107.02881327737468</v>
      </c>
      <c r="AK24" s="88">
        <f>'Ethanol Balance Sheet'!AK391*'Corn Gluten Meal Balance Sheet'!AK40</f>
        <v>105.3885924451574</v>
      </c>
      <c r="AL24" s="88">
        <f>'Ethanol Balance Sheet'!AL391*'Corn Gluten Meal Balance Sheet'!AL40</f>
        <v>104.928129604722</v>
      </c>
    </row>
    <row r="25" spans="1:38">
      <c r="A25" s="69" t="s">
        <v>14</v>
      </c>
      <c r="B25" s="108">
        <v>134.5430947648471</v>
      </c>
      <c r="C25" s="108">
        <v>139.60443105439393</v>
      </c>
      <c r="D25" s="108">
        <v>128.9903666025287</v>
      </c>
      <c r="E25" s="108">
        <v>141.88940326278154</v>
      </c>
      <c r="F25" s="108">
        <v>137.2457500650905</v>
      </c>
      <c r="G25" s="108">
        <v>143.95324912842202</v>
      </c>
      <c r="H25" s="108">
        <v>143.00731977333683</v>
      </c>
      <c r="I25" s="108">
        <v>145.84510783859244</v>
      </c>
      <c r="J25" s="108">
        <v>150.95558331541642</v>
      </c>
      <c r="K25" s="108">
        <v>146.99987873960558</v>
      </c>
      <c r="L25" s="108">
        <v>142.7739086337703</v>
      </c>
      <c r="M25" s="108">
        <v>135.77157444677593</v>
      </c>
      <c r="N25" s="108">
        <v>158.25275262607374</v>
      </c>
      <c r="O25" s="108">
        <v>149.64725245416216</v>
      </c>
      <c r="P25" s="108">
        <v>154.51699316254667</v>
      </c>
      <c r="Q25" s="108">
        <v>147.0490179268827</v>
      </c>
      <c r="R25" s="108">
        <v>126.24664228153399</v>
      </c>
      <c r="S25" s="108">
        <v>126.2150892533958</v>
      </c>
      <c r="T25" s="108">
        <f>'[1]Corn Oil Balance Sheet'!T45*T41/2.204622</f>
        <v>141.09344711545066</v>
      </c>
      <c r="U25" s="108">
        <f>'[1]Corn Oil Balance Sheet'!U45*U41/2.204622</f>
        <v>155.90085535845151</v>
      </c>
      <c r="V25" s="108">
        <f>'[1]Corn Oil Balance Sheet'!V45*V41/2.204622</f>
        <v>157.99081526474933</v>
      </c>
      <c r="W25" s="76">
        <f>'NASS Data'!$R9</f>
        <v>97.138999999999996</v>
      </c>
      <c r="X25" s="76">
        <f>'NASS Data'!$R21</f>
        <v>88.177000000000007</v>
      </c>
      <c r="Y25" s="76">
        <f>'NASS Data'!$R33</f>
        <v>91.894999999999996</v>
      </c>
      <c r="Z25" s="76">
        <f>'NASS Data'!$R45</f>
        <v>92.486999999999995</v>
      </c>
      <c r="AA25" s="76">
        <f>'NASS Data'!$R57</f>
        <v>93.185000000000002</v>
      </c>
      <c r="AB25" s="76">
        <f>'NASS Data'!$R69</f>
        <v>91.013000000000005</v>
      </c>
      <c r="AC25" s="76">
        <f>'NASS Data'!$R81</f>
        <v>114.13500000000001</v>
      </c>
      <c r="AD25" s="76">
        <f>'NASS Data'!$R93</f>
        <v>112.099</v>
      </c>
      <c r="AE25" s="76">
        <f>'NASS Data'!$R105</f>
        <v>114.453</v>
      </c>
      <c r="AF25" s="76">
        <f>'NASS Data'!$R117</f>
        <v>119.711</v>
      </c>
      <c r="AG25" s="88">
        <f>'Ethanol Balance Sheet'!AG392*'Corn Gluten Meal Balance Sheet'!AG41</f>
        <v>110.7670813141218</v>
      </c>
      <c r="AH25" s="88">
        <f>'Ethanol Balance Sheet'!AH392*'Corn Gluten Meal Balance Sheet'!AH41</f>
        <v>113.21217003572315</v>
      </c>
      <c r="AI25" s="88">
        <f>'Ethanol Balance Sheet'!AI392*'Corn Gluten Meal Balance Sheet'!AI41</f>
        <v>114.13451266789102</v>
      </c>
      <c r="AJ25" s="88">
        <f>'Ethanol Balance Sheet'!AJ392*'Corn Gluten Meal Balance Sheet'!AJ41</f>
        <v>114.77897228951149</v>
      </c>
      <c r="AK25" s="88">
        <f>'Ethanol Balance Sheet'!AK392*'Corn Gluten Meal Balance Sheet'!AK41</f>
        <v>113.62554259502872</v>
      </c>
      <c r="AL25" s="88">
        <f>'Ethanol Balance Sheet'!AL392*'Corn Gluten Meal Balance Sheet'!AL41</f>
        <v>112.47351750816652</v>
      </c>
    </row>
    <row r="26" spans="1:38">
      <c r="A26" s="69" t="s">
        <v>34</v>
      </c>
      <c r="B26" s="108">
        <v>141.37344179637148</v>
      </c>
      <c r="C26" s="108">
        <v>146.3856388986411</v>
      </c>
      <c r="D26" s="108">
        <v>116.01762116136008</v>
      </c>
      <c r="E26" s="108">
        <v>143.2161613192647</v>
      </c>
      <c r="F26" s="108">
        <v>144.76404571849505</v>
      </c>
      <c r="G26" s="108">
        <v>144.24808425208496</v>
      </c>
      <c r="H26" s="108">
        <v>145.86967743223101</v>
      </c>
      <c r="I26" s="108">
        <v>144.22351465844633</v>
      </c>
      <c r="J26" s="108">
        <v>145.42742474673662</v>
      </c>
      <c r="K26" s="108">
        <v>149.57968607165611</v>
      </c>
      <c r="L26" s="108">
        <v>152.35605015281527</v>
      </c>
      <c r="M26" s="108">
        <v>153.01942918105692</v>
      </c>
      <c r="N26" s="108">
        <v>149.40769891618606</v>
      </c>
      <c r="O26" s="108">
        <v>146.77615368983888</v>
      </c>
      <c r="P26" s="108">
        <v>134.94235066147394</v>
      </c>
      <c r="Q26" s="108">
        <v>137.09833250325906</v>
      </c>
      <c r="R26" s="108">
        <v>132.03074041717809</v>
      </c>
      <c r="S26" s="108">
        <v>126.9711712484045</v>
      </c>
      <c r="T26" s="108">
        <f>'[1]Corn Oil Balance Sheet'!T46*T42/2.204622</f>
        <v>135.09119783196701</v>
      </c>
      <c r="U26" s="108">
        <f>'[1]Corn Oil Balance Sheet'!U46*U42/2.204622</f>
        <v>149.26868486080915</v>
      </c>
      <c r="V26" s="108">
        <f>'[1]Corn Oil Balance Sheet'!V46*V42/2.204622</f>
        <v>151.26973588716572</v>
      </c>
      <c r="W26" s="76">
        <f>'NASS Data'!$R10</f>
        <v>92.236999999999995</v>
      </c>
      <c r="X26" s="76">
        <f>'NASS Data'!$R22</f>
        <v>84.034000000000006</v>
      </c>
      <c r="Y26" s="76">
        <f>'NASS Data'!$R34</f>
        <v>86.805999999999997</v>
      </c>
      <c r="Z26" s="76">
        <f>'NASS Data'!$R46</f>
        <v>93.356999999999999</v>
      </c>
      <c r="AA26" s="76">
        <f>'NASS Data'!$R58</f>
        <v>92.106999999999999</v>
      </c>
      <c r="AB26" s="76">
        <f>'NASS Data'!$R70</f>
        <v>90.257000000000005</v>
      </c>
      <c r="AC26" s="76">
        <f>'NASS Data'!$R82</f>
        <v>112.18899999999999</v>
      </c>
      <c r="AD26" s="76">
        <f>'NASS Data'!$R94</f>
        <v>91.72</v>
      </c>
      <c r="AE26" s="76">
        <f>'NASS Data'!$R106</f>
        <v>110.43</v>
      </c>
      <c r="AF26" s="76">
        <f>'NASS Data'!$R118</f>
        <v>113.544</v>
      </c>
      <c r="AG26" s="88">
        <f>'Ethanol Balance Sheet'!AG393*'Corn Gluten Meal Balance Sheet'!AG42</f>
        <v>100.98535387981367</v>
      </c>
      <c r="AH26" s="88">
        <f>'Ethanol Balance Sheet'!AH393*'Corn Gluten Meal Balance Sheet'!AH42</f>
        <v>106.47082537682434</v>
      </c>
      <c r="AI26" s="88">
        <f>'Ethanol Balance Sheet'!AI393*'Corn Gluten Meal Balance Sheet'!AI42</f>
        <v>106.02944563788665</v>
      </c>
      <c r="AJ26" s="88">
        <f>'Ethanol Balance Sheet'!AJ393*'Corn Gluten Meal Balance Sheet'!AJ42</f>
        <v>107.58545493892896</v>
      </c>
      <c r="AK26" s="88">
        <f>'Ethanol Balance Sheet'!AK393*'Corn Gluten Meal Balance Sheet'!AK42</f>
        <v>106.48031385690086</v>
      </c>
      <c r="AL26" s="88">
        <f>'Ethanol Balance Sheet'!AL393*'Corn Gluten Meal Balance Sheet'!AL42</f>
        <v>105.18805966280793</v>
      </c>
    </row>
    <row r="27" spans="1:38">
      <c r="A27" s="69" t="s">
        <v>35</v>
      </c>
      <c r="B27" s="108">
        <v>139.89926617805682</v>
      </c>
      <c r="C27" s="108">
        <v>146.31193011772538</v>
      </c>
      <c r="D27" s="108">
        <v>116.01762116136008</v>
      </c>
      <c r="E27" s="108">
        <v>135.62415688494448</v>
      </c>
      <c r="F27" s="108">
        <v>149.48140769710182</v>
      </c>
      <c r="G27" s="108">
        <v>136.2138271322703</v>
      </c>
      <c r="H27" s="108">
        <v>153.40025788245481</v>
      </c>
      <c r="I27" s="108">
        <v>145.4765639340138</v>
      </c>
      <c r="J27" s="108">
        <v>156.16433716679472</v>
      </c>
      <c r="K27" s="108">
        <v>156.50831147773482</v>
      </c>
      <c r="L27" s="108">
        <v>147.63868817420854</v>
      </c>
      <c r="M27" s="108">
        <v>149.40769891618606</v>
      </c>
      <c r="N27" s="108">
        <v>155.74665407493896</v>
      </c>
      <c r="O27" s="108">
        <v>153.51767219051607</v>
      </c>
      <c r="P27" s="108">
        <v>150.31063148240375</v>
      </c>
      <c r="Q27" s="108">
        <v>134.88706907578714</v>
      </c>
      <c r="R27" s="108">
        <v>133.37416799796065</v>
      </c>
      <c r="S27" s="108">
        <v>120.69390466937188</v>
      </c>
      <c r="T27" s="108">
        <f>'[1]Corn Oil Balance Sheet'!T47*T43/2.204622</f>
        <v>139.88295298742494</v>
      </c>
      <c r="U27" s="108">
        <f>'[1]Corn Oil Balance Sheet'!U47*U43/2.204622</f>
        <v>154.56332286616521</v>
      </c>
      <c r="V27" s="108">
        <f>'[1]Corn Oil Balance Sheet'!V47*V43/2.204622</f>
        <v>156.63535221476454</v>
      </c>
      <c r="W27" s="76">
        <f>'NASS Data'!$R11</f>
        <v>97.13</v>
      </c>
      <c r="X27" s="76">
        <f>'NASS Data'!$R23</f>
        <v>89.125</v>
      </c>
      <c r="Y27" s="76">
        <f>'NASS Data'!$R35</f>
        <v>85.087000000000003</v>
      </c>
      <c r="Z27" s="76">
        <f>'NASS Data'!$R47</f>
        <v>93.113</v>
      </c>
      <c r="AA27" s="76">
        <f>'NASS Data'!$R59</f>
        <v>93.494</v>
      </c>
      <c r="AB27" s="76">
        <f>'NASS Data'!$R71</f>
        <v>93.578000000000003</v>
      </c>
      <c r="AC27" s="76">
        <f>'NASS Data'!$R83</f>
        <v>103.107</v>
      </c>
      <c r="AD27" s="76">
        <f>'NASS Data'!$R95</f>
        <v>105.79600000000001</v>
      </c>
      <c r="AE27" s="76">
        <f>'NASS Data'!$R107</f>
        <v>119.45</v>
      </c>
      <c r="AF27" s="76">
        <f>'NASS Data'!$R119</f>
        <v>118.626</v>
      </c>
      <c r="AG27" s="88">
        <f>'Ethanol Balance Sheet'!AG394*'Corn Gluten Meal Balance Sheet'!AG43</f>
        <v>105.71694760804625</v>
      </c>
      <c r="AH27" s="88">
        <f>'Ethanol Balance Sheet'!AH394*'Corn Gluten Meal Balance Sheet'!AH43</f>
        <v>109.45404345531851</v>
      </c>
      <c r="AI27" s="88">
        <f>'Ethanol Balance Sheet'!AI394*'Corn Gluten Meal Balance Sheet'!AI43</f>
        <v>110.07148055570076</v>
      </c>
      <c r="AJ27" s="88">
        <f>'Ethanol Balance Sheet'!AJ394*'Corn Gluten Meal Balance Sheet'!AJ43</f>
        <v>111.90230621457961</v>
      </c>
      <c r="AK27" s="88">
        <f>'Ethanol Balance Sheet'!AK394*'Corn Gluten Meal Balance Sheet'!AK43</f>
        <v>110.42701719903863</v>
      </c>
      <c r="AL27" s="88">
        <f>'Ethanol Balance Sheet'!AL394*'Corn Gluten Meal Balance Sheet'!AL43</f>
        <v>108.96685065411509</v>
      </c>
    </row>
    <row r="28" spans="1:38">
      <c r="A28" s="69" t="s">
        <v>36</v>
      </c>
      <c r="B28" s="108">
        <v>141.7419857009501</v>
      </c>
      <c r="C28" s="108">
        <v>138.27767299791077</v>
      </c>
      <c r="D28" s="108">
        <v>122.13544997736575</v>
      </c>
      <c r="E28" s="108">
        <v>140.48893642538269</v>
      </c>
      <c r="F28" s="108">
        <v>149.48140769710182</v>
      </c>
      <c r="G28" s="108">
        <v>149.26028135435462</v>
      </c>
      <c r="H28" s="108">
        <v>150.96786811223572</v>
      </c>
      <c r="I28" s="108">
        <v>149.45683810346327</v>
      </c>
      <c r="J28" s="108">
        <v>159.94805458713557</v>
      </c>
      <c r="K28" s="108">
        <v>146.18908214953251</v>
      </c>
      <c r="L28" s="108">
        <v>148.3020672024501</v>
      </c>
      <c r="M28" s="108">
        <v>143.3635788810962</v>
      </c>
      <c r="N28" s="108">
        <v>160.68514239629286</v>
      </c>
      <c r="O28" s="108">
        <v>146.74709542043942</v>
      </c>
      <c r="P28" s="108">
        <v>151.45382632487568</v>
      </c>
      <c r="Q28" s="108">
        <v>146.23822133680969</v>
      </c>
      <c r="R28" s="108">
        <v>131.32285262507585</v>
      </c>
      <c r="S28" s="108">
        <v>126.21211255262807</v>
      </c>
      <c r="T28" s="108">
        <f>'[1]Corn Oil Balance Sheet'!T48*T44/2.204622</f>
        <v>141.32555481401954</v>
      </c>
      <c r="U28" s="108">
        <f>'[1]Corn Oil Balance Sheet'!U48*U44/2.204622</f>
        <v>156.15732218580573</v>
      </c>
      <c r="V28" s="108">
        <f>'[1]Corn Oil Balance Sheet'!V48*V44/2.204622</f>
        <v>158.25072020913782</v>
      </c>
      <c r="W28" s="76">
        <f>'NASS Data'!$R12</f>
        <v>96.072000000000003</v>
      </c>
      <c r="X28" s="76">
        <f>'NASS Data'!$R24</f>
        <v>87.793000000000006</v>
      </c>
      <c r="Y28" s="76">
        <f>'NASS Data'!$R36</f>
        <v>92.822999999999993</v>
      </c>
      <c r="Z28" s="76">
        <f>'NASS Data'!$R48</f>
        <v>91.947000000000003</v>
      </c>
      <c r="AA28" s="76">
        <f>'NASS Data'!$R60</f>
        <v>90.513000000000005</v>
      </c>
      <c r="AB28" s="76">
        <f>'NASS Data'!$R72</f>
        <v>86.406000000000006</v>
      </c>
      <c r="AC28" s="76">
        <f>'NASS Data'!$R84</f>
        <v>106.05</v>
      </c>
      <c r="AD28" s="76">
        <f>'NASS Data'!$R96</f>
        <v>102.538</v>
      </c>
      <c r="AE28" s="76">
        <f>'NASS Data'!$R108</f>
        <v>127.748</v>
      </c>
      <c r="AF28" s="76">
        <f>'NASS Data'!$R120</f>
        <v>116.255</v>
      </c>
      <c r="AG28" s="88">
        <f>'Ethanol Balance Sheet'!AG395*'Corn Gluten Meal Balance Sheet'!AG44</f>
        <v>91.918330164805056</v>
      </c>
      <c r="AH28" s="88">
        <f>'Ethanol Balance Sheet'!AH395*'Corn Gluten Meal Balance Sheet'!AH44</f>
        <v>105.61748700859823</v>
      </c>
      <c r="AI28" s="88">
        <f>'Ethanol Balance Sheet'!AI395*'Corn Gluten Meal Balance Sheet'!AI44</f>
        <v>104.60854869604663</v>
      </c>
      <c r="AJ28" s="88">
        <f>'Ethanol Balance Sheet'!AJ395*'Corn Gluten Meal Balance Sheet'!AJ44</f>
        <v>105.37441590664285</v>
      </c>
      <c r="AK28" s="88">
        <f>'Ethanol Balance Sheet'!AK395*'Corn Gluten Meal Balance Sheet'!AK44</f>
        <v>104.72266810087868</v>
      </c>
      <c r="AL28" s="88">
        <f>'Ethanol Balance Sheet'!AL395*'Corn Gluten Meal Balance Sheet'!AL44</f>
        <v>102.05422469188819</v>
      </c>
    </row>
    <row r="29" spans="1:38" ht="12" thickBot="1">
      <c r="A29" s="69" t="s">
        <v>138</v>
      </c>
      <c r="B29" s="204">
        <f>SUM(B17:B28)</f>
        <v>1562.3558898834663</v>
      </c>
      <c r="C29" s="204">
        <f t="shared" ref="C29:S29" si="9">SUM(C17:C28)</f>
        <v>1611.8636210651982</v>
      </c>
      <c r="D29" s="204">
        <f t="shared" si="9"/>
        <v>1555.6238212264959</v>
      </c>
      <c r="E29" s="204">
        <f t="shared" si="9"/>
        <v>1573.498200598561</v>
      </c>
      <c r="F29" s="204">
        <f t="shared" si="9"/>
        <v>1645.069426867735</v>
      </c>
      <c r="G29" s="204">
        <f t="shared" si="9"/>
        <v>1657.4647868583972</v>
      </c>
      <c r="H29" s="204">
        <f t="shared" si="9"/>
        <v>1688.5084684207393</v>
      </c>
      <c r="I29" s="204">
        <f t="shared" si="9"/>
        <v>1693.7172222721172</v>
      </c>
      <c r="J29" s="204">
        <f t="shared" si="9"/>
        <v>1741.025974823197</v>
      </c>
      <c r="K29" s="204">
        <f t="shared" si="9"/>
        <v>1773.9000911116132</v>
      </c>
      <c r="L29" s="204">
        <f t="shared" si="9"/>
        <v>1733.2128440461297</v>
      </c>
      <c r="M29" s="204">
        <f t="shared" si="9"/>
        <v>1738.9375593639181</v>
      </c>
      <c r="N29" s="204">
        <f t="shared" si="9"/>
        <v>1779.8459327721487</v>
      </c>
      <c r="O29" s="204">
        <f t="shared" si="9"/>
        <v>1779.7637191318961</v>
      </c>
      <c r="P29" s="204">
        <f t="shared" si="9"/>
        <v>1752.4681172668149</v>
      </c>
      <c r="Q29" s="204">
        <f t="shared" si="9"/>
        <v>1748.4835835803144</v>
      </c>
      <c r="R29" s="204">
        <f t="shared" si="9"/>
        <v>1537.2834322618573</v>
      </c>
      <c r="S29" s="204">
        <f t="shared" si="9"/>
        <v>1472.1642757806098</v>
      </c>
      <c r="T29" s="204">
        <f>SUM(T17:T28)</f>
        <v>1611.3541824354929</v>
      </c>
      <c r="U29" s="204">
        <f t="shared" ref="U29:AL29" si="10">SUM(U17:U28)</f>
        <v>1825.7006848450185</v>
      </c>
      <c r="V29" s="204">
        <f t="shared" si="10"/>
        <v>1799.7617626034908</v>
      </c>
      <c r="W29" s="205">
        <f t="shared" si="10"/>
        <v>1295.9018983083301</v>
      </c>
      <c r="X29" s="205">
        <f t="shared" si="10"/>
        <v>1040.06</v>
      </c>
      <c r="Y29" s="205">
        <f>SUM(Y17:Y28)</f>
        <v>1051.7440000000001</v>
      </c>
      <c r="Z29" s="205">
        <f t="shared" si="10"/>
        <v>1104.174</v>
      </c>
      <c r="AA29" s="205">
        <f t="shared" si="10"/>
        <v>1059.53</v>
      </c>
      <c r="AB29" s="205">
        <f t="shared" si="10"/>
        <v>1069.296</v>
      </c>
      <c r="AC29" s="205">
        <f t="shared" si="10"/>
        <v>1293.1790000000001</v>
      </c>
      <c r="AD29" s="205">
        <f t="shared" si="10"/>
        <v>1236.7570000000001</v>
      </c>
      <c r="AE29" s="205">
        <f t="shared" si="10"/>
        <v>1355.221</v>
      </c>
      <c r="AF29" s="205">
        <f t="shared" si="10"/>
        <v>1359.739</v>
      </c>
      <c r="AG29" s="206">
        <f t="shared" si="10"/>
        <v>1245.17449810619</v>
      </c>
      <c r="AH29" s="206">
        <f t="shared" si="10"/>
        <v>1297.433511764365</v>
      </c>
      <c r="AI29" s="206">
        <f t="shared" si="10"/>
        <v>1300.5867293527374</v>
      </c>
      <c r="AJ29" s="206">
        <f t="shared" si="10"/>
        <v>1309.2986984601321</v>
      </c>
      <c r="AK29" s="206">
        <f t="shared" si="10"/>
        <v>1294.4165921591275</v>
      </c>
      <c r="AL29" s="206">
        <f t="shared" si="10"/>
        <v>1284.9838678987724</v>
      </c>
    </row>
    <row r="30" spans="1:38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</row>
    <row r="31" spans="1:38" ht="12" thickBot="1">
      <c r="A31" s="69" t="s">
        <v>337</v>
      </c>
    </row>
    <row r="32" spans="1:38" ht="12" thickBot="1">
      <c r="A32" s="202"/>
      <c r="B32" s="203" t="str">
        <f>B$2</f>
        <v xml:space="preserve">93/94 </v>
      </c>
      <c r="C32" s="203" t="str">
        <f t="shared" ref="C32:AL32" si="11">C$2</f>
        <v xml:space="preserve">94/95 </v>
      </c>
      <c r="D32" s="203" t="str">
        <f t="shared" si="11"/>
        <v xml:space="preserve">95/96 </v>
      </c>
      <c r="E32" s="203" t="str">
        <f t="shared" si="11"/>
        <v xml:space="preserve">96/97 </v>
      </c>
      <c r="F32" s="203" t="str">
        <f t="shared" si="11"/>
        <v xml:space="preserve">97/98 </v>
      </c>
      <c r="G32" s="203" t="str">
        <f t="shared" si="11"/>
        <v xml:space="preserve">98/99 </v>
      </c>
      <c r="H32" s="203" t="str">
        <f t="shared" si="11"/>
        <v xml:space="preserve">99/00 </v>
      </c>
      <c r="I32" s="203" t="str">
        <f t="shared" si="11"/>
        <v xml:space="preserve">00/01 </v>
      </c>
      <c r="J32" s="203" t="str">
        <f t="shared" si="11"/>
        <v xml:space="preserve">01/02 </v>
      </c>
      <c r="K32" s="203" t="str">
        <f t="shared" si="11"/>
        <v xml:space="preserve">02/03 </v>
      </c>
      <c r="L32" s="203" t="str">
        <f t="shared" si="11"/>
        <v xml:space="preserve">03/04 </v>
      </c>
      <c r="M32" s="203" t="str">
        <f t="shared" si="11"/>
        <v xml:space="preserve">04/05 </v>
      </c>
      <c r="N32" s="203" t="str">
        <f t="shared" si="11"/>
        <v xml:space="preserve">05/06 </v>
      </c>
      <c r="O32" s="203" t="str">
        <f t="shared" si="11"/>
        <v xml:space="preserve">06/07 </v>
      </c>
      <c r="P32" s="203" t="str">
        <f t="shared" si="11"/>
        <v xml:space="preserve">07/08 </v>
      </c>
      <c r="Q32" s="203" t="str">
        <f t="shared" si="11"/>
        <v xml:space="preserve">08/09 </v>
      </c>
      <c r="R32" s="203" t="str">
        <f t="shared" si="11"/>
        <v xml:space="preserve">09/10 </v>
      </c>
      <c r="S32" s="203" t="str">
        <f t="shared" si="11"/>
        <v xml:space="preserve">10/11 </v>
      </c>
      <c r="T32" s="203" t="str">
        <f t="shared" si="11"/>
        <v xml:space="preserve">11/12 </v>
      </c>
      <c r="U32" s="203" t="str">
        <f t="shared" si="11"/>
        <v xml:space="preserve">12/13 </v>
      </c>
      <c r="V32" s="203" t="str">
        <f t="shared" si="11"/>
        <v xml:space="preserve">13/14 </v>
      </c>
      <c r="W32" s="203" t="str">
        <f t="shared" si="11"/>
        <v xml:space="preserve">14/15 </v>
      </c>
      <c r="X32" s="203" t="str">
        <f t="shared" si="11"/>
        <v xml:space="preserve">15/16 </v>
      </c>
      <c r="Y32" s="203" t="str">
        <f t="shared" si="11"/>
        <v xml:space="preserve">16/17 </v>
      </c>
      <c r="Z32" s="203" t="str">
        <f t="shared" si="11"/>
        <v xml:space="preserve">17/18 </v>
      </c>
      <c r="AA32" s="203" t="str">
        <f t="shared" si="11"/>
        <v xml:space="preserve">18/19 </v>
      </c>
      <c r="AB32" s="203" t="str">
        <f t="shared" si="11"/>
        <v xml:space="preserve">19/20 </v>
      </c>
      <c r="AC32" s="203" t="str">
        <f t="shared" si="11"/>
        <v xml:space="preserve">20/21 </v>
      </c>
      <c r="AD32" s="203" t="str">
        <f t="shared" si="11"/>
        <v>21/22</v>
      </c>
      <c r="AE32" s="203" t="str">
        <f t="shared" si="11"/>
        <v>22/23</v>
      </c>
      <c r="AF32" s="203" t="str">
        <f t="shared" si="11"/>
        <v>23/24</v>
      </c>
      <c r="AG32" s="203" t="str">
        <f t="shared" si="11"/>
        <v>24/25</v>
      </c>
      <c r="AH32" s="203" t="str">
        <f t="shared" si="11"/>
        <v>25/26</v>
      </c>
      <c r="AI32" s="203" t="str">
        <f t="shared" si="11"/>
        <v>26/27</v>
      </c>
      <c r="AJ32" s="203" t="str">
        <f t="shared" si="11"/>
        <v>27/28</v>
      </c>
      <c r="AK32" s="203" t="str">
        <f t="shared" si="11"/>
        <v>28/29</v>
      </c>
      <c r="AL32" s="203" t="str">
        <f t="shared" si="11"/>
        <v>29/30</v>
      </c>
    </row>
    <row r="33" spans="1:38">
      <c r="A33" s="69" t="s">
        <v>37</v>
      </c>
      <c r="B33" s="207">
        <v>2.6</v>
      </c>
      <c r="C33" s="207">
        <v>2.6</v>
      </c>
      <c r="D33" s="207">
        <v>2.6</v>
      </c>
      <c r="E33" s="207">
        <v>2.6000000000000005</v>
      </c>
      <c r="F33" s="207">
        <v>2.6</v>
      </c>
      <c r="G33" s="207">
        <v>2.6</v>
      </c>
      <c r="H33" s="207">
        <v>2.6</v>
      </c>
      <c r="I33" s="207">
        <v>2.6</v>
      </c>
      <c r="J33" s="207">
        <v>2.6000000000000005</v>
      </c>
      <c r="K33" s="207">
        <v>2.6</v>
      </c>
      <c r="L33" s="207">
        <v>2.6000000000000005</v>
      </c>
      <c r="M33" s="207">
        <v>2.6</v>
      </c>
      <c r="N33" s="207">
        <v>2.6</v>
      </c>
      <c r="O33" s="207">
        <v>2.5</v>
      </c>
      <c r="P33" s="207">
        <v>2.5</v>
      </c>
      <c r="Q33" s="207">
        <v>2.6</v>
      </c>
      <c r="R33" s="207">
        <v>2.2000000000000002</v>
      </c>
      <c r="S33" s="207">
        <v>2.1</v>
      </c>
      <c r="T33" s="207">
        <v>2.2999999999999998</v>
      </c>
      <c r="U33" s="207">
        <v>2.5</v>
      </c>
      <c r="V33" s="207">
        <v>2.2999999999999998</v>
      </c>
      <c r="W33" s="207">
        <v>2.15</v>
      </c>
      <c r="X33" s="112">
        <f>X17/SUM('NASS Data'!$F13,'NASS Data'!$G13,'NASS Data'!$H13)</f>
        <v>0.94780198713946129</v>
      </c>
      <c r="Y33" s="112">
        <f>Y17/SUM('NASS Data'!$F25,'NASS Data'!$G25,'NASS Data'!$H25)</f>
        <v>0.92341191251943189</v>
      </c>
      <c r="Z33" s="112">
        <f>Z17/SUM('NASS Data'!$F37,'NASS Data'!$G37,'NASS Data'!$H37)</f>
        <v>0.92394455613162629</v>
      </c>
      <c r="AA33" s="112">
        <f>AA17/SUM('NASS Data'!$F49,'NASS Data'!$G49,'NASS Data'!$H49)</f>
        <v>0.95744167059554075</v>
      </c>
      <c r="AB33" s="112">
        <f>AB17/SUM('NASS Data'!$F61,'NASS Data'!$G61,'NASS Data'!$H61)</f>
        <v>1.0145688056162101</v>
      </c>
      <c r="AC33" s="112">
        <f>AC17/SUM('NASS Data'!$F73,'NASS Data'!$G73,'NASS Data'!$H73)</f>
        <v>1.0016783052637757</v>
      </c>
      <c r="AD33" s="112">
        <f>AD17/SUM('NASS Data'!$F85,'NASS Data'!$G85,'NASS Data'!$H85)</f>
        <v>1.2989684443849028</v>
      </c>
      <c r="AE33" s="112">
        <f>AE17/SUM('NASS Data'!$F97,'NASS Data'!$G97,'NASS Data'!$H97)</f>
        <v>1.3551724137931036</v>
      </c>
      <c r="AF33" s="112">
        <f>AF17/SUM('NASS Data'!$F109,'NASS Data'!$G109,'NASS Data'!$H109)</f>
        <v>1.4046854065585284</v>
      </c>
      <c r="AG33" s="112">
        <f>AG17/SUM('NASS Data'!$F121,'NASS Data'!$G121,'NASS Data'!$H121)</f>
        <v>1.3292729349067376</v>
      </c>
      <c r="AH33" s="208">
        <f t="shared" ref="AH33:AH35" si="12">(SUM(AC33:AG33)-MAX(AC33:AG33)-MIN(AC33:AG33))/3</f>
        <v>1.3278045976949142</v>
      </c>
      <c r="AI33" s="208">
        <f t="shared" ref="AI33:AI44" si="13">(SUM(AD33:AH33)-MAX(AD33:AH33)-MIN(AD33:AH33))/3</f>
        <v>1.3374166487982517</v>
      </c>
      <c r="AJ33" s="208">
        <f t="shared" ref="AJ33:AL44" si="14">(SUM(AE33:AI33)-MAX(AE33:AI33)-MIN(AE33:AI33))/3</f>
        <v>1.3406206658326976</v>
      </c>
      <c r="AK33" s="208">
        <f t="shared" si="14"/>
        <v>1.335770083179229</v>
      </c>
      <c r="AL33" s="208">
        <f t="shared" si="14"/>
        <v>1.3341532222947394</v>
      </c>
    </row>
    <row r="34" spans="1:38">
      <c r="A34" s="69" t="s">
        <v>38</v>
      </c>
      <c r="B34" s="207">
        <v>2.6</v>
      </c>
      <c r="C34" s="207">
        <v>2.6</v>
      </c>
      <c r="D34" s="207">
        <v>2.6000000000000005</v>
      </c>
      <c r="E34" s="207">
        <v>2.6</v>
      </c>
      <c r="F34" s="207">
        <v>2.6000000000000005</v>
      </c>
      <c r="G34" s="207">
        <v>2.6000000000000005</v>
      </c>
      <c r="H34" s="207">
        <v>2.6</v>
      </c>
      <c r="I34" s="207">
        <v>2.6</v>
      </c>
      <c r="J34" s="207">
        <v>2.6</v>
      </c>
      <c r="K34" s="207">
        <v>2.6000000000000005</v>
      </c>
      <c r="L34" s="207">
        <v>2.6</v>
      </c>
      <c r="M34" s="207">
        <v>2.6</v>
      </c>
      <c r="N34" s="207">
        <v>2.6</v>
      </c>
      <c r="O34" s="207">
        <v>2.5</v>
      </c>
      <c r="P34" s="207">
        <v>2.5</v>
      </c>
      <c r="Q34" s="207">
        <v>2.6</v>
      </c>
      <c r="R34" s="207">
        <v>2.2000000000000002</v>
      </c>
      <c r="S34" s="207">
        <v>2.1</v>
      </c>
      <c r="T34" s="207">
        <v>2.2999999999999998</v>
      </c>
      <c r="U34" s="207">
        <v>2.5</v>
      </c>
      <c r="V34" s="207">
        <v>2.2999999999999998</v>
      </c>
      <c r="W34" s="207">
        <v>2.15</v>
      </c>
      <c r="X34" s="112">
        <f>X18/SUM('NASS Data'!$F14,'NASS Data'!$G14,'NASS Data'!$H14)</f>
        <v>0.88375921323732443</v>
      </c>
      <c r="Y34" s="112">
        <f>Y18/SUM('NASS Data'!$F26,'NASS Data'!$G26,'NASS Data'!$H26)</f>
        <v>0.88762957701532796</v>
      </c>
      <c r="Z34" s="112">
        <f>Z18/SUM('NASS Data'!$F38,'NASS Data'!$G38,'NASS Data'!$H38)</f>
        <v>0.92853878556668246</v>
      </c>
      <c r="AA34" s="112">
        <f>AA18/SUM('NASS Data'!$F50,'NASS Data'!$G50,'NASS Data'!$H50)</f>
        <v>1.0004182212390356</v>
      </c>
      <c r="AB34" s="112">
        <f>AB18/SUM('NASS Data'!$F62,'NASS Data'!$G62,'NASS Data'!$H62)</f>
        <v>0.9913753098436916</v>
      </c>
      <c r="AC34" s="112">
        <f>AC18/SUM('NASS Data'!$F74,'NASS Data'!$G74,'NASS Data'!$H74)</f>
        <v>1.2072315882874889</v>
      </c>
      <c r="AD34" s="112">
        <f>AD18/SUM('NASS Data'!$F86,'NASS Data'!$G86,'NASS Data'!$H86)</f>
        <v>1.2172742732934645</v>
      </c>
      <c r="AE34" s="112">
        <f>AE18/SUM('NASS Data'!$F98,'NASS Data'!$G98,'NASS Data'!$H98)</f>
        <v>1.3591359135913592</v>
      </c>
      <c r="AF34" s="112">
        <f>AF18/SUM('NASS Data'!$F110,'NASS Data'!$G110,'NASS Data'!$H110)</f>
        <v>1.4598140173500591</v>
      </c>
      <c r="AG34" s="112">
        <f>AG18/SUM('NASS Data'!$F122,'NASS Data'!$G122,'NASS Data'!$H122)</f>
        <v>1.2883027240231728</v>
      </c>
      <c r="AH34" s="208">
        <f t="shared" si="12"/>
        <v>1.288237636969332</v>
      </c>
      <c r="AI34" s="208">
        <f t="shared" si="13"/>
        <v>1.3118920915279548</v>
      </c>
      <c r="AJ34" s="208">
        <f t="shared" si="14"/>
        <v>1.3197769097141625</v>
      </c>
      <c r="AK34" s="208">
        <f t="shared" si="14"/>
        <v>1.306657241755097</v>
      </c>
      <c r="AL34" s="208">
        <f t="shared" si="14"/>
        <v>1.3022840191020748</v>
      </c>
    </row>
    <row r="35" spans="1:38">
      <c r="A35" s="69" t="s">
        <v>39</v>
      </c>
      <c r="B35" s="207">
        <v>2.6000000000000005</v>
      </c>
      <c r="C35" s="207">
        <v>2.6</v>
      </c>
      <c r="D35" s="207">
        <v>2.6</v>
      </c>
      <c r="E35" s="207">
        <v>2.6000000000000005</v>
      </c>
      <c r="F35" s="207">
        <v>2.6000000000000005</v>
      </c>
      <c r="G35" s="207">
        <v>2.6000000000000005</v>
      </c>
      <c r="H35" s="207">
        <v>2.6000000000000005</v>
      </c>
      <c r="I35" s="207">
        <v>2.6</v>
      </c>
      <c r="J35" s="207">
        <v>2.6000000000000005</v>
      </c>
      <c r="K35" s="207">
        <v>2.6000000000000005</v>
      </c>
      <c r="L35" s="207">
        <v>2.6</v>
      </c>
      <c r="M35" s="207">
        <v>2.6000000000000005</v>
      </c>
      <c r="N35" s="207">
        <v>2.6000000000000005</v>
      </c>
      <c r="O35" s="207">
        <v>2.5</v>
      </c>
      <c r="P35" s="207">
        <v>2.5</v>
      </c>
      <c r="Q35" s="207">
        <v>2.6</v>
      </c>
      <c r="R35" s="207">
        <v>2.2000000000000002</v>
      </c>
      <c r="S35" s="207">
        <v>2.1</v>
      </c>
      <c r="T35" s="207">
        <v>2.2999999999999998</v>
      </c>
      <c r="U35" s="207">
        <v>2.5</v>
      </c>
      <c r="V35" s="207">
        <v>2.2999999999999998</v>
      </c>
      <c r="W35" s="207">
        <v>2.15</v>
      </c>
      <c r="X35" s="112">
        <f>X19/SUM('NASS Data'!$F15,'NASS Data'!$G15,'NASS Data'!$H15)</f>
        <v>0.9122165009661366</v>
      </c>
      <c r="Y35" s="112">
        <f>Y19/SUM('NASS Data'!$F27,'NASS Data'!$G27,'NASS Data'!$H27)</f>
        <v>0.87897982648688211</v>
      </c>
      <c r="Z35" s="112">
        <f>Z19/SUM('NASS Data'!$F39,'NASS Data'!$G39,'NASS Data'!$H39)</f>
        <v>0.97501132906065902</v>
      </c>
      <c r="AA35" s="112">
        <f>AA19/SUM('NASS Data'!$F51,'NASS Data'!$G51,'NASS Data'!$H51)</f>
        <v>0.97868882479512909</v>
      </c>
      <c r="AB35" s="112">
        <f>AB19/SUM('NASS Data'!$F63,'NASS Data'!$G63,'NASS Data'!$H63)</f>
        <v>1.0032066270291937</v>
      </c>
      <c r="AC35" s="112">
        <f>AC19/SUM('NASS Data'!$F75,'NASS Data'!$G75,'NASS Data'!$H75)</f>
        <v>1.2389110028855912</v>
      </c>
      <c r="AD35" s="112">
        <f>AD19/SUM('NASS Data'!$F87,'NASS Data'!$G87,'NASS Data'!$H87)</f>
        <v>1.3005282146815385</v>
      </c>
      <c r="AE35" s="112">
        <f>AE19/SUM('NASS Data'!$F99,'NASS Data'!$G99,'NASS Data'!$H99)</f>
        <v>1.3963417664893882</v>
      </c>
      <c r="AF35" s="112">
        <f>AF19/SUM('NASS Data'!$F111,'NASS Data'!$G111,'NASS Data'!$H111)</f>
        <v>1.3795836968714943</v>
      </c>
      <c r="AG35" s="112">
        <f>AG19/SUM('NASS Data'!$F123,'NASS Data'!$G123,'NASS Data'!$H123)</f>
        <v>1.2480476411225618</v>
      </c>
      <c r="AH35" s="208">
        <f t="shared" si="12"/>
        <v>1.3093865175585313</v>
      </c>
      <c r="AI35" s="208">
        <f t="shared" si="13"/>
        <v>1.3298328097038548</v>
      </c>
      <c r="AJ35" s="208">
        <f t="shared" si="14"/>
        <v>1.3396010080446266</v>
      </c>
      <c r="AK35" s="208">
        <f t="shared" si="14"/>
        <v>1.3262734451023375</v>
      </c>
      <c r="AL35" s="208">
        <f t="shared" si="14"/>
        <v>1.3218309241215744</v>
      </c>
    </row>
    <row r="36" spans="1:38">
      <c r="A36" s="69" t="s">
        <v>40</v>
      </c>
      <c r="B36" s="207">
        <v>2.6</v>
      </c>
      <c r="C36" s="207">
        <v>2.6000000000000005</v>
      </c>
      <c r="D36" s="207">
        <v>2.6</v>
      </c>
      <c r="E36" s="207">
        <v>2.6</v>
      </c>
      <c r="F36" s="207">
        <v>2.6</v>
      </c>
      <c r="G36" s="207">
        <v>2.6000000000000005</v>
      </c>
      <c r="H36" s="207">
        <v>2.6000000000000005</v>
      </c>
      <c r="I36" s="207">
        <v>2.6</v>
      </c>
      <c r="J36" s="207">
        <v>2.6</v>
      </c>
      <c r="K36" s="207">
        <v>2.6000000000000005</v>
      </c>
      <c r="L36" s="207">
        <v>2.6</v>
      </c>
      <c r="M36" s="207">
        <v>2.6000000000000005</v>
      </c>
      <c r="N36" s="207">
        <v>2.6000000000000005</v>
      </c>
      <c r="O36" s="207">
        <v>2.5</v>
      </c>
      <c r="P36" s="207">
        <v>2.5</v>
      </c>
      <c r="Q36" s="207">
        <v>2.6</v>
      </c>
      <c r="R36" s="207">
        <v>2.2000000000000002</v>
      </c>
      <c r="S36" s="207">
        <v>2.1</v>
      </c>
      <c r="T36" s="207">
        <v>2.2999999999999998</v>
      </c>
      <c r="U36" s="207">
        <v>2.5</v>
      </c>
      <c r="V36" s="207">
        <v>2.2999999999999998</v>
      </c>
      <c r="W36" s="207">
        <v>2.15</v>
      </c>
      <c r="X36" s="112">
        <f>X20/SUM('NASS Data'!$F16,'NASS Data'!$G16,'NASS Data'!$H16)</f>
        <v>0.90489177445124014</v>
      </c>
      <c r="Y36" s="112">
        <f>Y20/SUM('NASS Data'!$F28,'NASS Data'!$G28,'NASS Data'!$H28)</f>
        <v>0.90463425531050734</v>
      </c>
      <c r="Z36" s="112">
        <f>Z20/SUM('NASS Data'!$F40,'NASS Data'!$G40,'NASS Data'!$H40)</f>
        <v>0.95005266945484501</v>
      </c>
      <c r="AA36" s="112">
        <f>AA20/SUM('NASS Data'!$F52,'NASS Data'!$G52,'NASS Data'!$H52)</f>
        <v>0.96750532118102928</v>
      </c>
      <c r="AB36" s="112">
        <f>AB20/SUM('NASS Data'!$F64,'NASS Data'!$G64,'NASS Data'!$H64)</f>
        <v>0.9809557729777294</v>
      </c>
      <c r="AC36" s="112">
        <f>AC20/SUM('NASS Data'!$F76,'NASS Data'!$G76,'NASS Data'!$H76)</f>
        <v>1.2958693126153424</v>
      </c>
      <c r="AD36" s="112">
        <f>AD20/SUM('NASS Data'!$F88,'NASS Data'!$G88,'NASS Data'!$H88)</f>
        <v>1.2238845234418785</v>
      </c>
      <c r="AE36" s="112">
        <f>AE20/SUM('NASS Data'!$F100,'NASS Data'!$G100,'NASS Data'!$H100)</f>
        <v>1.2725541811490493</v>
      </c>
      <c r="AF36" s="112">
        <f>AF20/SUM('NASS Data'!$F112,'NASS Data'!$G112,'NASS Data'!$H112)</f>
        <v>1.3704570534664031</v>
      </c>
      <c r="AG36" s="112">
        <f>AG20/SUM('NASS Data'!$F112,'NASS Data'!$G112,'NASS Data'!$H112)</f>
        <v>1.2549264518632599</v>
      </c>
      <c r="AH36" s="208">
        <f>(SUM(AC36:AG36)-MAX(AC36:AG36)-MIN(AC36:AG36))/3</f>
        <v>1.2744499818758841</v>
      </c>
      <c r="AI36" s="208">
        <f t="shared" si="13"/>
        <v>1.2673102049627314</v>
      </c>
      <c r="AJ36" s="208">
        <f t="shared" si="14"/>
        <v>1.2714381226625548</v>
      </c>
      <c r="AK36" s="208">
        <f t="shared" si="14"/>
        <v>1.2710661031670567</v>
      </c>
      <c r="AL36" s="208">
        <f t="shared" si="14"/>
        <v>1.2699381435974475</v>
      </c>
    </row>
    <row r="37" spans="1:38">
      <c r="A37" s="69" t="s">
        <v>30</v>
      </c>
      <c r="B37" s="207">
        <v>2.6</v>
      </c>
      <c r="C37" s="207">
        <v>2.6000000000000005</v>
      </c>
      <c r="D37" s="207">
        <v>2.6</v>
      </c>
      <c r="E37" s="207">
        <v>2.6</v>
      </c>
      <c r="F37" s="207">
        <v>2.6000000000000005</v>
      </c>
      <c r="G37" s="207">
        <v>2.6000000000000005</v>
      </c>
      <c r="H37" s="207">
        <v>2.6000000000000005</v>
      </c>
      <c r="I37" s="207">
        <v>2.6</v>
      </c>
      <c r="J37" s="207">
        <v>2.6</v>
      </c>
      <c r="K37" s="207">
        <v>2.6</v>
      </c>
      <c r="L37" s="207">
        <v>2.6</v>
      </c>
      <c r="M37" s="207">
        <v>2.6</v>
      </c>
      <c r="N37" s="207">
        <v>2.6</v>
      </c>
      <c r="O37" s="207">
        <v>2.5</v>
      </c>
      <c r="P37" s="207">
        <v>2.5</v>
      </c>
      <c r="Q37" s="207">
        <v>2.6</v>
      </c>
      <c r="R37" s="207">
        <v>2.2000000000000002</v>
      </c>
      <c r="S37" s="207">
        <v>2.1</v>
      </c>
      <c r="T37" s="207">
        <v>2.2999999999999998</v>
      </c>
      <c r="U37" s="207">
        <v>2.5</v>
      </c>
      <c r="V37" s="207">
        <v>2.2999999999999998</v>
      </c>
      <c r="W37" s="112">
        <f>W21/SUM('NASS Data'!$F5,'NASS Data'!$G5,'NASS Data'!$H5)</f>
        <v>0.92847189491587934</v>
      </c>
      <c r="X37" s="112">
        <f>X21/SUM('NASS Data'!$F17,'NASS Data'!$G17,'NASS Data'!$H17)</f>
        <v>0.92990494863816542</v>
      </c>
      <c r="Y37" s="112">
        <f>Y21/SUM('NASS Data'!$F29,'NASS Data'!$G29,'NASS Data'!$H29)</f>
        <v>0.90211405753662011</v>
      </c>
      <c r="Z37" s="112">
        <f>Z21/SUM('NASS Data'!$F41,'NASS Data'!$G41,'NASS Data'!$H41)</f>
        <v>0.99826566897183633</v>
      </c>
      <c r="AA37" s="112">
        <f>AA21/SUM('NASS Data'!$F53,'NASS Data'!$G53,'NASS Data'!$H53)</f>
        <v>0.99901538607542384</v>
      </c>
      <c r="AB37" s="112">
        <f>AB21/SUM('NASS Data'!$F65,'NASS Data'!$G65,'NASS Data'!$H65)</f>
        <v>0.98895227168913391</v>
      </c>
      <c r="AC37" s="112">
        <f>AC21/SUM('NASS Data'!$F77,'NASS Data'!$G77,'NASS Data'!$H77)</f>
        <v>1.32196215422778</v>
      </c>
      <c r="AD37" s="112">
        <f>AD21/SUM('NASS Data'!$F89,'NASS Data'!$G89,'NASS Data'!$H89)</f>
        <v>1.2114717746691515</v>
      </c>
      <c r="AE37" s="112">
        <f>AE21/SUM('NASS Data'!$F101,'NASS Data'!$G101,'NASS Data'!$H101)</f>
        <v>1.4473377428182252</v>
      </c>
      <c r="AF37" s="112">
        <f>AF21/SUM('NASS Data'!$F113,'NASS Data'!$G113,'NASS Data'!$H113)</f>
        <v>1.4312795557021885</v>
      </c>
      <c r="AG37" s="112">
        <f>AG21/SUM('NASS Data'!$F113,'NASS Data'!$G113,'NASS Data'!$H113)</f>
        <v>1.4391290003299242</v>
      </c>
      <c r="AH37" s="208">
        <f t="shared" ref="AG37:AH44" si="15">(SUM(AC37:AG37)-MAX(AC37:AG37)-MIN(AC37:AG37))/3</f>
        <v>1.397456903419964</v>
      </c>
      <c r="AI37" s="208">
        <f t="shared" si="13"/>
        <v>1.422621819817359</v>
      </c>
      <c r="AJ37" s="208">
        <f t="shared" si="14"/>
        <v>1.4310101252831571</v>
      </c>
      <c r="AK37" s="208">
        <f t="shared" si="14"/>
        <v>1.4283038336009017</v>
      </c>
      <c r="AL37" s="208">
        <f t="shared" si="14"/>
        <v>1.4273119262338059</v>
      </c>
    </row>
    <row r="38" spans="1:38">
      <c r="A38" s="69" t="s">
        <v>31</v>
      </c>
      <c r="B38" s="207">
        <v>2.6</v>
      </c>
      <c r="C38" s="207">
        <v>2.6</v>
      </c>
      <c r="D38" s="207">
        <v>2.6000000000000005</v>
      </c>
      <c r="E38" s="207">
        <v>2.6000000000000005</v>
      </c>
      <c r="F38" s="207">
        <v>2.6000000000000005</v>
      </c>
      <c r="G38" s="207">
        <v>2.6</v>
      </c>
      <c r="H38" s="207">
        <v>2.6000000000000005</v>
      </c>
      <c r="I38" s="207">
        <v>2.6</v>
      </c>
      <c r="J38" s="207">
        <v>2.6000000000000005</v>
      </c>
      <c r="K38" s="207">
        <v>2.6</v>
      </c>
      <c r="L38" s="207">
        <v>2.6000000000000005</v>
      </c>
      <c r="M38" s="207">
        <v>2.6</v>
      </c>
      <c r="N38" s="207">
        <v>2.6</v>
      </c>
      <c r="O38" s="207">
        <v>2.5</v>
      </c>
      <c r="P38" s="207">
        <v>2.5</v>
      </c>
      <c r="Q38" s="207">
        <v>2.6</v>
      </c>
      <c r="R38" s="207">
        <v>2.2000000000000002</v>
      </c>
      <c r="S38" s="207">
        <v>2.1</v>
      </c>
      <c r="T38" s="207">
        <v>2.2999999999999998</v>
      </c>
      <c r="U38" s="207">
        <v>2.5</v>
      </c>
      <c r="V38" s="207">
        <v>2.2999999999999998</v>
      </c>
      <c r="W38" s="112">
        <f>W22/SUM('NASS Data'!$F6,'NASS Data'!$G6,'NASS Data'!$H6)</f>
        <v>0.95770260346338809</v>
      </c>
      <c r="X38" s="112">
        <f>X22/SUM('NASS Data'!$F18,'NASS Data'!$G18,'NASS Data'!$H18)</f>
        <v>0.92662796623313326</v>
      </c>
      <c r="Y38" s="112">
        <f>Y22/SUM('NASS Data'!$F30,'NASS Data'!$G30,'NASS Data'!$H30)</f>
        <v>0.90243650984569923</v>
      </c>
      <c r="Z38" s="112">
        <f>Z22/SUM('NASS Data'!$F42,'NASS Data'!$G42,'NASS Data'!$H42)</f>
        <v>1.0560401398390225</v>
      </c>
      <c r="AA38" s="112">
        <f>AA22/SUM('NASS Data'!$F54,'NASS Data'!$G54,'NASS Data'!$H54)</f>
        <v>0.97964914055879482</v>
      </c>
      <c r="AB38" s="112">
        <f>AB22/SUM('NASS Data'!$F66,'NASS Data'!$G66,'NASS Data'!$H66)</f>
        <v>0.99560004524375079</v>
      </c>
      <c r="AC38" s="112">
        <f>AC22/SUM('NASS Data'!$F78,'NASS Data'!$G78,'NASS Data'!$H78)</f>
        <v>1.376375600614353</v>
      </c>
      <c r="AD38" s="112">
        <f>AD22/SUM('NASS Data'!$F90,'NASS Data'!$G90,'NASS Data'!$H90)</f>
        <v>1.0660619638271134</v>
      </c>
      <c r="AE38" s="112">
        <f>AE22/SUM('NASS Data'!$F102,'NASS Data'!$G102,'NASS Data'!$H102)</f>
        <v>1.4501904698255697</v>
      </c>
      <c r="AF38" s="112">
        <f>AF22/SUM('NASS Data'!$F114,'NASS Data'!$G114,'NASS Data'!$H114)</f>
        <v>1.4090755460975153</v>
      </c>
      <c r="AG38" s="208">
        <f t="shared" si="15"/>
        <v>1.283837703512994</v>
      </c>
      <c r="AH38" s="208">
        <f t="shared" si="15"/>
        <v>1.3564296167416205</v>
      </c>
      <c r="AI38" s="208">
        <f t="shared" si="13"/>
        <v>1.3497809554507099</v>
      </c>
      <c r="AJ38" s="208">
        <f t="shared" si="14"/>
        <v>1.3717620394299486</v>
      </c>
      <c r="AK38" s="208">
        <f t="shared" si="14"/>
        <v>1.3593242038740929</v>
      </c>
      <c r="AL38" s="208">
        <f t="shared" si="14"/>
        <v>1.3551782586888077</v>
      </c>
    </row>
    <row r="39" spans="1:38">
      <c r="A39" s="69" t="s">
        <v>32</v>
      </c>
      <c r="B39" s="207">
        <v>2.6000000000000005</v>
      </c>
      <c r="C39" s="207">
        <v>2.6000000000000005</v>
      </c>
      <c r="D39" s="207">
        <v>2.6000000000000005</v>
      </c>
      <c r="E39" s="207">
        <v>2.6000000000000005</v>
      </c>
      <c r="F39" s="207">
        <v>2.6</v>
      </c>
      <c r="G39" s="207">
        <v>2.6</v>
      </c>
      <c r="H39" s="207">
        <v>2.6000000000000005</v>
      </c>
      <c r="I39" s="207">
        <v>2.6</v>
      </c>
      <c r="J39" s="207">
        <v>2.6</v>
      </c>
      <c r="K39" s="207">
        <v>2.6000000000000005</v>
      </c>
      <c r="L39" s="207">
        <v>2.6000000000000005</v>
      </c>
      <c r="M39" s="207">
        <v>2.6</v>
      </c>
      <c r="N39" s="207">
        <v>2.6</v>
      </c>
      <c r="O39" s="207">
        <v>2.5</v>
      </c>
      <c r="P39" s="207">
        <v>2.5</v>
      </c>
      <c r="Q39" s="207">
        <v>2.6</v>
      </c>
      <c r="R39" s="207">
        <v>2.2000000000000002</v>
      </c>
      <c r="S39" s="207">
        <v>2.1</v>
      </c>
      <c r="T39" s="207">
        <v>2.2999999999999998</v>
      </c>
      <c r="U39" s="207">
        <v>2.5</v>
      </c>
      <c r="V39" s="207">
        <v>2.2999999999999998</v>
      </c>
      <c r="W39" s="112">
        <f>W23/SUM('NASS Data'!$F7,'NASS Data'!$G7,'NASS Data'!$H7)</f>
        <v>0.95847020419931839</v>
      </c>
      <c r="X39" s="112">
        <f>X23/SUM('NASS Data'!$F19,'NASS Data'!$G19,'NASS Data'!$H19)</f>
        <v>0.94085443847531336</v>
      </c>
      <c r="Y39" s="112">
        <f>Y23/SUM('NASS Data'!$F31,'NASS Data'!$G31,'NASS Data'!$H31)</f>
        <v>0.91185221413869699</v>
      </c>
      <c r="Z39" s="112">
        <f>Z23/SUM('NASS Data'!$F43,'NASS Data'!$G43,'NASS Data'!$H43)</f>
        <v>1.0282796211038789</v>
      </c>
      <c r="AA39" s="112">
        <f>AA23/SUM('NASS Data'!$F55,'NASS Data'!$G55,'NASS Data'!$H55)</f>
        <v>1.0003939001744415</v>
      </c>
      <c r="AB39" s="112">
        <f>AB23/SUM('NASS Data'!$F67,'NASS Data'!$G67,'NASS Data'!$H67)</f>
        <v>1.0140230567186488</v>
      </c>
      <c r="AC39" s="112">
        <f>AC23/SUM('NASS Data'!$F79,'NASS Data'!$G79,'NASS Data'!$H79)</f>
        <v>1.3315753617741026</v>
      </c>
      <c r="AD39" s="112">
        <f>AD23/SUM('NASS Data'!$F91,'NASS Data'!$G91,'NASS Data'!$H91)</f>
        <v>1.2760608505513265</v>
      </c>
      <c r="AE39" s="112">
        <f>AE23/SUM('NASS Data'!$F103,'NASS Data'!$G103,'NASS Data'!$H103)</f>
        <v>1.4071777437272552</v>
      </c>
      <c r="AF39" s="112">
        <f>AF23/SUM('NASS Data'!$F115,'NASS Data'!$G115,'NASS Data'!$H115)</f>
        <v>1.3757192784269425</v>
      </c>
      <c r="AG39" s="208">
        <f t="shared" si="15"/>
        <v>1.327785163584124</v>
      </c>
      <c r="AH39" s="208">
        <f t="shared" si="15"/>
        <v>1.3450266012617231</v>
      </c>
      <c r="AI39" s="208">
        <f t="shared" si="13"/>
        <v>1.3495103477575963</v>
      </c>
      <c r="AJ39" s="208">
        <f t="shared" si="14"/>
        <v>1.3567520758154206</v>
      </c>
      <c r="AK39" s="208">
        <f t="shared" si="14"/>
        <v>1.3504296749449132</v>
      </c>
      <c r="AL39" s="208">
        <f t="shared" si="14"/>
        <v>1.3483222079880779</v>
      </c>
    </row>
    <row r="40" spans="1:38">
      <c r="A40" s="69" t="s">
        <v>33</v>
      </c>
      <c r="B40" s="207">
        <v>2.6</v>
      </c>
      <c r="C40" s="207">
        <v>2.6000000000000005</v>
      </c>
      <c r="D40" s="207">
        <v>2.6000000000000005</v>
      </c>
      <c r="E40" s="207">
        <v>2.6</v>
      </c>
      <c r="F40" s="207">
        <v>2.6000000000000005</v>
      </c>
      <c r="G40" s="207">
        <v>2.6</v>
      </c>
      <c r="H40" s="207">
        <v>2.6</v>
      </c>
      <c r="I40" s="207">
        <v>2.6</v>
      </c>
      <c r="J40" s="207">
        <v>2.6000000000000005</v>
      </c>
      <c r="K40" s="207">
        <v>2.6000000000000005</v>
      </c>
      <c r="L40" s="207">
        <v>2.6000000000000005</v>
      </c>
      <c r="M40" s="207">
        <v>2.6000000000000005</v>
      </c>
      <c r="N40" s="207">
        <v>2.6</v>
      </c>
      <c r="O40" s="207">
        <v>2.5</v>
      </c>
      <c r="P40" s="207">
        <v>2.5</v>
      </c>
      <c r="Q40" s="207">
        <v>2.6</v>
      </c>
      <c r="R40" s="207">
        <v>2.2000000000000002</v>
      </c>
      <c r="S40" s="207">
        <v>2.1</v>
      </c>
      <c r="T40" s="207">
        <v>2.2999999999999998</v>
      </c>
      <c r="U40" s="207">
        <v>2.5</v>
      </c>
      <c r="V40" s="207">
        <v>2.4</v>
      </c>
      <c r="W40" s="112">
        <f>W24/SUM('NASS Data'!$F8,'NASS Data'!$G8,'NASS Data'!$H8)</f>
        <v>0.94904093293965208</v>
      </c>
      <c r="X40" s="112">
        <f>X24/SUM('NASS Data'!$F20,'NASS Data'!$G20,'NASS Data'!$H20)</f>
        <v>0.92199782844733968</v>
      </c>
      <c r="Y40" s="112">
        <f>Y24/SUM('NASS Data'!$F32,'NASS Data'!$G32,'NASS Data'!$H32)</f>
        <v>0.90913033830263656</v>
      </c>
      <c r="Z40" s="112">
        <f>Z24/SUM('NASS Data'!$F44,'NASS Data'!$G44,'NASS Data'!$H44)</f>
        <v>1.0217476335758431</v>
      </c>
      <c r="AA40" s="112">
        <f>AA24/SUM('NASS Data'!$F56,'NASS Data'!$G56,'NASS Data'!$H56)</f>
        <v>1.0181194142949477</v>
      </c>
      <c r="AB40" s="112">
        <f>AB24/SUM('NASS Data'!$F68,'NASS Data'!$G68,'NASS Data'!$H68)</f>
        <v>0.95029597498733298</v>
      </c>
      <c r="AC40" s="112">
        <f>AC24/SUM('NASS Data'!$F80,'NASS Data'!$G80,'NASS Data'!$H80)</f>
        <v>1.3041860358606794</v>
      </c>
      <c r="AD40" s="112">
        <f>AD24/SUM('NASS Data'!$F92,'NASS Data'!$G92,'NASS Data'!$H92)</f>
        <v>1.2573874282075461</v>
      </c>
      <c r="AE40" s="112">
        <f>AE24/SUM('NASS Data'!$F104,'NASS Data'!$G104,'NASS Data'!$H104)</f>
        <v>1.3874445390864363</v>
      </c>
      <c r="AF40" s="112">
        <f>AF24/SUM('NASS Data'!$F116,'NASS Data'!$G116,'NASS Data'!$H116)</f>
        <v>1.4075308530762995</v>
      </c>
      <c r="AG40" s="208">
        <f t="shared" si="15"/>
        <v>1.3163393343848873</v>
      </c>
      <c r="AH40" s="208">
        <f t="shared" si="15"/>
        <v>1.3359899697773343</v>
      </c>
      <c r="AI40" s="208">
        <f t="shared" si="13"/>
        <v>1.3465912810828859</v>
      </c>
      <c r="AJ40" s="208">
        <f t="shared" si="14"/>
        <v>1.3566752633155523</v>
      </c>
      <c r="AK40" s="208">
        <f t="shared" si="14"/>
        <v>1.3464188380585911</v>
      </c>
      <c r="AL40" s="208">
        <f t="shared" si="14"/>
        <v>1.3430000296396039</v>
      </c>
    </row>
    <row r="41" spans="1:38">
      <c r="A41" s="69" t="s">
        <v>14</v>
      </c>
      <c r="B41" s="207">
        <v>2.6000000000000005</v>
      </c>
      <c r="C41" s="207">
        <v>2.6000000000000005</v>
      </c>
      <c r="D41" s="207">
        <v>2.6000000000000005</v>
      </c>
      <c r="E41" s="207">
        <v>2.6</v>
      </c>
      <c r="F41" s="207">
        <v>2.6</v>
      </c>
      <c r="G41" s="207">
        <v>2.6</v>
      </c>
      <c r="H41" s="207">
        <v>2.6000000000000005</v>
      </c>
      <c r="I41" s="207">
        <v>2.6000000000000005</v>
      </c>
      <c r="J41" s="207">
        <v>2.6</v>
      </c>
      <c r="K41" s="207">
        <v>2.6000000000000005</v>
      </c>
      <c r="L41" s="207">
        <v>2.6</v>
      </c>
      <c r="M41" s="207">
        <v>2.6000000000000005</v>
      </c>
      <c r="N41" s="207">
        <v>2.6000000000000005</v>
      </c>
      <c r="O41" s="207">
        <v>2.5</v>
      </c>
      <c r="P41" s="207">
        <v>2.5</v>
      </c>
      <c r="Q41" s="207">
        <v>2.6</v>
      </c>
      <c r="R41" s="207">
        <v>2.2000000000000002</v>
      </c>
      <c r="S41" s="207">
        <v>2.1</v>
      </c>
      <c r="T41" s="207">
        <v>2.2999999999999998</v>
      </c>
      <c r="U41" s="207">
        <v>2.5</v>
      </c>
      <c r="V41" s="207">
        <v>2.4</v>
      </c>
      <c r="W41" s="112">
        <f>W25/SUM('NASS Data'!$F9,'NASS Data'!$G9,'NASS Data'!$H9)</f>
        <v>0.96132492800380021</v>
      </c>
      <c r="X41" s="112">
        <f>X25/SUM('NASS Data'!$F21,'NASS Data'!$G21,'NASS Data'!$H21)</f>
        <v>0.91197459870925046</v>
      </c>
      <c r="Y41" s="112">
        <f>Y25/SUM('NASS Data'!$F33,'NASS Data'!$G33,'NASS Data'!$H33)</f>
        <v>0.92010012515644557</v>
      </c>
      <c r="Z41" s="112">
        <f>Z25/SUM('NASS Data'!$F45,'NASS Data'!$G45,'NASS Data'!$H45)</f>
        <v>1.0150690343964703</v>
      </c>
      <c r="AA41" s="112">
        <f>AA25/SUM('NASS Data'!$F57,'NASS Data'!$G57,'NASS Data'!$H57)</f>
        <v>0.9934752710641066</v>
      </c>
      <c r="AB41" s="112">
        <f>AB25/SUM('NASS Data'!$F69,'NASS Data'!$G69,'NASS Data'!$H69)</f>
        <v>0.96600365118451215</v>
      </c>
      <c r="AC41" s="112">
        <f>AC25/SUM('NASS Data'!$F81,'NASS Data'!$G81,'NASS Data'!$H81)</f>
        <v>1.2945466506362999</v>
      </c>
      <c r="AD41" s="112">
        <f>AD25/SUM('NASS Data'!$F93,'NASS Data'!$G93,'NASS Data'!$H93)</f>
        <v>1.2963018641010222</v>
      </c>
      <c r="AE41" s="112">
        <f>AE25/SUM('NASS Data'!$F105,'NASS Data'!$G105,'NASS Data'!$H105)</f>
        <v>1.402146348634643</v>
      </c>
      <c r="AF41" s="112">
        <f>AF25/SUM('NASS Data'!$F117,'NASS Data'!$G117,'NASS Data'!$H117)</f>
        <v>1.394745427006874</v>
      </c>
      <c r="AG41" s="208">
        <f t="shared" si="15"/>
        <v>1.3285313139147321</v>
      </c>
      <c r="AH41" s="208">
        <f t="shared" si="15"/>
        <v>1.3398595350075428</v>
      </c>
      <c r="AI41" s="208">
        <f t="shared" si="13"/>
        <v>1.3543787586430496</v>
      </c>
      <c r="AJ41" s="208">
        <f t="shared" si="14"/>
        <v>1.3629945735524887</v>
      </c>
      <c r="AK41" s="208">
        <f t="shared" si="14"/>
        <v>1.3524109557343602</v>
      </c>
      <c r="AL41" s="208">
        <f t="shared" si="14"/>
        <v>1.3488830831283174</v>
      </c>
    </row>
    <row r="42" spans="1:38">
      <c r="A42" s="69" t="s">
        <v>34</v>
      </c>
      <c r="B42" s="207">
        <v>2.6000000000000005</v>
      </c>
      <c r="C42" s="207">
        <v>2.6</v>
      </c>
      <c r="D42" s="207">
        <v>2.6</v>
      </c>
      <c r="E42" s="207">
        <v>2.6</v>
      </c>
      <c r="F42" s="207">
        <v>2.6</v>
      </c>
      <c r="G42" s="207">
        <v>2.6000000000000005</v>
      </c>
      <c r="H42" s="207">
        <v>2.6</v>
      </c>
      <c r="I42" s="207">
        <v>2.6</v>
      </c>
      <c r="J42" s="207">
        <v>2.6</v>
      </c>
      <c r="K42" s="207">
        <v>2.6</v>
      </c>
      <c r="L42" s="207">
        <v>2.6</v>
      </c>
      <c r="M42" s="207">
        <v>2.6000000000000005</v>
      </c>
      <c r="N42" s="207">
        <v>2.6</v>
      </c>
      <c r="O42" s="207">
        <v>2.5</v>
      </c>
      <c r="P42" s="207">
        <v>2.5</v>
      </c>
      <c r="Q42" s="207">
        <v>2.6</v>
      </c>
      <c r="R42" s="207">
        <v>2.2000000000000002</v>
      </c>
      <c r="S42" s="207">
        <v>2.1</v>
      </c>
      <c r="T42" s="207">
        <v>2.2999999999999998</v>
      </c>
      <c r="U42" s="207">
        <v>2.5</v>
      </c>
      <c r="V42" s="207">
        <v>2.4</v>
      </c>
      <c r="W42" s="112">
        <f>W26/SUM('NASS Data'!$F10,'NASS Data'!$G10,'NASS Data'!$H10)</f>
        <v>0.96810319492841845</v>
      </c>
      <c r="X42" s="112">
        <f>X26/SUM('NASS Data'!$F22,'NASS Data'!$G22,'NASS Data'!$H22)</f>
        <v>0.90651564185544753</v>
      </c>
      <c r="Y42" s="112">
        <f>Y26/SUM('NASS Data'!$F34,'NASS Data'!$G34,'NASS Data'!$H34)</f>
        <v>0.89960929808379886</v>
      </c>
      <c r="Z42" s="112">
        <f>Z26/SUM('NASS Data'!$F46,'NASS Data'!$G46,'NASS Data'!$H46)</f>
        <v>1.0048543689320388</v>
      </c>
      <c r="AA42" s="112">
        <f>AA26/SUM('NASS Data'!$F58,'NASS Data'!$G58,'NASS Data'!$H58)</f>
        <v>1.0216969307051502</v>
      </c>
      <c r="AB42" s="112">
        <f>AB26/SUM('NASS Data'!$F70,'NASS Data'!$G70,'NASS Data'!$H70)</f>
        <v>0.99652210396148921</v>
      </c>
      <c r="AC42" s="112">
        <f>AC26/SUM('NASS Data'!$F82,'NASS Data'!$G82,'NASS Data'!$H82)</f>
        <v>1.2833333333333332</v>
      </c>
      <c r="AD42" s="112">
        <f>AD26/SUM('NASS Data'!$F94,'NASS Data'!$G94,'NASS Data'!$H94)</f>
        <v>1.1040891745813921</v>
      </c>
      <c r="AE42" s="112">
        <f>AE26/SUM('NASS Data'!$F106,'NASS Data'!$G106,'NASS Data'!$H106)</f>
        <v>1.390053245723349</v>
      </c>
      <c r="AF42" s="112">
        <f>AF26/SUM('NASS Data'!$F118,'NASS Data'!$G118,'NASS Data'!$H118)</f>
        <v>1.3418421612422888</v>
      </c>
      <c r="AG42" s="208">
        <f t="shared" si="15"/>
        <v>1.2430882230523379</v>
      </c>
      <c r="AH42" s="208">
        <f t="shared" si="15"/>
        <v>1.2894212392093198</v>
      </c>
      <c r="AI42" s="208">
        <f t="shared" si="13"/>
        <v>1.291450541167982</v>
      </c>
      <c r="AJ42" s="208">
        <f t="shared" si="14"/>
        <v>1.3075713138731968</v>
      </c>
      <c r="AK42" s="208">
        <f t="shared" si="14"/>
        <v>1.2961476980834998</v>
      </c>
      <c r="AL42" s="208">
        <f t="shared" si="14"/>
        <v>1.2923398261536005</v>
      </c>
    </row>
    <row r="43" spans="1:38">
      <c r="A43" s="69" t="s">
        <v>35</v>
      </c>
      <c r="B43" s="207">
        <v>2.6</v>
      </c>
      <c r="C43" s="207">
        <v>2.6</v>
      </c>
      <c r="D43" s="207">
        <v>2.6</v>
      </c>
      <c r="E43" s="207">
        <v>2.6000000000000005</v>
      </c>
      <c r="F43" s="207">
        <v>2.6</v>
      </c>
      <c r="G43" s="207">
        <v>2.6</v>
      </c>
      <c r="H43" s="207">
        <v>2.6</v>
      </c>
      <c r="I43" s="207">
        <v>2.6000000000000005</v>
      </c>
      <c r="J43" s="207">
        <v>2.6000000000000005</v>
      </c>
      <c r="K43" s="207">
        <v>2.6</v>
      </c>
      <c r="L43" s="207">
        <v>2.6</v>
      </c>
      <c r="M43" s="207">
        <v>2.6</v>
      </c>
      <c r="N43" s="207">
        <v>2.6000000000000005</v>
      </c>
      <c r="O43" s="207">
        <v>2.5</v>
      </c>
      <c r="P43" s="207">
        <v>2.5</v>
      </c>
      <c r="Q43" s="207">
        <v>2.6</v>
      </c>
      <c r="R43" s="207">
        <v>2.2000000000000002</v>
      </c>
      <c r="S43" s="207">
        <v>2.1</v>
      </c>
      <c r="T43" s="207">
        <v>2.2999999999999998</v>
      </c>
      <c r="U43" s="207">
        <v>2.5</v>
      </c>
      <c r="V43" s="207">
        <v>2.4</v>
      </c>
      <c r="W43" s="112">
        <f>W27/SUM('NASS Data'!$F11,'NASS Data'!$G11,'NASS Data'!$H11)</f>
        <v>0.99801691275443616</v>
      </c>
      <c r="X43" s="112">
        <f>X27/SUM('NASS Data'!$F23,'NASS Data'!$G23,'NASS Data'!$H23)</f>
        <v>0.90708775215258419</v>
      </c>
      <c r="Y43" s="112">
        <f>Y27/SUM('NASS Data'!$F35,'NASS Data'!$G35,'NASS Data'!$H35)</f>
        <v>0.9077689583066616</v>
      </c>
      <c r="Z43" s="112">
        <f>Z27/SUM('NASS Data'!$F47,'NASS Data'!$G47,'NASS Data'!$H47)</f>
        <v>0.98540617195106472</v>
      </c>
      <c r="AA43" s="112">
        <f>AA27/SUM('NASS Data'!$F59,'NASS Data'!$G59,'NASS Data'!$H59)</f>
        <v>0.98268885128388406</v>
      </c>
      <c r="AB43" s="112">
        <f>AB27/SUM('NASS Data'!$F71,'NASS Data'!$G71,'NASS Data'!$H71)</f>
        <v>0.98825641567219358</v>
      </c>
      <c r="AC43" s="112">
        <f>AC27/SUM('NASS Data'!$F83,'NASS Data'!$G83,'NASS Data'!$H83)</f>
        <v>1.1838452264768355</v>
      </c>
      <c r="AD43" s="112">
        <f>AD27/SUM('NASS Data'!$F95,'NASS Data'!$G95,'NASS Data'!$H95)</f>
        <v>1.2780227346854955</v>
      </c>
      <c r="AE43" s="112">
        <f>AE27/SUM('NASS Data'!$F107,'NASS Data'!$G107,'NASS Data'!$H107)</f>
        <v>1.4597514328660988</v>
      </c>
      <c r="AF43" s="112">
        <f>AF27/SUM('NASS Data'!$F119,'NASS Data'!$G119,'NASS Data'!$H119)</f>
        <v>1.3729066604941844</v>
      </c>
      <c r="AG43" s="208">
        <f t="shared" si="15"/>
        <v>1.2782582072188386</v>
      </c>
      <c r="AH43" s="208">
        <f t="shared" si="15"/>
        <v>1.3097292007995065</v>
      </c>
      <c r="AI43" s="208">
        <f t="shared" si="13"/>
        <v>1.3202980228375099</v>
      </c>
      <c r="AJ43" s="208">
        <f t="shared" si="14"/>
        <v>1.3343112947104003</v>
      </c>
      <c r="AK43" s="208">
        <f t="shared" si="14"/>
        <v>1.3214461727824725</v>
      </c>
      <c r="AL43" s="208">
        <f t="shared" si="14"/>
        <v>1.3171577988064964</v>
      </c>
    </row>
    <row r="44" spans="1:38">
      <c r="A44" s="69" t="s">
        <v>36</v>
      </c>
      <c r="B44" s="207">
        <v>2.6</v>
      </c>
      <c r="C44" s="207">
        <v>2.6000000000000005</v>
      </c>
      <c r="D44" s="207">
        <v>2.6000000000000005</v>
      </c>
      <c r="E44" s="207">
        <v>2.6000000000000005</v>
      </c>
      <c r="F44" s="207">
        <v>2.6</v>
      </c>
      <c r="G44" s="207">
        <v>2.6</v>
      </c>
      <c r="H44" s="207">
        <v>2.6000000000000005</v>
      </c>
      <c r="I44" s="207">
        <v>2.6000000000000005</v>
      </c>
      <c r="J44" s="207">
        <v>2.6</v>
      </c>
      <c r="K44" s="207">
        <v>2.6</v>
      </c>
      <c r="L44" s="207">
        <v>2.6</v>
      </c>
      <c r="M44" s="207">
        <v>2.6000000000000005</v>
      </c>
      <c r="N44" s="207">
        <v>2.6</v>
      </c>
      <c r="O44" s="207">
        <v>2.5</v>
      </c>
      <c r="P44" s="207">
        <v>2.5</v>
      </c>
      <c r="Q44" s="207">
        <v>2.6</v>
      </c>
      <c r="R44" s="207">
        <v>2.2000000000000002</v>
      </c>
      <c r="S44" s="207">
        <v>2.1</v>
      </c>
      <c r="T44" s="207">
        <v>2.2999999999999998</v>
      </c>
      <c r="U44" s="207">
        <v>2.5</v>
      </c>
      <c r="V44" s="207">
        <v>2.4</v>
      </c>
      <c r="W44" s="112">
        <f>W28/SUM('NASS Data'!$F12,'NASS Data'!$G12,'NASS Data'!$H12)</f>
        <v>0.99719748396338048</v>
      </c>
      <c r="X44" s="112">
        <f>X28/SUM('NASS Data'!$F24,'NASS Data'!$G24,'NASS Data'!$H24)</f>
        <v>0.91042299675415583</v>
      </c>
      <c r="Y44" s="112">
        <f>Y28/SUM('NASS Data'!$F36,'NASS Data'!$G36,'NASS Data'!$H36)</f>
        <v>0.86485353309481205</v>
      </c>
      <c r="Z44" s="112">
        <f>Z28/SUM('NASS Data'!$F48,'NASS Data'!$G48,'NASS Data'!$H48)</f>
        <v>0.97387040057618579</v>
      </c>
      <c r="AA44" s="112">
        <f>AA28/SUM('NASS Data'!$F60,'NASS Data'!$G60,'NASS Data'!$H60)</f>
        <v>0.96579135500805613</v>
      </c>
      <c r="AB44" s="112">
        <f>AB28/SUM('NASS Data'!$F72,'NASS Data'!$G72,'NASS Data'!$H72)</f>
        <v>0.98791488972479802</v>
      </c>
      <c r="AC44" s="112">
        <f>AC28/SUM('NASS Data'!$F84,'NASS Data'!$G84,'NASS Data'!$H84)</f>
        <v>1.1820634000624191</v>
      </c>
      <c r="AD44" s="112">
        <f>AD28/SUM('NASS Data'!$F96,'NASS Data'!$G96,'NASS Data'!$H96)</f>
        <v>1.3416989427405002</v>
      </c>
      <c r="AE44" s="112">
        <f>AE28/SUM('NASS Data'!$F108,'NASS Data'!$G108,'NASS Data'!$H108)</f>
        <v>1.6348395848530219</v>
      </c>
      <c r="AF44" s="112">
        <f>AF28/SUM('NASS Data'!$F120,'NASS Data'!$G120,'NASS Data'!$H120)</f>
        <v>1.3307120863523458</v>
      </c>
      <c r="AG44" s="208">
        <f t="shared" si="15"/>
        <v>1.2848248097184216</v>
      </c>
      <c r="AH44" s="208">
        <f t="shared" si="15"/>
        <v>1.3190786129370891</v>
      </c>
      <c r="AI44" s="208">
        <f t="shared" si="13"/>
        <v>1.3304965473433119</v>
      </c>
      <c r="AJ44" s="208">
        <f t="shared" si="14"/>
        <v>1.3267624155442486</v>
      </c>
      <c r="AK44" s="208">
        <f t="shared" si="14"/>
        <v>1.3254458586082165</v>
      </c>
      <c r="AL44" s="208">
        <f t="shared" si="14"/>
        <v>1.323762295696518</v>
      </c>
    </row>
    <row r="45" spans="1:38" ht="12" thickBot="1">
      <c r="A45" s="69" t="s">
        <v>338</v>
      </c>
      <c r="B45" s="209">
        <v>0.43123287671232879</v>
      </c>
      <c r="C45" s="209">
        <v>0.4</v>
      </c>
      <c r="D45" s="209">
        <v>0.38043478260869568</v>
      </c>
      <c r="E45" s="210">
        <f>AVERAGE(E33:E44)</f>
        <v>2.600000000000001</v>
      </c>
      <c r="F45" s="210">
        <f t="shared" ref="F45:AF45" si="16">AVERAGE(F33:F44)</f>
        <v>2.600000000000001</v>
      </c>
      <c r="G45" s="210">
        <f t="shared" si="16"/>
        <v>2.600000000000001</v>
      </c>
      <c r="H45" s="210">
        <f t="shared" si="16"/>
        <v>2.600000000000001</v>
      </c>
      <c r="I45" s="210">
        <f t="shared" si="16"/>
        <v>2.6000000000000005</v>
      </c>
      <c r="J45" s="210">
        <f t="shared" si="16"/>
        <v>2.600000000000001</v>
      </c>
      <c r="K45" s="210">
        <f t="shared" si="16"/>
        <v>2.600000000000001</v>
      </c>
      <c r="L45" s="210">
        <f t="shared" si="16"/>
        <v>2.600000000000001</v>
      </c>
      <c r="M45" s="210">
        <f t="shared" si="16"/>
        <v>2.600000000000001</v>
      </c>
      <c r="N45" s="210">
        <f t="shared" si="16"/>
        <v>2.600000000000001</v>
      </c>
      <c r="O45" s="210">
        <f t="shared" si="16"/>
        <v>2.5</v>
      </c>
      <c r="P45" s="210">
        <f t="shared" si="16"/>
        <v>2.5</v>
      </c>
      <c r="Q45" s="210">
        <f t="shared" si="16"/>
        <v>2.6000000000000005</v>
      </c>
      <c r="R45" s="210">
        <f t="shared" si="16"/>
        <v>2.1999999999999997</v>
      </c>
      <c r="S45" s="210">
        <f t="shared" si="16"/>
        <v>2.1000000000000005</v>
      </c>
      <c r="T45" s="210">
        <f t="shared" si="16"/>
        <v>2.3000000000000003</v>
      </c>
      <c r="U45" s="210">
        <f t="shared" si="16"/>
        <v>2.5</v>
      </c>
      <c r="V45" s="210">
        <f t="shared" si="16"/>
        <v>2.3416666666666663</v>
      </c>
      <c r="W45" s="112">
        <f t="shared" si="16"/>
        <v>1.3598606795973562</v>
      </c>
      <c r="X45" s="112">
        <f t="shared" si="16"/>
        <v>0.91700463725496262</v>
      </c>
      <c r="Y45" s="112">
        <f t="shared" si="16"/>
        <v>0.9010433838164601</v>
      </c>
      <c r="Z45" s="112">
        <f t="shared" si="16"/>
        <v>0.98842336496334593</v>
      </c>
      <c r="AA45" s="112">
        <f t="shared" si="16"/>
        <v>0.98874035724796172</v>
      </c>
      <c r="AB45" s="112">
        <f t="shared" si="16"/>
        <v>0.98980624372072368</v>
      </c>
      <c r="AC45" s="112">
        <f t="shared" si="16"/>
        <v>1.2517981643364999</v>
      </c>
      <c r="AD45" s="112">
        <f t="shared" si="16"/>
        <v>1.2393125157637774</v>
      </c>
      <c r="AE45" s="112">
        <f t="shared" si="16"/>
        <v>1.4135121152131249</v>
      </c>
      <c r="AF45" s="112">
        <f t="shared" si="16"/>
        <v>1.3898626452204266</v>
      </c>
      <c r="AG45" s="208">
        <f>AVERAGE(AG33:AG44)</f>
        <v>1.3018619589693328</v>
      </c>
      <c r="AH45" s="208">
        <f>AVERAGE(AH33:AH44)</f>
        <v>1.3244058677710633</v>
      </c>
      <c r="AI45" s="208">
        <f t="shared" ref="AI45:AL45" si="17">AVERAGE(AI33:AI44)</f>
        <v>1.3342983357577667</v>
      </c>
      <c r="AJ45" s="208">
        <f t="shared" si="17"/>
        <v>1.3432729839815378</v>
      </c>
      <c r="AK45" s="208">
        <f t="shared" si="17"/>
        <v>1.3349745090742307</v>
      </c>
      <c r="AL45" s="208">
        <f t="shared" si="17"/>
        <v>1.3320134779542554</v>
      </c>
    </row>
    <row r="46" spans="1:38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</row>
    <row r="47" spans="1:38" ht="12" thickBot="1">
      <c r="A47" s="69" t="s">
        <v>339</v>
      </c>
      <c r="J47" s="211"/>
    </row>
    <row r="48" spans="1:38" ht="12.75" thickBot="1">
      <c r="A48" s="212" t="s">
        <v>340</v>
      </c>
      <c r="B48" s="203" t="str">
        <f>B$2</f>
        <v xml:space="preserve">93/94 </v>
      </c>
      <c r="C48" s="203" t="str">
        <f t="shared" ref="C48:AL48" si="18">C$2</f>
        <v xml:space="preserve">94/95 </v>
      </c>
      <c r="D48" s="203" t="str">
        <f t="shared" si="18"/>
        <v xml:space="preserve">95/96 </v>
      </c>
      <c r="E48" s="203" t="str">
        <f t="shared" si="18"/>
        <v xml:space="preserve">96/97 </v>
      </c>
      <c r="F48" s="203" t="str">
        <f t="shared" si="18"/>
        <v xml:space="preserve">97/98 </v>
      </c>
      <c r="G48" s="203" t="str">
        <f t="shared" si="18"/>
        <v xml:space="preserve">98/99 </v>
      </c>
      <c r="H48" s="203" t="str">
        <f t="shared" si="18"/>
        <v xml:space="preserve">99/00 </v>
      </c>
      <c r="I48" s="203" t="str">
        <f t="shared" si="18"/>
        <v xml:space="preserve">00/01 </v>
      </c>
      <c r="J48" s="203" t="str">
        <f t="shared" si="18"/>
        <v xml:space="preserve">01/02 </v>
      </c>
      <c r="K48" s="203" t="str">
        <f t="shared" si="18"/>
        <v xml:space="preserve">02/03 </v>
      </c>
      <c r="L48" s="203" t="str">
        <f t="shared" si="18"/>
        <v xml:space="preserve">03/04 </v>
      </c>
      <c r="M48" s="203" t="str">
        <f t="shared" si="18"/>
        <v xml:space="preserve">04/05 </v>
      </c>
      <c r="N48" s="203" t="str">
        <f t="shared" si="18"/>
        <v xml:space="preserve">05/06 </v>
      </c>
      <c r="O48" s="203" t="str">
        <f t="shared" si="18"/>
        <v xml:space="preserve">06/07 </v>
      </c>
      <c r="P48" s="203" t="str">
        <f t="shared" si="18"/>
        <v xml:space="preserve">07/08 </v>
      </c>
      <c r="Q48" s="203" t="str">
        <f t="shared" si="18"/>
        <v xml:space="preserve">08/09 </v>
      </c>
      <c r="R48" s="203" t="str">
        <f t="shared" si="18"/>
        <v xml:space="preserve">09/10 </v>
      </c>
      <c r="S48" s="203" t="str">
        <f t="shared" si="18"/>
        <v xml:space="preserve">10/11 </v>
      </c>
      <c r="T48" s="203" t="str">
        <f t="shared" si="18"/>
        <v xml:space="preserve">11/12 </v>
      </c>
      <c r="U48" s="203" t="str">
        <f t="shared" si="18"/>
        <v xml:space="preserve">12/13 </v>
      </c>
      <c r="V48" s="203" t="str">
        <f t="shared" si="18"/>
        <v xml:space="preserve">13/14 </v>
      </c>
      <c r="W48" s="203" t="str">
        <f t="shared" si="18"/>
        <v xml:space="preserve">14/15 </v>
      </c>
      <c r="X48" s="203" t="str">
        <f t="shared" si="18"/>
        <v xml:space="preserve">15/16 </v>
      </c>
      <c r="Y48" s="203" t="str">
        <f t="shared" si="18"/>
        <v xml:space="preserve">16/17 </v>
      </c>
      <c r="Z48" s="203" t="str">
        <f t="shared" si="18"/>
        <v xml:space="preserve">17/18 </v>
      </c>
      <c r="AA48" s="203" t="str">
        <f t="shared" si="18"/>
        <v xml:space="preserve">18/19 </v>
      </c>
      <c r="AB48" s="203" t="str">
        <f t="shared" si="18"/>
        <v xml:space="preserve">19/20 </v>
      </c>
      <c r="AC48" s="203" t="str">
        <f t="shared" si="18"/>
        <v xml:space="preserve">20/21 </v>
      </c>
      <c r="AD48" s="203" t="str">
        <f t="shared" si="18"/>
        <v>21/22</v>
      </c>
      <c r="AE48" s="203" t="str">
        <f t="shared" si="18"/>
        <v>22/23</v>
      </c>
      <c r="AF48" s="203" t="str">
        <f t="shared" si="18"/>
        <v>23/24</v>
      </c>
      <c r="AG48" s="203" t="str">
        <f t="shared" si="18"/>
        <v>24/25</v>
      </c>
      <c r="AH48" s="203" t="str">
        <f t="shared" si="18"/>
        <v>25/26</v>
      </c>
      <c r="AI48" s="203" t="str">
        <f t="shared" si="18"/>
        <v>26/27</v>
      </c>
      <c r="AJ48" s="203" t="str">
        <f t="shared" si="18"/>
        <v>27/28</v>
      </c>
      <c r="AK48" s="203" t="str">
        <f t="shared" si="18"/>
        <v>28/29</v>
      </c>
      <c r="AL48" s="203" t="str">
        <f t="shared" si="18"/>
        <v>29/30</v>
      </c>
    </row>
    <row r="49" spans="1:38">
      <c r="A49" s="69" t="s">
        <v>37</v>
      </c>
      <c r="B49" s="213">
        <v>0.28399999815737675</v>
      </c>
      <c r="C49" s="213">
        <v>0.68899999552969227</v>
      </c>
      <c r="D49" s="213">
        <v>0.9019999941477248</v>
      </c>
      <c r="E49" s="213">
        <v>1.3079999915135518</v>
      </c>
      <c r="F49" s="213">
        <v>1.3129999914811117</v>
      </c>
      <c r="G49" s="213">
        <v>1.2339999919936722</v>
      </c>
      <c r="H49" s="213">
        <v>1.2249999920520653</v>
      </c>
      <c r="I49" s="213">
        <v>1.4349999906895623</v>
      </c>
      <c r="J49" s="213">
        <v>0.55199999641856334</v>
      </c>
      <c r="K49" s="213">
        <v>1.0589999931290917</v>
      </c>
      <c r="L49" s="213">
        <v>1.0649999930901628</v>
      </c>
      <c r="M49" s="213">
        <v>0.69499999549076363</v>
      </c>
      <c r="N49" s="213">
        <v>1.1939999922531965</v>
      </c>
      <c r="O49" s="213">
        <v>0.71199999538046577</v>
      </c>
      <c r="P49" s="213">
        <v>1.1989999922207559</v>
      </c>
      <c r="Q49" s="213">
        <v>0.83099999460838059</v>
      </c>
      <c r="R49" s="213">
        <v>0.52199999661320651</v>
      </c>
      <c r="S49" s="213">
        <v>0.45399999705439803</v>
      </c>
      <c r="T49" s="213">
        <v>0.65699999573731171</v>
      </c>
      <c r="U49" s="213">
        <v>0.98099999363516421</v>
      </c>
      <c r="V49" s="213">
        <v>0.9579999937843906</v>
      </c>
      <c r="W49" s="213">
        <v>0.95999999377141443</v>
      </c>
      <c r="X49" s="213">
        <v>1.0859999929539126</v>
      </c>
      <c r="Y49" s="213">
        <v>0.64599999580868084</v>
      </c>
      <c r="Z49" s="92">
        <v>1.105</v>
      </c>
      <c r="AA49" s="93">
        <v>1.212</v>
      </c>
      <c r="AB49" s="93">
        <v>1.3149999999999999</v>
      </c>
      <c r="AC49" s="93">
        <v>1.1819999999999999</v>
      </c>
      <c r="AD49" s="93">
        <v>0.84699999999999998</v>
      </c>
      <c r="AE49" s="93">
        <v>2.8340000000000001</v>
      </c>
      <c r="AF49" s="93">
        <v>1.794</v>
      </c>
      <c r="AG49" s="93">
        <v>1.577</v>
      </c>
      <c r="AH49" s="109">
        <f t="shared" ref="AG49:AH59" si="19">(SUM(AB49:AF49)/SUM(AB$61:AF$61))*AH$61</f>
        <v>1.9986762405230853</v>
      </c>
      <c r="AI49" s="109">
        <f t="shared" ref="AI49:AI59" si="20">(SUM(AC49:AG49)/SUM(AC$61:AG$61))*AI$61</f>
        <v>1.8634861720907072</v>
      </c>
      <c r="AJ49" s="109">
        <f t="shared" ref="AJ49:AL59" si="21">(SUM(AD49:AH49)/SUM(AD$61:AH$61))*AJ$61</f>
        <v>1.8736132655411513</v>
      </c>
      <c r="AK49" s="109">
        <f t="shared" si="21"/>
        <v>2.099127253520479</v>
      </c>
      <c r="AL49" s="109">
        <f t="shared" si="21"/>
        <v>1.8694831087835113</v>
      </c>
    </row>
    <row r="50" spans="1:38">
      <c r="A50" s="69" t="s">
        <v>38</v>
      </c>
      <c r="B50" s="213">
        <v>0.17099999889053319</v>
      </c>
      <c r="C50" s="213">
        <v>0.54399999647046815</v>
      </c>
      <c r="D50" s="213">
        <v>0.85299999446564223</v>
      </c>
      <c r="E50" s="213">
        <v>1.599999989619024</v>
      </c>
      <c r="F50" s="213">
        <v>1.3049999915330166</v>
      </c>
      <c r="G50" s="213">
        <v>0.6419999958346333</v>
      </c>
      <c r="H50" s="213">
        <v>1.6729999891453919</v>
      </c>
      <c r="I50" s="213">
        <v>1.2559999918509339</v>
      </c>
      <c r="J50" s="213">
        <v>0.77099999499766714</v>
      </c>
      <c r="K50" s="213">
        <v>1.3239999914097422</v>
      </c>
      <c r="L50" s="213">
        <v>1.1999999922142681</v>
      </c>
      <c r="M50" s="213">
        <v>0.60299999608766963</v>
      </c>
      <c r="N50" s="213">
        <v>1.1209999927268286</v>
      </c>
      <c r="O50" s="213">
        <v>1.4679999904754544</v>
      </c>
      <c r="P50" s="213">
        <v>0.93199999395308153</v>
      </c>
      <c r="Q50" s="213">
        <v>1.1039999928371267</v>
      </c>
      <c r="R50" s="213">
        <v>0.32499999789136425</v>
      </c>
      <c r="S50" s="213">
        <v>0.44399999711927912</v>
      </c>
      <c r="T50" s="213">
        <v>0.86199999440724917</v>
      </c>
      <c r="U50" s="213">
        <v>0.84299999453052321</v>
      </c>
      <c r="V50" s="213">
        <v>1.0749999930252816</v>
      </c>
      <c r="W50" s="213">
        <v>0.91699999405040311</v>
      </c>
      <c r="X50" s="213">
        <v>0.94799999384927169</v>
      </c>
      <c r="Y50" s="213">
        <v>0.94999999383629552</v>
      </c>
      <c r="Z50" s="92">
        <v>1.26</v>
      </c>
      <c r="AA50" s="93">
        <v>1.165</v>
      </c>
      <c r="AB50" s="93">
        <v>1.1779999999999999</v>
      </c>
      <c r="AC50" s="93">
        <v>1.2709999999999999</v>
      </c>
      <c r="AD50" s="93">
        <v>0.91300000000000003</v>
      </c>
      <c r="AE50" s="93">
        <v>2.4740000000000002</v>
      </c>
      <c r="AF50" s="93">
        <v>1.6120000000000001</v>
      </c>
      <c r="AG50" s="93">
        <v>1.847</v>
      </c>
      <c r="AH50" s="109">
        <f t="shared" si="19"/>
        <v>1.8673031409202137</v>
      </c>
      <c r="AI50" s="109">
        <f t="shared" si="20"/>
        <v>1.8370071968496808</v>
      </c>
      <c r="AJ50" s="109">
        <f t="shared" si="21"/>
        <v>1.8037724383969309</v>
      </c>
      <c r="AK50" s="109">
        <f t="shared" si="21"/>
        <v>2.0094978059855326</v>
      </c>
      <c r="AL50" s="109">
        <f t="shared" si="21"/>
        <v>1.8408062718970837</v>
      </c>
    </row>
    <row r="51" spans="1:38">
      <c r="A51" s="69" t="s">
        <v>39</v>
      </c>
      <c r="B51" s="213">
        <v>0.15699999898136674</v>
      </c>
      <c r="C51" s="213">
        <v>0.44899999708683858</v>
      </c>
      <c r="D51" s="213">
        <v>0.58199999622392007</v>
      </c>
      <c r="E51" s="213">
        <v>0.75099999512742932</v>
      </c>
      <c r="F51" s="213">
        <v>1.3639999911502179</v>
      </c>
      <c r="G51" s="213">
        <v>0.59499999613957455</v>
      </c>
      <c r="H51" s="213">
        <v>0.9909999935702829</v>
      </c>
      <c r="I51" s="213">
        <v>1.1629999924543282</v>
      </c>
      <c r="J51" s="213">
        <v>0.88099999428397513</v>
      </c>
      <c r="K51" s="213">
        <v>1.0749999930252818</v>
      </c>
      <c r="L51" s="213">
        <v>0.48899999682731421</v>
      </c>
      <c r="M51" s="213">
        <v>0.80399999478355966</v>
      </c>
      <c r="N51" s="213">
        <v>0.87999999429046316</v>
      </c>
      <c r="O51" s="213">
        <v>0.69599999548427549</v>
      </c>
      <c r="P51" s="213">
        <v>0.5759999962628487</v>
      </c>
      <c r="Q51" s="213">
        <v>0.9069999941152842</v>
      </c>
      <c r="R51" s="213">
        <v>0.71899999533504899</v>
      </c>
      <c r="S51" s="213">
        <v>0.4369999971646959</v>
      </c>
      <c r="T51" s="213">
        <v>0.70499999542588243</v>
      </c>
      <c r="U51" s="213">
        <v>0.78899999488088124</v>
      </c>
      <c r="V51" s="213">
        <v>0.80799999475760709</v>
      </c>
      <c r="W51" s="213">
        <v>0.54299999647695629</v>
      </c>
      <c r="X51" s="213">
        <v>1.1439999925776021</v>
      </c>
      <c r="Y51" s="213">
        <v>0.79099999486790495</v>
      </c>
      <c r="Z51" s="92">
        <v>1.2689999999999999</v>
      </c>
      <c r="AA51" s="93">
        <v>1.026</v>
      </c>
      <c r="AB51" s="93">
        <v>1.075</v>
      </c>
      <c r="AC51" s="93">
        <v>1.319</v>
      </c>
      <c r="AD51" s="93">
        <v>0.85399999999999998</v>
      </c>
      <c r="AE51" s="93">
        <v>1.7649999999999999</v>
      </c>
      <c r="AF51" s="93">
        <v>1.6</v>
      </c>
      <c r="AG51" s="93">
        <v>1.766</v>
      </c>
      <c r="AH51" s="109">
        <f t="shared" si="19"/>
        <v>1.6579586024309039</v>
      </c>
      <c r="AI51" s="109">
        <f t="shared" si="20"/>
        <v>1.6530122663287012</v>
      </c>
      <c r="AJ51" s="109">
        <f t="shared" si="21"/>
        <v>1.5821965392354789</v>
      </c>
      <c r="AK51" s="109">
        <f t="shared" si="21"/>
        <v>1.7602548163756404</v>
      </c>
      <c r="AL51" s="109">
        <f t="shared" si="21"/>
        <v>1.6954819694197591</v>
      </c>
    </row>
    <row r="52" spans="1:38">
      <c r="A52" s="69" t="s">
        <v>40</v>
      </c>
      <c r="B52" s="213">
        <v>0.15199999901380729</v>
      </c>
      <c r="C52" s="213">
        <v>0.87599999431641562</v>
      </c>
      <c r="D52" s="213">
        <v>0.54699999645100383</v>
      </c>
      <c r="E52" s="213">
        <v>0.53499999652886121</v>
      </c>
      <c r="F52" s="213">
        <v>0.84699999450457086</v>
      </c>
      <c r="G52" s="213">
        <v>0.50999999669106388</v>
      </c>
      <c r="H52" s="213">
        <v>1.1089999928046861</v>
      </c>
      <c r="I52" s="213">
        <v>1.3129999914811117</v>
      </c>
      <c r="J52" s="213">
        <v>1.0499999931874846</v>
      </c>
      <c r="K52" s="213">
        <v>1.0279999933302228</v>
      </c>
      <c r="L52" s="213">
        <v>0.63499999588005018</v>
      </c>
      <c r="M52" s="213">
        <v>0.57399999627582488</v>
      </c>
      <c r="N52" s="213">
        <v>0.3529999977096972</v>
      </c>
      <c r="O52" s="213">
        <v>0.8129999947251666</v>
      </c>
      <c r="P52" s="213">
        <v>0.59699999612659826</v>
      </c>
      <c r="Q52" s="213">
        <v>0.9349999939336171</v>
      </c>
      <c r="R52" s="213">
        <v>0.26399999828713894</v>
      </c>
      <c r="S52" s="213">
        <v>0.66499999568540691</v>
      </c>
      <c r="T52" s="213">
        <v>0.64499999581516898</v>
      </c>
      <c r="U52" s="213">
        <v>0.78599999490034544</v>
      </c>
      <c r="V52" s="213">
        <v>0.61999999597737177</v>
      </c>
      <c r="W52" s="213">
        <v>0.74899999514040561</v>
      </c>
      <c r="X52" s="213">
        <v>0.69799999547129921</v>
      </c>
      <c r="Y52" s="213">
        <v>0.97899999364814039</v>
      </c>
      <c r="Z52" s="92">
        <v>1.0109999999999999</v>
      </c>
      <c r="AA52" s="93">
        <v>1.097</v>
      </c>
      <c r="AB52" s="93">
        <v>1.0049999999999999</v>
      </c>
      <c r="AC52" s="93">
        <v>1.3089999999999999</v>
      </c>
      <c r="AD52" s="93">
        <v>2.2480000000000002</v>
      </c>
      <c r="AE52" s="93">
        <v>2.1219999999999999</v>
      </c>
      <c r="AF52" s="93">
        <v>1.5589999999999999</v>
      </c>
      <c r="AG52" s="109">
        <f t="shared" si="19"/>
        <v>2.1078951930995617</v>
      </c>
      <c r="AH52" s="109">
        <f t="shared" si="19"/>
        <v>2.0666191985238078</v>
      </c>
      <c r="AI52" s="109">
        <f t="shared" si="20"/>
        <v>2.1151258754129274</v>
      </c>
      <c r="AJ52" s="109">
        <f t="shared" si="21"/>
        <v>2.0915651040498839</v>
      </c>
      <c r="AK52" s="109">
        <f t="shared" si="21"/>
        <v>2.0790011983277932</v>
      </c>
      <c r="AL52" s="109">
        <f t="shared" si="21"/>
        <v>2.0405736010014168</v>
      </c>
    </row>
    <row r="53" spans="1:38">
      <c r="A53" s="69" t="s">
        <v>30</v>
      </c>
      <c r="B53" s="213">
        <v>0.3809999975280301</v>
      </c>
      <c r="C53" s="213">
        <v>0.61999999597737177</v>
      </c>
      <c r="D53" s="213">
        <v>0.91099999408933174</v>
      </c>
      <c r="E53" s="213">
        <v>0.85999999442022534</v>
      </c>
      <c r="F53" s="213">
        <v>0.64799999579570466</v>
      </c>
      <c r="G53" s="213">
        <v>0.89299999420611786</v>
      </c>
      <c r="H53" s="213">
        <v>1.4399999906571217</v>
      </c>
      <c r="I53" s="213">
        <v>1.3379999913189089</v>
      </c>
      <c r="J53" s="213">
        <v>1.8349999880943182</v>
      </c>
      <c r="K53" s="213">
        <v>1.1219999927203406</v>
      </c>
      <c r="L53" s="213">
        <v>0.55499999639909892</v>
      </c>
      <c r="M53" s="213">
        <v>0.70999999539344183</v>
      </c>
      <c r="N53" s="213">
        <v>0.74999999513391746</v>
      </c>
      <c r="O53" s="213">
        <v>0.65399999575677592</v>
      </c>
      <c r="P53" s="213">
        <v>1.0539999931615323</v>
      </c>
      <c r="Q53" s="213">
        <v>0.55799999637963471</v>
      </c>
      <c r="R53" s="213">
        <v>0.48199999687273093</v>
      </c>
      <c r="S53" s="213">
        <v>0.79799999482248829</v>
      </c>
      <c r="T53" s="213">
        <v>0.66699999567243062</v>
      </c>
      <c r="U53" s="213">
        <v>0.79699999482897632</v>
      </c>
      <c r="V53" s="213">
        <v>0.8789999942969513</v>
      </c>
      <c r="W53" s="213">
        <v>0.54799999644451569</v>
      </c>
      <c r="X53" s="213">
        <v>0.59499999613957455</v>
      </c>
      <c r="Y53" s="213">
        <v>1.159</v>
      </c>
      <c r="Z53" s="92">
        <v>1.145</v>
      </c>
      <c r="AA53" s="93">
        <v>0.92900000000000005</v>
      </c>
      <c r="AB53" s="93">
        <v>1.204</v>
      </c>
      <c r="AC53" s="93">
        <v>1.3360000000000001</v>
      </c>
      <c r="AD53" s="93">
        <v>2.7160000000000002</v>
      </c>
      <c r="AE53" s="93">
        <v>2.161</v>
      </c>
      <c r="AF53" s="93">
        <v>1.647</v>
      </c>
      <c r="AG53" s="109">
        <f t="shared" si="19"/>
        <v>2.2609553118633778</v>
      </c>
      <c r="AH53" s="109">
        <f t="shared" si="19"/>
        <v>2.2724537687031172</v>
      </c>
      <c r="AI53" s="109">
        <f t="shared" si="20"/>
        <v>2.2905344027210837</v>
      </c>
      <c r="AJ53" s="109">
        <f t="shared" si="21"/>
        <v>2.2890342981340819</v>
      </c>
      <c r="AK53" s="109">
        <f t="shared" si="21"/>
        <v>2.2168910571756548</v>
      </c>
      <c r="AL53" s="109">
        <f t="shared" si="21"/>
        <v>2.2088604599656887</v>
      </c>
    </row>
    <row r="54" spans="1:38">
      <c r="A54" s="69" t="s">
        <v>31</v>
      </c>
      <c r="B54" s="213">
        <v>0.78699999489385741</v>
      </c>
      <c r="C54" s="213">
        <v>0.91399999406986732</v>
      </c>
      <c r="D54" s="213">
        <v>1.9269999874974122</v>
      </c>
      <c r="E54" s="213">
        <v>0.59499999613957455</v>
      </c>
      <c r="F54" s="213">
        <v>1.0259999933431991</v>
      </c>
      <c r="G54" s="213">
        <v>0.89699999418016529</v>
      </c>
      <c r="H54" s="213">
        <v>1.1249999927008763</v>
      </c>
      <c r="I54" s="213">
        <v>1.1779999923570064</v>
      </c>
      <c r="J54" s="213">
        <v>1.6729999891453919</v>
      </c>
      <c r="K54" s="213">
        <v>0.83399999458891627</v>
      </c>
      <c r="L54" s="213">
        <v>0.54699999645100383</v>
      </c>
      <c r="M54" s="213">
        <v>0.9579999937843906</v>
      </c>
      <c r="N54" s="213">
        <v>1.3119999914875997</v>
      </c>
      <c r="O54" s="213">
        <v>0.59499999613957455</v>
      </c>
      <c r="P54" s="213">
        <v>0.84899999449159458</v>
      </c>
      <c r="Q54" s="213">
        <v>0.41599999730094622</v>
      </c>
      <c r="R54" s="213">
        <v>0.41499999730743431</v>
      </c>
      <c r="S54" s="213">
        <v>0.46099999700898131</v>
      </c>
      <c r="T54" s="213">
        <v>1.1869999922986134</v>
      </c>
      <c r="U54" s="213">
        <v>0.7589999950755244</v>
      </c>
      <c r="V54" s="213">
        <v>0.98399999361569968</v>
      </c>
      <c r="W54" s="213">
        <v>0.81399999471867845</v>
      </c>
      <c r="X54" s="213">
        <v>0.94299999388171218</v>
      </c>
      <c r="Y54" s="213">
        <v>0.71199999999999997</v>
      </c>
      <c r="Z54" s="92">
        <v>0.93400000000000005</v>
      </c>
      <c r="AA54" s="93">
        <v>1.087</v>
      </c>
      <c r="AB54" s="93">
        <v>1.008</v>
      </c>
      <c r="AC54" s="93">
        <v>1.2669999999999999</v>
      </c>
      <c r="AD54" s="93">
        <v>2.371</v>
      </c>
      <c r="AE54" s="93">
        <v>2.2570000000000001</v>
      </c>
      <c r="AF54" s="93">
        <v>2.1030000000000002</v>
      </c>
      <c r="AG54" s="109">
        <f t="shared" si="19"/>
        <v>2.1645138918989204</v>
      </c>
      <c r="AH54" s="109">
        <f t="shared" si="19"/>
        <v>2.2579124714188299</v>
      </c>
      <c r="AI54" s="109">
        <f t="shared" si="20"/>
        <v>2.2999397754716244</v>
      </c>
      <c r="AJ54" s="109">
        <f t="shared" si="21"/>
        <v>2.3089111835626528</v>
      </c>
      <c r="AK54" s="109">
        <f t="shared" si="21"/>
        <v>2.3108097239274912</v>
      </c>
      <c r="AL54" s="109">
        <f t="shared" si="21"/>
        <v>2.285698486301758</v>
      </c>
    </row>
    <row r="55" spans="1:38">
      <c r="A55" s="69" t="s">
        <v>32</v>
      </c>
      <c r="B55" s="213">
        <v>0.63999999584760958</v>
      </c>
      <c r="C55" s="213">
        <v>0.78099999493278605</v>
      </c>
      <c r="D55" s="213">
        <v>1.3319999913578375</v>
      </c>
      <c r="E55" s="213">
        <v>0.65199999576975221</v>
      </c>
      <c r="F55" s="213">
        <v>0.83399999458891627</v>
      </c>
      <c r="G55" s="213">
        <v>0.97999999364165225</v>
      </c>
      <c r="H55" s="213">
        <v>0.79599999483546446</v>
      </c>
      <c r="I55" s="213">
        <v>0.61999999597737177</v>
      </c>
      <c r="J55" s="213">
        <v>1.6129999895346787</v>
      </c>
      <c r="K55" s="213">
        <v>1.5249999901056321</v>
      </c>
      <c r="L55" s="213">
        <v>0.84599999451105889</v>
      </c>
      <c r="M55" s="213">
        <v>0.90799999410879606</v>
      </c>
      <c r="N55" s="213">
        <v>1.4749999904300377</v>
      </c>
      <c r="O55" s="213">
        <v>0.68899999552969227</v>
      </c>
      <c r="P55" s="213">
        <v>1.3309999913643256</v>
      </c>
      <c r="Q55" s="213">
        <v>0.47999999688570721</v>
      </c>
      <c r="R55" s="213">
        <v>0.72899999527016779</v>
      </c>
      <c r="S55" s="213">
        <v>0.62399999595141942</v>
      </c>
      <c r="T55" s="213">
        <v>0.84199999453701124</v>
      </c>
      <c r="U55" s="213">
        <v>0.71999999532856074</v>
      </c>
      <c r="V55" s="213">
        <v>1.080999992986353</v>
      </c>
      <c r="W55" s="213">
        <v>1.4149999908193243</v>
      </c>
      <c r="X55" s="213">
        <v>0.89499999419314158</v>
      </c>
      <c r="Y55" s="213">
        <v>1.002</v>
      </c>
      <c r="Z55" s="92">
        <v>0.85499999999999998</v>
      </c>
      <c r="AA55" s="93">
        <v>1.1060000000000001</v>
      </c>
      <c r="AB55" s="93">
        <v>1.2589999999999999</v>
      </c>
      <c r="AC55" s="93">
        <v>1.208</v>
      </c>
      <c r="AD55" s="93">
        <v>2.9140000000000001</v>
      </c>
      <c r="AE55" s="93">
        <v>1.921</v>
      </c>
      <c r="AF55" s="93">
        <v>2.2189999999999999</v>
      </c>
      <c r="AG55" s="109">
        <f t="shared" si="19"/>
        <v>2.2777512894976368</v>
      </c>
      <c r="AH55" s="109">
        <f t="shared" si="19"/>
        <v>2.3870291628224161</v>
      </c>
      <c r="AI55" s="109">
        <f t="shared" si="20"/>
        <v>2.3853146447964599</v>
      </c>
      <c r="AJ55" s="109">
        <f t="shared" si="21"/>
        <v>2.4259471809547581</v>
      </c>
      <c r="AK55" s="109">
        <f t="shared" si="21"/>
        <v>2.3332725374939556</v>
      </c>
      <c r="AL55" s="109">
        <f t="shared" si="21"/>
        <v>2.4008150379512716</v>
      </c>
    </row>
    <row r="56" spans="1:38">
      <c r="A56" s="69" t="s">
        <v>33</v>
      </c>
      <c r="B56" s="213">
        <v>0.67699999560754953</v>
      </c>
      <c r="C56" s="213">
        <v>0.87599999431641562</v>
      </c>
      <c r="D56" s="213">
        <v>1.289999991630338</v>
      </c>
      <c r="E56" s="213">
        <v>0.65199999576975221</v>
      </c>
      <c r="F56" s="213">
        <v>0.97999999364165225</v>
      </c>
      <c r="G56" s="213">
        <v>0.7159999953545132</v>
      </c>
      <c r="H56" s="213">
        <v>0.80199999479653583</v>
      </c>
      <c r="I56" s="213">
        <v>0.43599999717118404</v>
      </c>
      <c r="J56" s="213">
        <v>1.2669999917795645</v>
      </c>
      <c r="K56" s="213">
        <v>1.2339999919936722</v>
      </c>
      <c r="L56" s="213">
        <v>1.227999992032601</v>
      </c>
      <c r="M56" s="213">
        <v>1.0409999932458776</v>
      </c>
      <c r="N56" s="213">
        <v>1.1219999927203406</v>
      </c>
      <c r="O56" s="213">
        <v>0.71299999537397762</v>
      </c>
      <c r="P56" s="213">
        <v>1.1669999924283756</v>
      </c>
      <c r="Q56" s="213">
        <v>0.46799999696356459</v>
      </c>
      <c r="R56" s="213">
        <v>0.75399999510796512</v>
      </c>
      <c r="S56" s="213">
        <v>0.73399999523772719</v>
      </c>
      <c r="T56" s="213">
        <v>1.2619999918120051</v>
      </c>
      <c r="U56" s="213">
        <v>1.0649999930901628</v>
      </c>
      <c r="V56" s="213">
        <v>0.81899999468623785</v>
      </c>
      <c r="W56" s="213">
        <v>0.87599999431641551</v>
      </c>
      <c r="X56" s="213">
        <v>0.57799999624987242</v>
      </c>
      <c r="Y56" s="213">
        <v>0.92</v>
      </c>
      <c r="Z56" s="93">
        <v>1.109</v>
      </c>
      <c r="AA56" s="93">
        <v>1.2070000000000001</v>
      </c>
      <c r="AB56" s="93">
        <v>1.355</v>
      </c>
      <c r="AC56" s="93">
        <v>1.4059999999999999</v>
      </c>
      <c r="AD56" s="93">
        <v>2.2879999999999998</v>
      </c>
      <c r="AE56" s="93">
        <v>1.889</v>
      </c>
      <c r="AF56" s="93">
        <v>1.9430000000000001</v>
      </c>
      <c r="AG56" s="109">
        <f t="shared" si="19"/>
        <v>2.2065038359845688</v>
      </c>
      <c r="AH56" s="109">
        <f t="shared" si="19"/>
        <v>2.2265734686509688</v>
      </c>
      <c r="AI56" s="109">
        <f t="shared" si="20"/>
        <v>2.2026216077455683</v>
      </c>
      <c r="AJ56" s="109">
        <f t="shared" si="21"/>
        <v>2.1846307507629561</v>
      </c>
      <c r="AK56" s="109">
        <f t="shared" si="21"/>
        <v>2.1826440428828717</v>
      </c>
      <c r="AL56" s="109">
        <f t="shared" si="21"/>
        <v>2.2095485505132251</v>
      </c>
    </row>
    <row r="57" spans="1:38">
      <c r="A57" s="69" t="s">
        <v>14</v>
      </c>
      <c r="B57" s="213">
        <v>0.83999999454998753</v>
      </c>
      <c r="C57" s="213">
        <v>1.1039999928371267</v>
      </c>
      <c r="D57" s="213">
        <v>0.9069999941152842</v>
      </c>
      <c r="E57" s="213">
        <v>1.1959999922402207</v>
      </c>
      <c r="F57" s="213">
        <v>1.0479999932004607</v>
      </c>
      <c r="G57" s="213">
        <v>0.49599999678189743</v>
      </c>
      <c r="H57" s="213">
        <v>1.226999992039089</v>
      </c>
      <c r="I57" s="213">
        <v>0.45199999706737426</v>
      </c>
      <c r="J57" s="213">
        <v>0.94599999386224787</v>
      </c>
      <c r="K57" s="213">
        <v>0.81399999471867845</v>
      </c>
      <c r="L57" s="213">
        <v>1.0839999929668889</v>
      </c>
      <c r="M57" s="213">
        <v>0.98799999358974733</v>
      </c>
      <c r="N57" s="213">
        <v>0.96799999371950973</v>
      </c>
      <c r="O57" s="213">
        <v>0.50799999670404017</v>
      </c>
      <c r="P57" s="213">
        <v>1.4629999905078952</v>
      </c>
      <c r="Q57" s="213">
        <v>0.32299999790434042</v>
      </c>
      <c r="R57" s="213">
        <v>0.61699999599683608</v>
      </c>
      <c r="S57" s="213">
        <v>0.78699999489385741</v>
      </c>
      <c r="T57" s="213">
        <v>0.98299999362218782</v>
      </c>
      <c r="U57" s="213">
        <v>1.3219999914227185</v>
      </c>
      <c r="V57" s="213">
        <v>1.0469999932069489</v>
      </c>
      <c r="W57" s="213">
        <v>0.80699999476409523</v>
      </c>
      <c r="X57" s="213">
        <v>0.96899999371302148</v>
      </c>
      <c r="Y57" s="213">
        <v>0.91900000000000004</v>
      </c>
      <c r="Z57" s="93">
        <v>1.302</v>
      </c>
      <c r="AA57" s="93">
        <v>1.0289999999999999</v>
      </c>
      <c r="AB57" s="93">
        <v>1.347</v>
      </c>
      <c r="AC57" s="93">
        <v>1.1399999999999999</v>
      </c>
      <c r="AD57" s="93">
        <v>2.8730000000000002</v>
      </c>
      <c r="AE57" s="93">
        <v>1.7829999999999999</v>
      </c>
      <c r="AF57" s="93">
        <v>1.5389999999999999</v>
      </c>
      <c r="AG57" s="109">
        <f t="shared" si="19"/>
        <v>2.2138182133414239</v>
      </c>
      <c r="AH57" s="109">
        <f t="shared" si="19"/>
        <v>2.1766817762445347</v>
      </c>
      <c r="AI57" s="109">
        <f t="shared" si="20"/>
        <v>2.1610506072831717</v>
      </c>
      <c r="AJ57" s="109">
        <f t="shared" si="21"/>
        <v>2.1913426881931763</v>
      </c>
      <c r="AK57" s="109">
        <f t="shared" si="21"/>
        <v>2.058756807273979</v>
      </c>
      <c r="AL57" s="109">
        <f t="shared" si="21"/>
        <v>2.1107169542835367</v>
      </c>
    </row>
    <row r="58" spans="1:38">
      <c r="A58" s="69" t="s">
        <v>34</v>
      </c>
      <c r="B58" s="213">
        <v>0.61999999597737177</v>
      </c>
      <c r="C58" s="213">
        <v>1.0309999933107585</v>
      </c>
      <c r="D58" s="213">
        <v>1.1119999927852215</v>
      </c>
      <c r="E58" s="213">
        <v>1.1519999925256974</v>
      </c>
      <c r="F58" s="213">
        <v>1.172999992389447</v>
      </c>
      <c r="G58" s="213">
        <v>1.1919999922661728</v>
      </c>
      <c r="H58" s="213">
        <v>0.90099999415421295</v>
      </c>
      <c r="I58" s="213">
        <v>0.69099999551671598</v>
      </c>
      <c r="J58" s="213">
        <v>1.0579999931355797</v>
      </c>
      <c r="K58" s="213">
        <v>1.4759999904235497</v>
      </c>
      <c r="L58" s="213">
        <v>1.808999988263009</v>
      </c>
      <c r="M58" s="213">
        <v>1.21699999210397</v>
      </c>
      <c r="N58" s="213">
        <v>1.0109999934405209</v>
      </c>
      <c r="O58" s="213">
        <v>1.0119999934340327</v>
      </c>
      <c r="P58" s="213">
        <v>1.0959999928890314</v>
      </c>
      <c r="Q58" s="213">
        <v>0.44399999711927912</v>
      </c>
      <c r="R58" s="213">
        <v>0.63599999587356204</v>
      </c>
      <c r="S58" s="213">
        <v>0.61199999602927668</v>
      </c>
      <c r="T58" s="213">
        <v>0.92099999402445054</v>
      </c>
      <c r="U58" s="213">
        <v>1.0339999932912942</v>
      </c>
      <c r="V58" s="213">
        <v>0.56699999632124165</v>
      </c>
      <c r="W58" s="213">
        <v>1.3949999909490864</v>
      </c>
      <c r="X58" s="213">
        <v>0.92899999397254562</v>
      </c>
      <c r="Y58" s="213">
        <v>0.85499999999999998</v>
      </c>
      <c r="Z58" s="93">
        <v>1.18</v>
      </c>
      <c r="AA58" s="93">
        <v>1.417</v>
      </c>
      <c r="AB58" s="93">
        <v>1.0549999999999999</v>
      </c>
      <c r="AC58" s="93">
        <v>1.1459999999999999</v>
      </c>
      <c r="AD58" s="93">
        <v>2.6030000000000002</v>
      </c>
      <c r="AE58" s="93">
        <v>1.0840000000000001</v>
      </c>
      <c r="AF58" s="93">
        <v>1.8080000000000001</v>
      </c>
      <c r="AG58" s="109">
        <f t="shared" si="19"/>
        <v>1.9789454293268602</v>
      </c>
      <c r="AH58" s="109">
        <f t="shared" si="19"/>
        <v>1.9294797224116491</v>
      </c>
      <c r="AI58" s="109">
        <f t="shared" si="20"/>
        <v>1.9508318085653509</v>
      </c>
      <c r="AJ58" s="109">
        <f t="shared" si="21"/>
        <v>1.946637095130731</v>
      </c>
      <c r="AK58" s="109">
        <f t="shared" si="21"/>
        <v>1.8247447726598376</v>
      </c>
      <c r="AL58" s="109">
        <f t="shared" si="21"/>
        <v>1.9735868304500237</v>
      </c>
    </row>
    <row r="59" spans="1:38">
      <c r="A59" s="69" t="s">
        <v>35</v>
      </c>
      <c r="B59" s="213">
        <v>0.5759999962628487</v>
      </c>
      <c r="C59" s="213">
        <v>1.0119999934340327</v>
      </c>
      <c r="D59" s="213">
        <v>1.8529999879775323</v>
      </c>
      <c r="E59" s="213">
        <v>1.9249999875103883</v>
      </c>
      <c r="F59" s="213">
        <v>1.007999993459985</v>
      </c>
      <c r="G59" s="213">
        <v>1.6189999894957499</v>
      </c>
      <c r="H59" s="213">
        <v>0.92499999399849819</v>
      </c>
      <c r="I59" s="213">
        <v>0.49599999678189743</v>
      </c>
      <c r="J59" s="213">
        <v>1.3729999910918249</v>
      </c>
      <c r="K59" s="213">
        <v>1.4969999902872995</v>
      </c>
      <c r="L59" s="213">
        <v>1.4419999906441454</v>
      </c>
      <c r="M59" s="213">
        <v>0.76899999501064342</v>
      </c>
      <c r="N59" s="213">
        <v>0.86399999439427289</v>
      </c>
      <c r="O59" s="213">
        <v>1.1739999923829587</v>
      </c>
      <c r="P59" s="213">
        <v>1.6339999893984283</v>
      </c>
      <c r="Q59" s="213">
        <v>0.53599999652237307</v>
      </c>
      <c r="R59" s="213">
        <v>0.68599999554915647</v>
      </c>
      <c r="S59" s="213">
        <v>0.59299999615255072</v>
      </c>
      <c r="T59" s="213">
        <v>0.75799999508201266</v>
      </c>
      <c r="U59" s="213">
        <v>0.93299999394659328</v>
      </c>
      <c r="V59" s="213">
        <v>0.64899999578921663</v>
      </c>
      <c r="W59" s="213">
        <v>0.98099999363516421</v>
      </c>
      <c r="X59" s="213">
        <v>0.88199999427748688</v>
      </c>
      <c r="Y59" s="213">
        <v>0.99099999999999999</v>
      </c>
      <c r="Z59" s="93">
        <v>1.1890000000000001</v>
      </c>
      <c r="AA59" s="93">
        <v>1.4430000000000001</v>
      </c>
      <c r="AB59" s="93">
        <v>1.2949999999999999</v>
      </c>
      <c r="AC59" s="93">
        <v>0.77200000000000002</v>
      </c>
      <c r="AD59" s="93">
        <v>2.5409999999999999</v>
      </c>
      <c r="AE59" s="93">
        <v>1.2889999999999999</v>
      </c>
      <c r="AF59" s="93">
        <v>1.9419999999999999</v>
      </c>
      <c r="AG59" s="109">
        <f t="shared" si="19"/>
        <v>1.9884270296042648</v>
      </c>
      <c r="AH59" s="109">
        <f t="shared" si="19"/>
        <v>1.9653315415780821</v>
      </c>
      <c r="AI59" s="109">
        <f t="shared" si="20"/>
        <v>1.9310249919893778</v>
      </c>
      <c r="AJ59" s="109">
        <f t="shared" si="21"/>
        <v>2.0133645036190839</v>
      </c>
      <c r="AK59" s="109">
        <f t="shared" si="21"/>
        <v>1.9007530553666325</v>
      </c>
      <c r="AL59" s="109">
        <f t="shared" si="21"/>
        <v>2.0200333519713114</v>
      </c>
    </row>
    <row r="60" spans="1:38">
      <c r="A60" s="69" t="s">
        <v>36</v>
      </c>
      <c r="B60" s="213">
        <v>0.61399999601630051</v>
      </c>
      <c r="C60" s="213">
        <v>0.93699999392064093</v>
      </c>
      <c r="D60" s="213">
        <v>2.2609999853303835</v>
      </c>
      <c r="E60" s="213">
        <v>2.1949999857585984</v>
      </c>
      <c r="F60" s="213">
        <v>0.70099999545183489</v>
      </c>
      <c r="G60" s="213">
        <v>1.6229999894697973</v>
      </c>
      <c r="H60" s="213">
        <v>1.1749999923764707</v>
      </c>
      <c r="I60" s="213">
        <v>0.55399999640558706</v>
      </c>
      <c r="J60" s="213">
        <v>1.1179999927462929</v>
      </c>
      <c r="K60" s="213">
        <v>0.93799999391415301</v>
      </c>
      <c r="L60" s="213">
        <v>1.262999991805517</v>
      </c>
      <c r="M60" s="213">
        <v>1.0949999928955196</v>
      </c>
      <c r="N60" s="213">
        <v>1.0019999934989139</v>
      </c>
      <c r="O60" s="213">
        <v>0.97999999364165225</v>
      </c>
      <c r="P60" s="213">
        <v>1.1759999923699826</v>
      </c>
      <c r="Q60" s="213">
        <v>0.66799999566594248</v>
      </c>
      <c r="R60" s="213">
        <v>0.8129999947251666</v>
      </c>
      <c r="S60" s="213">
        <v>0.80099999480302386</v>
      </c>
      <c r="T60" s="213">
        <v>1.1479999925516495</v>
      </c>
      <c r="U60" s="213">
        <v>0.97499999367409274</v>
      </c>
      <c r="V60" s="213">
        <v>0.80099999480302386</v>
      </c>
      <c r="W60" s="213">
        <v>0.96999999370653334</v>
      </c>
      <c r="X60" s="213">
        <v>0.70399999543237046</v>
      </c>
      <c r="Y60" s="213">
        <v>1.1970000000000001</v>
      </c>
      <c r="Z60" s="93">
        <v>1.429</v>
      </c>
      <c r="AA60" s="93">
        <v>1.6319999999999999</v>
      </c>
      <c r="AB60" s="93">
        <v>1.155</v>
      </c>
      <c r="AC60" s="93">
        <v>1.3440000000000001</v>
      </c>
      <c r="AD60" s="93">
        <v>2.7</v>
      </c>
      <c r="AE60" s="93">
        <v>1.536</v>
      </c>
      <c r="AF60" s="93">
        <v>2.016</v>
      </c>
      <c r="AG60" s="109">
        <f t="shared" ref="AG60" si="22">AG61-SUM(AG49:AG59)</f>
        <v>2.6111898053833862</v>
      </c>
      <c r="AH60" s="109">
        <f t="shared" ref="AH60" si="23">AH61-SUM(AH49:AH59)</f>
        <v>2.193980905772392</v>
      </c>
      <c r="AI60" s="109">
        <f t="shared" ref="AI60:AL60" si="24">AI61-SUM(AI49:AI59)</f>
        <v>2.310050650745346</v>
      </c>
      <c r="AJ60" s="109">
        <f t="shared" si="24"/>
        <v>2.2889849524191135</v>
      </c>
      <c r="AK60" s="109">
        <f t="shared" si="24"/>
        <v>2.2242469290101319</v>
      </c>
      <c r="AL60" s="109">
        <f t="shared" si="24"/>
        <v>2.3443953774614137</v>
      </c>
    </row>
    <row r="61" spans="1:38" ht="12" thickBot="1">
      <c r="A61" s="69" t="s">
        <v>138</v>
      </c>
      <c r="B61" s="214">
        <f>SUM(B49:B60)</f>
        <v>5.8989999617266387</v>
      </c>
      <c r="C61" s="214">
        <f>SUM(C49:C60)</f>
        <v>9.8329999362024125</v>
      </c>
      <c r="D61" s="214">
        <f>SUM(D49:D60)</f>
        <v>14.476999906071633</v>
      </c>
      <c r="E61" s="214">
        <f t="shared" ref="E61:AF61" si="25">SUM(E49:E60)</f>
        <v>13.420999912923076</v>
      </c>
      <c r="F61" s="214">
        <f t="shared" si="25"/>
        <v>12.246999920540118</v>
      </c>
      <c r="G61" s="214">
        <f t="shared" si="25"/>
        <v>11.39699992605501</v>
      </c>
      <c r="H61" s="214">
        <f t="shared" si="25"/>
        <v>13.388999913130693</v>
      </c>
      <c r="I61" s="214">
        <f t="shared" si="25"/>
        <v>10.931999929071981</v>
      </c>
      <c r="J61" s="214">
        <f t="shared" si="25"/>
        <v>14.136999908277589</v>
      </c>
      <c r="K61" s="214">
        <f t="shared" si="25"/>
        <v>13.925999909646579</v>
      </c>
      <c r="L61" s="214">
        <f t="shared" si="25"/>
        <v>12.162999921085117</v>
      </c>
      <c r="M61" s="214">
        <f t="shared" si="25"/>
        <v>10.361999932770205</v>
      </c>
      <c r="N61" s="214">
        <f t="shared" si="25"/>
        <v>12.051999921805297</v>
      </c>
      <c r="O61" s="214">
        <f t="shared" si="25"/>
        <v>10.013999935028066</v>
      </c>
      <c r="P61" s="214">
        <f t="shared" si="25"/>
        <v>13.073999915174452</v>
      </c>
      <c r="Q61" s="214">
        <f t="shared" si="25"/>
        <v>7.669999950236198</v>
      </c>
      <c r="R61" s="214">
        <f t="shared" si="25"/>
        <v>6.9619999548297784</v>
      </c>
      <c r="S61" s="214">
        <f t="shared" si="25"/>
        <v>7.4099999519231057</v>
      </c>
      <c r="T61" s="214">
        <f t="shared" si="25"/>
        <v>10.636999930985974</v>
      </c>
      <c r="U61" s="214">
        <f t="shared" si="25"/>
        <v>11.003999928604836</v>
      </c>
      <c r="V61" s="214">
        <f t="shared" si="25"/>
        <v>10.287999933250322</v>
      </c>
      <c r="W61" s="214">
        <f t="shared" si="25"/>
        <v>10.974999928792991</v>
      </c>
      <c r="X61" s="214">
        <f t="shared" si="25"/>
        <v>10.370999932711811</v>
      </c>
      <c r="Y61" s="214">
        <f t="shared" si="25"/>
        <v>11.12099997816102</v>
      </c>
      <c r="Z61" s="214">
        <f t="shared" si="25"/>
        <v>13.788</v>
      </c>
      <c r="AA61" s="214">
        <f t="shared" si="25"/>
        <v>14.35</v>
      </c>
      <c r="AB61" s="214">
        <f t="shared" si="25"/>
        <v>14.250999999999998</v>
      </c>
      <c r="AC61" s="214">
        <f t="shared" si="25"/>
        <v>14.7</v>
      </c>
      <c r="AD61" s="214">
        <f t="shared" si="25"/>
        <v>25.868000000000002</v>
      </c>
      <c r="AE61" s="214">
        <f t="shared" si="25"/>
        <v>23.115000000000002</v>
      </c>
      <c r="AF61" s="214">
        <f t="shared" si="25"/>
        <v>21.781999999999996</v>
      </c>
      <c r="AG61" s="215">
        <f t="shared" ref="AG61:AL61" si="26">AG6</f>
        <v>25</v>
      </c>
      <c r="AH61" s="215">
        <f t="shared" si="26"/>
        <v>25</v>
      </c>
      <c r="AI61" s="215">
        <f t="shared" si="26"/>
        <v>25</v>
      </c>
      <c r="AJ61" s="215">
        <f t="shared" si="26"/>
        <v>25</v>
      </c>
      <c r="AK61" s="215">
        <f t="shared" si="26"/>
        <v>25</v>
      </c>
      <c r="AL61" s="215">
        <f t="shared" si="26"/>
        <v>25</v>
      </c>
    </row>
    <row r="62" spans="1:38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</row>
    <row r="63" spans="1:38" ht="12" thickBot="1">
      <c r="A63" s="69" t="s">
        <v>341</v>
      </c>
      <c r="AE63" s="216"/>
    </row>
    <row r="64" spans="1:38" ht="12.75" thickBot="1">
      <c r="A64" s="212" t="s">
        <v>340</v>
      </c>
      <c r="B64" s="203" t="str">
        <f>B$2</f>
        <v xml:space="preserve">93/94 </v>
      </c>
      <c r="C64" s="203" t="str">
        <f t="shared" ref="C64:AL64" si="27">C$2</f>
        <v xml:space="preserve">94/95 </v>
      </c>
      <c r="D64" s="203" t="str">
        <f t="shared" si="27"/>
        <v xml:space="preserve">95/96 </v>
      </c>
      <c r="E64" s="203" t="str">
        <f t="shared" si="27"/>
        <v xml:space="preserve">96/97 </v>
      </c>
      <c r="F64" s="203" t="str">
        <f t="shared" si="27"/>
        <v xml:space="preserve">97/98 </v>
      </c>
      <c r="G64" s="203" t="str">
        <f t="shared" si="27"/>
        <v xml:space="preserve">98/99 </v>
      </c>
      <c r="H64" s="203" t="str">
        <f t="shared" si="27"/>
        <v xml:space="preserve">99/00 </v>
      </c>
      <c r="I64" s="203" t="str">
        <f t="shared" si="27"/>
        <v xml:space="preserve">00/01 </v>
      </c>
      <c r="J64" s="203" t="str">
        <f t="shared" si="27"/>
        <v xml:space="preserve">01/02 </v>
      </c>
      <c r="K64" s="203" t="str">
        <f t="shared" si="27"/>
        <v xml:space="preserve">02/03 </v>
      </c>
      <c r="L64" s="203" t="str">
        <f t="shared" si="27"/>
        <v xml:space="preserve">03/04 </v>
      </c>
      <c r="M64" s="203" t="str">
        <f t="shared" si="27"/>
        <v xml:space="preserve">04/05 </v>
      </c>
      <c r="N64" s="203" t="str">
        <f t="shared" si="27"/>
        <v xml:space="preserve">05/06 </v>
      </c>
      <c r="O64" s="203" t="str">
        <f t="shared" si="27"/>
        <v xml:space="preserve">06/07 </v>
      </c>
      <c r="P64" s="203" t="str">
        <f t="shared" si="27"/>
        <v xml:space="preserve">07/08 </v>
      </c>
      <c r="Q64" s="203" t="str">
        <f t="shared" si="27"/>
        <v xml:space="preserve">08/09 </v>
      </c>
      <c r="R64" s="203" t="str">
        <f t="shared" si="27"/>
        <v xml:space="preserve">09/10 </v>
      </c>
      <c r="S64" s="203" t="str">
        <f t="shared" si="27"/>
        <v xml:space="preserve">10/11 </v>
      </c>
      <c r="T64" s="203" t="str">
        <f t="shared" si="27"/>
        <v xml:space="preserve">11/12 </v>
      </c>
      <c r="U64" s="203" t="str">
        <f t="shared" si="27"/>
        <v xml:space="preserve">12/13 </v>
      </c>
      <c r="V64" s="203" t="str">
        <f t="shared" si="27"/>
        <v xml:space="preserve">13/14 </v>
      </c>
      <c r="W64" s="203" t="str">
        <f t="shared" si="27"/>
        <v xml:space="preserve">14/15 </v>
      </c>
      <c r="X64" s="203" t="str">
        <f t="shared" si="27"/>
        <v xml:space="preserve">15/16 </v>
      </c>
      <c r="Y64" s="203" t="str">
        <f t="shared" si="27"/>
        <v xml:space="preserve">16/17 </v>
      </c>
      <c r="Z64" s="203" t="str">
        <f t="shared" si="27"/>
        <v xml:space="preserve">17/18 </v>
      </c>
      <c r="AA64" s="203" t="str">
        <f t="shared" si="27"/>
        <v xml:space="preserve">18/19 </v>
      </c>
      <c r="AB64" s="203" t="str">
        <f t="shared" si="27"/>
        <v xml:space="preserve">19/20 </v>
      </c>
      <c r="AC64" s="203" t="str">
        <f t="shared" si="27"/>
        <v xml:space="preserve">20/21 </v>
      </c>
      <c r="AD64" s="203" t="str">
        <f t="shared" si="27"/>
        <v>21/22</v>
      </c>
      <c r="AE64" s="203" t="str">
        <f t="shared" si="27"/>
        <v>22/23</v>
      </c>
      <c r="AF64" s="203" t="str">
        <f t="shared" si="27"/>
        <v>23/24</v>
      </c>
      <c r="AG64" s="203" t="str">
        <f t="shared" si="27"/>
        <v>24/25</v>
      </c>
      <c r="AH64" s="203" t="str">
        <f t="shared" si="27"/>
        <v>25/26</v>
      </c>
      <c r="AI64" s="203" t="str">
        <f t="shared" si="27"/>
        <v>26/27</v>
      </c>
      <c r="AJ64" s="203" t="str">
        <f t="shared" si="27"/>
        <v>27/28</v>
      </c>
      <c r="AK64" s="203" t="str">
        <f t="shared" si="27"/>
        <v>28/29</v>
      </c>
      <c r="AL64" s="203" t="str">
        <f t="shared" si="27"/>
        <v>29/30</v>
      </c>
    </row>
    <row r="65" spans="1:38">
      <c r="A65" s="69" t="s">
        <v>37</v>
      </c>
      <c r="B65" s="87">
        <v>48.415999685871668</v>
      </c>
      <c r="C65" s="87">
        <v>53.868999650492007</v>
      </c>
      <c r="D65" s="87">
        <v>68.767999553825661</v>
      </c>
      <c r="E65" s="87">
        <v>49.011999682004756</v>
      </c>
      <c r="F65" s="87">
        <v>59.500999613950967</v>
      </c>
      <c r="G65" s="87">
        <v>65.698999573737652</v>
      </c>
      <c r="H65" s="87">
        <v>45.267999706296237</v>
      </c>
      <c r="I65" s="87">
        <v>65.6939995737701</v>
      </c>
      <c r="J65" s="87">
        <v>72.673999528483094</v>
      </c>
      <c r="K65" s="87">
        <v>47.931999689011903</v>
      </c>
      <c r="L65" s="87">
        <v>95.429999380839661</v>
      </c>
      <c r="M65" s="87">
        <v>91.604999405656685</v>
      </c>
      <c r="N65" s="87">
        <v>76.455999503945051</v>
      </c>
      <c r="O65" s="87">
        <v>91.340999407369551</v>
      </c>
      <c r="P65" s="87">
        <v>110.57699928256426</v>
      </c>
      <c r="Q65" s="87">
        <v>99.109999356963414</v>
      </c>
      <c r="R65" s="87">
        <v>57.156999629159095</v>
      </c>
      <c r="S65" s="87">
        <v>61.862999598626047</v>
      </c>
      <c r="T65" s="87">
        <v>57.008999630119334</v>
      </c>
      <c r="U65" s="87">
        <v>94.778999385063429</v>
      </c>
      <c r="V65" s="87">
        <v>59.313999615164235</v>
      </c>
      <c r="W65" s="87">
        <v>63.70099958670091</v>
      </c>
      <c r="X65" s="87">
        <v>54.110999648921876</v>
      </c>
      <c r="Y65" s="87">
        <v>60.361999608364712</v>
      </c>
      <c r="Z65" s="87">
        <v>53.152000000000001</v>
      </c>
      <c r="AA65" s="217">
        <v>76.322000000000003</v>
      </c>
      <c r="AB65" s="217">
        <v>84.159000000000006</v>
      </c>
      <c r="AC65" s="217">
        <v>57.55</v>
      </c>
      <c r="AD65" s="217">
        <v>42.106000000000002</v>
      </c>
      <c r="AE65" s="217">
        <v>74.269000000000005</v>
      </c>
      <c r="AF65" s="217">
        <v>88.177000000000007</v>
      </c>
      <c r="AG65" s="217">
        <v>47.365000000000002</v>
      </c>
      <c r="AH65" s="77">
        <f t="shared" ref="AH65:AH67" si="28">(SUM(AB65:AF65)/SUM(AB$77:AF$77))*AH$77</f>
        <v>73.105132925717001</v>
      </c>
      <c r="AI65" s="77">
        <f t="shared" ref="AI65:AI75" si="29">(SUM(AC65:AG65)/SUM(AC$77:AG$77))*AI$77</f>
        <v>65.149336885662066</v>
      </c>
      <c r="AJ65" s="77">
        <f t="shared" ref="AJ65:AL75" si="30">(SUM(AD65:AH65)/SUM(AD$77:AH$77))*AJ$77</f>
        <v>68.607105187700526</v>
      </c>
      <c r="AK65" s="77">
        <f t="shared" si="30"/>
        <v>71.520504283481529</v>
      </c>
      <c r="AL65" s="77">
        <f t="shared" si="30"/>
        <v>68.295849151622022</v>
      </c>
    </row>
    <row r="66" spans="1:38">
      <c r="A66" s="69" t="s">
        <v>38</v>
      </c>
      <c r="B66" s="87">
        <v>78.671999489567412</v>
      </c>
      <c r="C66" s="87">
        <v>46.953999695357275</v>
      </c>
      <c r="D66" s="87">
        <v>52.233999661100064</v>
      </c>
      <c r="E66" s="87">
        <v>83.658999457211209</v>
      </c>
      <c r="F66" s="87">
        <v>83.379999459021406</v>
      </c>
      <c r="G66" s="87">
        <v>68.527999555382806</v>
      </c>
      <c r="H66" s="87">
        <v>63.884999585507089</v>
      </c>
      <c r="I66" s="87">
        <v>57.788999625058608</v>
      </c>
      <c r="J66" s="87">
        <v>56.302999634699944</v>
      </c>
      <c r="K66" s="87">
        <v>66.529999568346042</v>
      </c>
      <c r="L66" s="87">
        <v>76.440999504042381</v>
      </c>
      <c r="M66" s="87">
        <v>71.751999534465128</v>
      </c>
      <c r="N66" s="87">
        <v>73.002999526348518</v>
      </c>
      <c r="O66" s="87">
        <v>104.11699932447746</v>
      </c>
      <c r="P66" s="87">
        <v>78.519999490553587</v>
      </c>
      <c r="Q66" s="87">
        <v>70.715999541186818</v>
      </c>
      <c r="R66" s="87">
        <v>52.232999661106554</v>
      </c>
      <c r="S66" s="87">
        <v>45.474999704953198</v>
      </c>
      <c r="T66" s="87">
        <v>77.250999498787024</v>
      </c>
      <c r="U66" s="87">
        <v>54.112999648908904</v>
      </c>
      <c r="V66" s="87">
        <v>107.53099930232705</v>
      </c>
      <c r="W66" s="87">
        <v>90.49299941287147</v>
      </c>
      <c r="X66" s="87">
        <v>38.956999747242698</v>
      </c>
      <c r="Y66" s="87">
        <v>50.065999675166282</v>
      </c>
      <c r="Z66" s="87">
        <v>49.503</v>
      </c>
      <c r="AA66" s="217">
        <v>60.186999999999998</v>
      </c>
      <c r="AB66" s="217">
        <v>81.790000000000006</v>
      </c>
      <c r="AC66" s="217">
        <v>95.799000000000007</v>
      </c>
      <c r="AD66" s="217">
        <v>64.558999999999997</v>
      </c>
      <c r="AE66" s="217">
        <v>38.252000000000002</v>
      </c>
      <c r="AF66" s="217">
        <v>50.377000000000002</v>
      </c>
      <c r="AG66" s="217">
        <v>86.364999999999995</v>
      </c>
      <c r="AH66" s="77">
        <f t="shared" si="28"/>
        <v>69.836038577171237</v>
      </c>
      <c r="AI66" s="77">
        <f t="shared" si="29"/>
        <v>70.598675862953201</v>
      </c>
      <c r="AJ66" s="77">
        <f t="shared" si="30"/>
        <v>65.307202689598796</v>
      </c>
      <c r="AK66" s="77">
        <f t="shared" si="30"/>
        <v>64.814302707112333</v>
      </c>
      <c r="AL66" s="77">
        <f t="shared" si="30"/>
        <v>68.311874200528052</v>
      </c>
    </row>
    <row r="67" spans="1:38">
      <c r="A67" s="69" t="s">
        <v>39</v>
      </c>
      <c r="B67" s="87">
        <v>65.929999572238899</v>
      </c>
      <c r="C67" s="87">
        <v>54.851999644114194</v>
      </c>
      <c r="D67" s="87">
        <v>57.267999628438915</v>
      </c>
      <c r="E67" s="87">
        <v>43.076999720511687</v>
      </c>
      <c r="F67" s="87">
        <v>57.947999624027005</v>
      </c>
      <c r="G67" s="87">
        <v>57.322999628082066</v>
      </c>
      <c r="H67" s="87">
        <v>33.844999780409921</v>
      </c>
      <c r="I67" s="87">
        <v>52.221999661177918</v>
      </c>
      <c r="J67" s="87">
        <v>60.004999610680969</v>
      </c>
      <c r="K67" s="87">
        <v>57.546999626628732</v>
      </c>
      <c r="L67" s="87">
        <v>66.854999566237396</v>
      </c>
      <c r="M67" s="87">
        <v>85.22899944702489</v>
      </c>
      <c r="N67" s="87">
        <v>77.998999493933908</v>
      </c>
      <c r="O67" s="87">
        <v>74.713999515247338</v>
      </c>
      <c r="P67" s="87">
        <v>82.911999462057821</v>
      </c>
      <c r="Q67" s="87">
        <v>41.749999729121406</v>
      </c>
      <c r="R67" s="87">
        <v>54.775999644607296</v>
      </c>
      <c r="S67" s="87">
        <v>48.558999684943863</v>
      </c>
      <c r="T67" s="87">
        <v>63.559999587615728</v>
      </c>
      <c r="U67" s="87">
        <v>42.70199972294472</v>
      </c>
      <c r="V67" s="87">
        <v>61.943999598100518</v>
      </c>
      <c r="W67" s="87">
        <v>65.685999573822002</v>
      </c>
      <c r="X67" s="87">
        <v>57.518999626810405</v>
      </c>
      <c r="Y67" s="87">
        <v>77.326999498293915</v>
      </c>
      <c r="Z67" s="87">
        <v>81.510999999999996</v>
      </c>
      <c r="AA67" s="217">
        <v>80.799000000000007</v>
      </c>
      <c r="AB67" s="217">
        <v>64.850999999999999</v>
      </c>
      <c r="AC67" s="217">
        <v>65.444999999999993</v>
      </c>
      <c r="AD67" s="217">
        <v>50.728999999999999</v>
      </c>
      <c r="AE67" s="217">
        <v>35.49</v>
      </c>
      <c r="AF67" s="217">
        <v>75.444999999999993</v>
      </c>
      <c r="AG67" s="217">
        <v>53.046999999999997</v>
      </c>
      <c r="AH67" s="77">
        <f t="shared" si="28"/>
        <v>61.64071208999087</v>
      </c>
      <c r="AI67" s="77">
        <f t="shared" si="29"/>
        <v>58.978752579562709</v>
      </c>
      <c r="AJ67" s="77">
        <f t="shared" si="30"/>
        <v>58.333538117825128</v>
      </c>
      <c r="AK67" s="77">
        <f t="shared" si="30"/>
        <v>58.479918401599726</v>
      </c>
      <c r="AL67" s="77">
        <f t="shared" si="30"/>
        <v>61.323009062750785</v>
      </c>
    </row>
    <row r="68" spans="1:38">
      <c r="A68" s="69" t="s">
        <v>40</v>
      </c>
      <c r="B68" s="87">
        <v>89.837999417121168</v>
      </c>
      <c r="C68" s="87">
        <v>35.094999772299779</v>
      </c>
      <c r="D68" s="87">
        <v>65.393999575716521</v>
      </c>
      <c r="E68" s="87">
        <v>54.966999643368062</v>
      </c>
      <c r="F68" s="87">
        <v>77.337999498222544</v>
      </c>
      <c r="G68" s="87">
        <v>42.090999726908962</v>
      </c>
      <c r="H68" s="87">
        <v>45.83999970258504</v>
      </c>
      <c r="I68" s="87">
        <v>64.258999583080538</v>
      </c>
      <c r="J68" s="87">
        <v>62.753999592845148</v>
      </c>
      <c r="K68" s="87">
        <v>71.837999533907151</v>
      </c>
      <c r="L68" s="87">
        <v>78.3179994918642</v>
      </c>
      <c r="M68" s="87">
        <v>65.99799957179772</v>
      </c>
      <c r="N68" s="87">
        <v>68.732999554052739</v>
      </c>
      <c r="O68" s="87">
        <v>49.149999681109392</v>
      </c>
      <c r="P68" s="87">
        <v>53.305999654144806</v>
      </c>
      <c r="Q68" s="87">
        <v>60.509999607404467</v>
      </c>
      <c r="R68" s="87">
        <v>44.963999708268616</v>
      </c>
      <c r="S68" s="87">
        <v>55.78099963808674</v>
      </c>
      <c r="T68" s="87">
        <v>50.034999675367416</v>
      </c>
      <c r="U68" s="87">
        <v>82.787999462862345</v>
      </c>
      <c r="V68" s="87">
        <v>65.569999574574624</v>
      </c>
      <c r="W68" s="87">
        <v>40.197999739190955</v>
      </c>
      <c r="X68" s="87">
        <v>66.493999568579611</v>
      </c>
      <c r="Y68" s="87">
        <v>35.933999766856253</v>
      </c>
      <c r="Z68" s="87">
        <v>70.677999999999997</v>
      </c>
      <c r="AA68" s="217">
        <v>47.767000000000003</v>
      </c>
      <c r="AB68" s="217">
        <v>46.372999999999998</v>
      </c>
      <c r="AC68" s="217">
        <v>70.47</v>
      </c>
      <c r="AD68" s="217">
        <v>84.659000000000006</v>
      </c>
      <c r="AE68" s="217">
        <v>40.613</v>
      </c>
      <c r="AF68" s="217">
        <v>45.845999999999997</v>
      </c>
      <c r="AG68" s="77">
        <f t="shared" ref="AG68:AH75" si="31">(SUM(AA68:AE68)/SUM(AA$77:AE$77))*AG$77</f>
        <v>61.308497037027941</v>
      </c>
      <c r="AH68" s="77">
        <f t="shared" si="31"/>
        <v>60.796414214775531</v>
      </c>
      <c r="AI68" s="77">
        <f t="shared" si="29"/>
        <v>63.766107297231279</v>
      </c>
      <c r="AJ68" s="77">
        <f t="shared" si="30"/>
        <v>61.894785240037756</v>
      </c>
      <c r="AK68" s="77">
        <f t="shared" si="30"/>
        <v>55.958381245665542</v>
      </c>
      <c r="AL68" s="77">
        <f t="shared" si="30"/>
        <v>58.563837894414618</v>
      </c>
    </row>
    <row r="69" spans="1:38">
      <c r="A69" s="69" t="s">
        <v>30</v>
      </c>
      <c r="B69" s="87">
        <v>35.438999770067873</v>
      </c>
      <c r="C69" s="87">
        <v>36.564999762762255</v>
      </c>
      <c r="D69" s="87">
        <v>67.205999563960091</v>
      </c>
      <c r="E69" s="87">
        <v>56.284999634816735</v>
      </c>
      <c r="F69" s="87">
        <v>75.729999508655425</v>
      </c>
      <c r="G69" s="87">
        <v>57.214999628782785</v>
      </c>
      <c r="H69" s="87">
        <v>62.478999594629379</v>
      </c>
      <c r="I69" s="87">
        <v>78.133999493058013</v>
      </c>
      <c r="J69" s="87">
        <v>47.153999694059664</v>
      </c>
      <c r="K69" s="87">
        <v>66.076999571285157</v>
      </c>
      <c r="L69" s="87">
        <v>51.718999664441441</v>
      </c>
      <c r="M69" s="87">
        <v>95.325999381514421</v>
      </c>
      <c r="N69" s="87">
        <v>60.035999610479827</v>
      </c>
      <c r="O69" s="87">
        <v>73.376999523921953</v>
      </c>
      <c r="P69" s="87">
        <v>68.282999556972371</v>
      </c>
      <c r="Q69" s="87">
        <v>44.901999708670886</v>
      </c>
      <c r="R69" s="87">
        <v>54.535999646164427</v>
      </c>
      <c r="S69" s="87">
        <v>64.85599957920715</v>
      </c>
      <c r="T69" s="87">
        <v>84.424999452241309</v>
      </c>
      <c r="U69" s="87">
        <v>77.455999497456958</v>
      </c>
      <c r="V69" s="87">
        <v>72.476999529761244</v>
      </c>
      <c r="W69" s="87">
        <v>76.036999506663577</v>
      </c>
      <c r="X69" s="87">
        <v>35.989999766492922</v>
      </c>
      <c r="Y69" s="87">
        <v>68.131</v>
      </c>
      <c r="Z69" s="87">
        <v>46.276000000000003</v>
      </c>
      <c r="AA69" s="217">
        <v>55.164999999999999</v>
      </c>
      <c r="AB69" s="217">
        <v>56.848999999999997</v>
      </c>
      <c r="AC69" s="217">
        <v>76.403999999999996</v>
      </c>
      <c r="AD69" s="217">
        <v>59.414999999999999</v>
      </c>
      <c r="AE69" s="217">
        <v>81.090999999999994</v>
      </c>
      <c r="AF69" s="217">
        <v>57.609000000000002</v>
      </c>
      <c r="AG69" s="77">
        <f t="shared" si="31"/>
        <v>69.56567182304309</v>
      </c>
      <c r="AH69" s="77">
        <f t="shared" si="31"/>
        <v>69.960814782285567</v>
      </c>
      <c r="AI69" s="77">
        <f t="shared" si="29"/>
        <v>72.43708764356748</v>
      </c>
      <c r="AJ69" s="77">
        <f t="shared" si="30"/>
        <v>71.270854014602065</v>
      </c>
      <c r="AK69" s="77">
        <f t="shared" si="30"/>
        <v>72.054362869491413</v>
      </c>
      <c r="AL69" s="77">
        <f t="shared" si="30"/>
        <v>67.984662137561344</v>
      </c>
    </row>
    <row r="70" spans="1:38">
      <c r="A70" s="69" t="s">
        <v>31</v>
      </c>
      <c r="B70" s="87">
        <v>33.544999782356356</v>
      </c>
      <c r="C70" s="87">
        <v>40.534999737004455</v>
      </c>
      <c r="D70" s="87">
        <v>53.539999652626591</v>
      </c>
      <c r="E70" s="87">
        <v>75.675999509005791</v>
      </c>
      <c r="F70" s="87">
        <v>43.378999718552279</v>
      </c>
      <c r="G70" s="87">
        <v>40.468999737432675</v>
      </c>
      <c r="H70" s="87">
        <v>60.890999604932489</v>
      </c>
      <c r="I70" s="87">
        <v>60.733999605951126</v>
      </c>
      <c r="J70" s="87">
        <v>62.437999594895381</v>
      </c>
      <c r="K70" s="87">
        <v>63.341999589030138</v>
      </c>
      <c r="L70" s="87">
        <v>92.694999398584642</v>
      </c>
      <c r="M70" s="87">
        <v>67.715999560651142</v>
      </c>
      <c r="N70" s="87">
        <v>82.564999464309196</v>
      </c>
      <c r="O70" s="87">
        <v>91.66399940527387</v>
      </c>
      <c r="P70" s="87">
        <v>84.945999448861002</v>
      </c>
      <c r="Q70" s="87">
        <v>33.023999785736649</v>
      </c>
      <c r="R70" s="87">
        <v>71.012999539259852</v>
      </c>
      <c r="S70" s="87">
        <v>42.822999722159665</v>
      </c>
      <c r="T70" s="87">
        <v>90.12699941524609</v>
      </c>
      <c r="U70" s="87">
        <v>79.635999483312872</v>
      </c>
      <c r="V70" s="87">
        <v>66.065999571356514</v>
      </c>
      <c r="W70" s="87">
        <v>50.563999671935207</v>
      </c>
      <c r="X70" s="87">
        <v>77.607999496470768</v>
      </c>
      <c r="Y70" s="87">
        <v>62.43</v>
      </c>
      <c r="Z70" s="87">
        <v>50.826999999999998</v>
      </c>
      <c r="AA70" s="217">
        <v>59.216999999999999</v>
      </c>
      <c r="AB70" s="217">
        <v>80.206999999999994</v>
      </c>
      <c r="AC70" s="217">
        <v>35.707999999999998</v>
      </c>
      <c r="AD70" s="217">
        <v>51.131999999999998</v>
      </c>
      <c r="AE70" s="217">
        <v>39.418999999999997</v>
      </c>
      <c r="AF70" s="217">
        <v>31.867999999999999</v>
      </c>
      <c r="AG70" s="77">
        <f t="shared" si="31"/>
        <v>56.190537592153689</v>
      </c>
      <c r="AH70" s="77">
        <f t="shared" si="31"/>
        <v>50.318802148430905</v>
      </c>
      <c r="AI70" s="77">
        <f t="shared" si="29"/>
        <v>45.118366278461878</v>
      </c>
      <c r="AJ70" s="77">
        <f t="shared" si="30"/>
        <v>48.323203542010852</v>
      </c>
      <c r="AK70" s="77">
        <f t="shared" si="30"/>
        <v>45.804521187711977</v>
      </c>
      <c r="AL70" s="77">
        <f t="shared" si="30"/>
        <v>46.238621421864636</v>
      </c>
    </row>
    <row r="71" spans="1:38">
      <c r="A71" s="69" t="s">
        <v>32</v>
      </c>
      <c r="B71" s="87">
        <v>55.385999640649537</v>
      </c>
      <c r="C71" s="87">
        <v>54.807999644399665</v>
      </c>
      <c r="D71" s="87">
        <v>93.753999391713748</v>
      </c>
      <c r="E71" s="87">
        <v>62.716999593085198</v>
      </c>
      <c r="F71" s="87">
        <v>68.540999555298441</v>
      </c>
      <c r="G71" s="87">
        <v>52.940999656512972</v>
      </c>
      <c r="H71" s="87">
        <v>41.706999729400394</v>
      </c>
      <c r="I71" s="87">
        <v>66.952999565601573</v>
      </c>
      <c r="J71" s="87">
        <v>81.383999471971649</v>
      </c>
      <c r="K71" s="87">
        <v>54.477999646540738</v>
      </c>
      <c r="L71" s="87">
        <v>49.124999681271589</v>
      </c>
      <c r="M71" s="87">
        <v>58.924999617688115</v>
      </c>
      <c r="N71" s="87">
        <v>53.208999654774153</v>
      </c>
      <c r="O71" s="87">
        <v>99.134999356801202</v>
      </c>
      <c r="P71" s="87">
        <v>92.258999401413462</v>
      </c>
      <c r="Q71" s="87">
        <v>40.657999736206435</v>
      </c>
      <c r="R71" s="87">
        <v>46.690999697063653</v>
      </c>
      <c r="S71" s="87">
        <v>69.903999546455154</v>
      </c>
      <c r="T71" s="87">
        <v>88.743999424219155</v>
      </c>
      <c r="U71" s="87">
        <v>108.01199929920627</v>
      </c>
      <c r="V71" s="87">
        <v>76.696999502381416</v>
      </c>
      <c r="W71" s="87">
        <v>82.999999461486865</v>
      </c>
      <c r="X71" s="87">
        <v>65.805999573043422</v>
      </c>
      <c r="Y71" s="87">
        <v>67.537999999999997</v>
      </c>
      <c r="Z71" s="87">
        <v>69.516999999999996</v>
      </c>
      <c r="AA71" s="217">
        <v>58.073999999999998</v>
      </c>
      <c r="AB71" s="217">
        <v>51.921999999999997</v>
      </c>
      <c r="AC71" s="217">
        <v>37.789000000000001</v>
      </c>
      <c r="AD71" s="217">
        <v>52.968000000000004</v>
      </c>
      <c r="AE71" s="217">
        <v>90.156999999999996</v>
      </c>
      <c r="AF71" s="217">
        <v>74.656999999999996</v>
      </c>
      <c r="AG71" s="77">
        <f t="shared" si="31"/>
        <v>61.525913554624978</v>
      </c>
      <c r="AH71" s="77">
        <f t="shared" si="31"/>
        <v>64.920151673816846</v>
      </c>
      <c r="AI71" s="77">
        <f t="shared" si="29"/>
        <v>66.75559476963268</v>
      </c>
      <c r="AJ71" s="77">
        <f t="shared" si="30"/>
        <v>72.66117807762906</v>
      </c>
      <c r="AK71" s="77">
        <f t="shared" si="30"/>
        <v>73.565069693128891</v>
      </c>
      <c r="AL71" s="77">
        <f t="shared" si="30"/>
        <v>67.920118808384302</v>
      </c>
    </row>
    <row r="72" spans="1:38">
      <c r="A72" s="69" t="s">
        <v>33</v>
      </c>
      <c r="B72" s="87">
        <v>35.448999770002985</v>
      </c>
      <c r="C72" s="87">
        <v>47.585999691256795</v>
      </c>
      <c r="D72" s="87">
        <v>47.321999692969655</v>
      </c>
      <c r="E72" s="87">
        <v>65.360999575930634</v>
      </c>
      <c r="F72" s="87">
        <v>53.541999652613612</v>
      </c>
      <c r="G72" s="87">
        <v>45.248999706419511</v>
      </c>
      <c r="H72" s="87">
        <v>65.382999575787906</v>
      </c>
      <c r="I72" s="87">
        <v>64.932999578707552</v>
      </c>
      <c r="J72" s="87">
        <v>77.925999494407534</v>
      </c>
      <c r="K72" s="87">
        <v>67.916999559347033</v>
      </c>
      <c r="L72" s="87">
        <v>59.624999613146443</v>
      </c>
      <c r="M72" s="87">
        <v>74.80199951467641</v>
      </c>
      <c r="N72" s="87">
        <v>51.315999667056147</v>
      </c>
      <c r="O72" s="87">
        <v>73.003999526342014</v>
      </c>
      <c r="P72" s="87">
        <v>88.407999426399172</v>
      </c>
      <c r="Q72" s="87">
        <v>49.785999676982954</v>
      </c>
      <c r="R72" s="87">
        <v>57.691999625687956</v>
      </c>
      <c r="S72" s="87">
        <v>71.527999535918454</v>
      </c>
      <c r="T72" s="87">
        <v>60.231999609208152</v>
      </c>
      <c r="U72" s="87">
        <v>64.673999580387971</v>
      </c>
      <c r="V72" s="87">
        <v>97.3089993686485</v>
      </c>
      <c r="W72" s="87">
        <v>55.117999642388348</v>
      </c>
      <c r="X72" s="87">
        <v>53.337999653937189</v>
      </c>
      <c r="Y72" s="87">
        <v>81.915999999999997</v>
      </c>
      <c r="Z72" s="217">
        <v>60.021999999999998</v>
      </c>
      <c r="AA72" s="217">
        <v>58.872999999999998</v>
      </c>
      <c r="AB72" s="217">
        <v>67.094999999999999</v>
      </c>
      <c r="AC72" s="217">
        <v>86.308999999999997</v>
      </c>
      <c r="AD72" s="217">
        <v>66.424999999999997</v>
      </c>
      <c r="AE72" s="217">
        <v>39.097000000000001</v>
      </c>
      <c r="AF72" s="217">
        <v>70.921999999999997</v>
      </c>
      <c r="AG72" s="77">
        <f t="shared" si="31"/>
        <v>67.21279365352261</v>
      </c>
      <c r="AH72" s="77">
        <f t="shared" si="31"/>
        <v>69.639901361348507</v>
      </c>
      <c r="AI72" s="77">
        <f t="shared" si="29"/>
        <v>69.464765714852291</v>
      </c>
      <c r="AJ72" s="77">
        <f t="shared" si="30"/>
        <v>66.132048043499481</v>
      </c>
      <c r="AK72" s="77">
        <f t="shared" si="30"/>
        <v>65.000826444812475</v>
      </c>
      <c r="AL72" s="77">
        <f t="shared" si="30"/>
        <v>68.488913312905467</v>
      </c>
    </row>
    <row r="73" spans="1:38">
      <c r="A73" s="69" t="s">
        <v>14</v>
      </c>
      <c r="B73" s="87">
        <v>53.935999650057305</v>
      </c>
      <c r="C73" s="87">
        <v>59.645999613010197</v>
      </c>
      <c r="D73" s="87">
        <v>78.711999489307885</v>
      </c>
      <c r="E73" s="87">
        <v>68.698999554273342</v>
      </c>
      <c r="F73" s="87">
        <v>50.01499967549718</v>
      </c>
      <c r="G73" s="87">
        <v>65.932999572219444</v>
      </c>
      <c r="H73" s="87">
        <v>52.226999661145477</v>
      </c>
      <c r="I73" s="87">
        <v>63.573999587524895</v>
      </c>
      <c r="J73" s="87">
        <v>49.333999679915586</v>
      </c>
      <c r="K73" s="87">
        <v>65.490999575087201</v>
      </c>
      <c r="L73" s="87">
        <v>62.685999593286347</v>
      </c>
      <c r="M73" s="87">
        <v>56.012999636581497</v>
      </c>
      <c r="N73" s="87">
        <v>86.203999440698965</v>
      </c>
      <c r="O73" s="87">
        <v>78.493999490722288</v>
      </c>
      <c r="P73" s="87">
        <v>98.502999360901711</v>
      </c>
      <c r="Q73" s="87">
        <v>90.232999414558364</v>
      </c>
      <c r="R73" s="87">
        <v>58.452999620750504</v>
      </c>
      <c r="S73" s="87">
        <v>49.54199967856605</v>
      </c>
      <c r="T73" s="87">
        <v>75.363999511030087</v>
      </c>
      <c r="U73" s="87">
        <v>109.59799928891611</v>
      </c>
      <c r="V73" s="87">
        <v>78.276999492130216</v>
      </c>
      <c r="W73" s="87">
        <v>79.410999484772688</v>
      </c>
      <c r="X73" s="87">
        <v>90.624999412015029</v>
      </c>
      <c r="Y73" s="87">
        <v>68.319999999999993</v>
      </c>
      <c r="Z73" s="217">
        <v>55.66</v>
      </c>
      <c r="AA73" s="217">
        <v>73.451999999999998</v>
      </c>
      <c r="AB73" s="217">
        <v>42.305</v>
      </c>
      <c r="AC73" s="217">
        <v>51.201000000000001</v>
      </c>
      <c r="AD73" s="217">
        <v>30.3</v>
      </c>
      <c r="AE73" s="217">
        <v>54.636000000000003</v>
      </c>
      <c r="AF73" s="217">
        <v>78.552999999999997</v>
      </c>
      <c r="AG73" s="77">
        <f t="shared" si="31"/>
        <v>53.27423762994983</v>
      </c>
      <c r="AH73" s="77">
        <f t="shared" si="31"/>
        <v>54.258647772185249</v>
      </c>
      <c r="AI73" s="77">
        <f t="shared" si="29"/>
        <v>56.412129211396369</v>
      </c>
      <c r="AJ73" s="77">
        <f t="shared" si="30"/>
        <v>57.208494795653863</v>
      </c>
      <c r="AK73" s="77">
        <f t="shared" si="30"/>
        <v>61.055107179840064</v>
      </c>
      <c r="AL73" s="77">
        <f t="shared" si="30"/>
        <v>59.77948844846005</v>
      </c>
    </row>
    <row r="74" spans="1:38">
      <c r="A74" s="69" t="s">
        <v>34</v>
      </c>
      <c r="B74" s="87">
        <v>49.816999676781833</v>
      </c>
      <c r="C74" s="87">
        <v>49.501999678825577</v>
      </c>
      <c r="D74" s="87">
        <v>60.986999604309631</v>
      </c>
      <c r="E74" s="87">
        <v>64.840999579304452</v>
      </c>
      <c r="F74" s="87">
        <v>59.973999610882089</v>
      </c>
      <c r="G74" s="87">
        <v>53.561999652483848</v>
      </c>
      <c r="H74" s="87">
        <v>42.496999724274787</v>
      </c>
      <c r="I74" s="87">
        <v>71.875999533660604</v>
      </c>
      <c r="J74" s="87">
        <v>104.50299932197305</v>
      </c>
      <c r="K74" s="87">
        <v>65.442999575398616</v>
      </c>
      <c r="L74" s="87">
        <v>98.204999362835153</v>
      </c>
      <c r="M74" s="87">
        <v>84.14399945406447</v>
      </c>
      <c r="N74" s="87">
        <v>75.857999507824942</v>
      </c>
      <c r="O74" s="87">
        <v>76.631999502803154</v>
      </c>
      <c r="P74" s="87">
        <v>89.576999418814566</v>
      </c>
      <c r="Q74" s="87">
        <v>51.887999663344957</v>
      </c>
      <c r="R74" s="87">
        <v>73.317999524304753</v>
      </c>
      <c r="S74" s="87">
        <v>63.524999587842814</v>
      </c>
      <c r="T74" s="87">
        <v>85.418999445792124</v>
      </c>
      <c r="U74" s="87">
        <v>89.048999422240286</v>
      </c>
      <c r="V74" s="87">
        <v>103.14399933079038</v>
      </c>
      <c r="W74" s="87">
        <v>84.920999449023213</v>
      </c>
      <c r="X74" s="87">
        <v>83.852999455952514</v>
      </c>
      <c r="Y74" s="87">
        <v>67.429000000000002</v>
      </c>
      <c r="Z74" s="217">
        <v>90.893000000000001</v>
      </c>
      <c r="AA74" s="217">
        <v>51.619</v>
      </c>
      <c r="AB74" s="217">
        <v>80.221999999999994</v>
      </c>
      <c r="AC74" s="217">
        <v>49.375999999999998</v>
      </c>
      <c r="AD74" s="217">
        <v>72.774000000000001</v>
      </c>
      <c r="AE74" s="217">
        <v>82.872</v>
      </c>
      <c r="AF74" s="217">
        <v>74.244</v>
      </c>
      <c r="AG74" s="77">
        <f t="shared" si="31"/>
        <v>71.244727983746287</v>
      </c>
      <c r="AH74" s="77">
        <f t="shared" si="31"/>
        <v>75.897713069621318</v>
      </c>
      <c r="AI74" s="77">
        <f t="shared" si="29"/>
        <v>73.789908130597894</v>
      </c>
      <c r="AJ74" s="77">
        <f t="shared" si="30"/>
        <v>79.585670396285764</v>
      </c>
      <c r="AK74" s="77">
        <f t="shared" si="30"/>
        <v>77.68138733160535</v>
      </c>
      <c r="AL74" s="77">
        <f t="shared" si="30"/>
        <v>74.750067539682831</v>
      </c>
    </row>
    <row r="75" spans="1:38">
      <c r="A75" s="69" t="s">
        <v>35</v>
      </c>
      <c r="B75" s="87">
        <v>60.679999606301486</v>
      </c>
      <c r="C75" s="87">
        <v>64.946999578616726</v>
      </c>
      <c r="D75" s="87">
        <v>60.873999605042783</v>
      </c>
      <c r="E75" s="87">
        <v>86.976999435683652</v>
      </c>
      <c r="F75" s="87">
        <v>89.377999420105695</v>
      </c>
      <c r="G75" s="87">
        <v>43.939999714912446</v>
      </c>
      <c r="H75" s="87">
        <v>92.527999399668161</v>
      </c>
      <c r="I75" s="87">
        <v>57.009999630112851</v>
      </c>
      <c r="J75" s="87">
        <v>73.867999520736291</v>
      </c>
      <c r="K75" s="87">
        <v>105.66699931442088</v>
      </c>
      <c r="L75" s="87">
        <v>97.295999368732851</v>
      </c>
      <c r="M75" s="87">
        <v>53.16299965507261</v>
      </c>
      <c r="N75" s="87">
        <v>81.910999468552433</v>
      </c>
      <c r="O75" s="87">
        <v>84.118999454226682</v>
      </c>
      <c r="P75" s="87">
        <v>104.95099931906637</v>
      </c>
      <c r="Q75" s="87">
        <v>65.125999577455346</v>
      </c>
      <c r="R75" s="87">
        <v>68.982999552430712</v>
      </c>
      <c r="S75" s="87">
        <v>89.053999422207852</v>
      </c>
      <c r="T75" s="87">
        <v>89.099999421909388</v>
      </c>
      <c r="U75" s="87">
        <v>111.45999927683525</v>
      </c>
      <c r="V75" s="87">
        <v>80.154999479945531</v>
      </c>
      <c r="W75" s="87">
        <v>47.360999692716618</v>
      </c>
      <c r="X75" s="87">
        <v>39.275999745172989</v>
      </c>
      <c r="Y75" s="87">
        <v>77.533000000000001</v>
      </c>
      <c r="Z75" s="217">
        <v>66.611999999999995</v>
      </c>
      <c r="AA75" s="217">
        <v>76.397000000000006</v>
      </c>
      <c r="AB75" s="217">
        <v>62.939</v>
      </c>
      <c r="AC75" s="217">
        <v>57.341999999999999</v>
      </c>
      <c r="AD75" s="217">
        <v>38.883000000000003</v>
      </c>
      <c r="AE75" s="217">
        <v>42.963999999999999</v>
      </c>
      <c r="AF75" s="217">
        <v>78.275999999999996</v>
      </c>
      <c r="AG75" s="77">
        <f t="shared" si="31"/>
        <v>58.906552104781277</v>
      </c>
      <c r="AH75" s="77">
        <f t="shared" si="31"/>
        <v>59.200925581866699</v>
      </c>
      <c r="AI75" s="77">
        <f t="shared" si="29"/>
        <v>58.182046401353603</v>
      </c>
      <c r="AJ75" s="77">
        <f t="shared" si="30"/>
        <v>58.730116245451732</v>
      </c>
      <c r="AK75" s="77">
        <f t="shared" si="30"/>
        <v>61.136376479774739</v>
      </c>
      <c r="AL75" s="77">
        <f t="shared" si="30"/>
        <v>62.489977775880028</v>
      </c>
    </row>
    <row r="76" spans="1:38">
      <c r="A76" s="69" t="s">
        <v>36</v>
      </c>
      <c r="B76" s="87">
        <v>39.344999744725314</v>
      </c>
      <c r="C76" s="87">
        <v>63.421999588511085</v>
      </c>
      <c r="D76" s="87">
        <v>66.279999569968069</v>
      </c>
      <c r="E76" s="87">
        <v>65.80099957307587</v>
      </c>
      <c r="F76" s="87">
        <v>52.815999657323978</v>
      </c>
      <c r="G76" s="87">
        <v>52.234999661093575</v>
      </c>
      <c r="H76" s="87">
        <v>89.27499942077398</v>
      </c>
      <c r="I76" s="87">
        <v>87.34899943327008</v>
      </c>
      <c r="J76" s="87">
        <v>70.543999542302771</v>
      </c>
      <c r="K76" s="87">
        <v>82.433999465159133</v>
      </c>
      <c r="L76" s="87">
        <v>74.337999517686868</v>
      </c>
      <c r="M76" s="87">
        <v>58.815999618395324</v>
      </c>
      <c r="N76" s="87">
        <v>113.63399926273011</v>
      </c>
      <c r="O76" s="87">
        <v>91.841999404119008</v>
      </c>
      <c r="P76" s="87">
        <v>145.98699905282027</v>
      </c>
      <c r="Q76" s="87">
        <v>70.148999544865561</v>
      </c>
      <c r="R76" s="87">
        <v>60.890999604932489</v>
      </c>
      <c r="S76" s="87">
        <v>64.283999582918341</v>
      </c>
      <c r="T76" s="87">
        <v>78.014999493830103</v>
      </c>
      <c r="U76" s="87">
        <v>83.452999458547751</v>
      </c>
      <c r="V76" s="87">
        <v>104.4339993224207</v>
      </c>
      <c r="W76" s="87">
        <v>125.71799918432778</v>
      </c>
      <c r="X76" s="87">
        <v>82.352999465684661</v>
      </c>
      <c r="Y76" s="87">
        <v>69.105000000000004</v>
      </c>
      <c r="Z76" s="217">
        <v>105.274</v>
      </c>
      <c r="AA76" s="217">
        <v>81.239999999999995</v>
      </c>
      <c r="AB76" s="217">
        <v>45.719000000000001</v>
      </c>
      <c r="AC76" s="217">
        <v>101.431</v>
      </c>
      <c r="AD76" s="217">
        <v>60.911000000000001</v>
      </c>
      <c r="AE76" s="217">
        <v>42.307000000000002</v>
      </c>
      <c r="AF76" s="217">
        <v>59.515000000000001</v>
      </c>
      <c r="AG76" s="77">
        <f t="shared" ref="AG76:AH76" si="32">AG77-SUM(AG65:AG75)</f>
        <v>88.994068621150177</v>
      </c>
      <c r="AH76" s="77">
        <f t="shared" si="32"/>
        <v>65.424745802790312</v>
      </c>
      <c r="AI76" s="77">
        <f t="shared" ref="AI76:AL76" si="33">AI77-SUM(AI65:AI75)</f>
        <v>74.347229224728608</v>
      </c>
      <c r="AJ76" s="77">
        <f t="shared" si="33"/>
        <v>66.945803649704885</v>
      </c>
      <c r="AK76" s="77">
        <f t="shared" si="33"/>
        <v>67.929242175775926</v>
      </c>
      <c r="AL76" s="77">
        <f t="shared" si="33"/>
        <v>70.853580245945864</v>
      </c>
    </row>
    <row r="77" spans="1:38" ht="12" thickBot="1">
      <c r="A77" s="69" t="s">
        <v>138</v>
      </c>
      <c r="B77" s="76">
        <f>SUM(B65:B76)</f>
        <v>646.45299580574181</v>
      </c>
      <c r="C77" s="76">
        <f t="shared" ref="C77:X77" si="34">SUM(C65:C76)</f>
        <v>607.78099605665</v>
      </c>
      <c r="D77" s="76">
        <f t="shared" si="34"/>
        <v>772.33899498897949</v>
      </c>
      <c r="E77" s="76">
        <f t="shared" si="34"/>
        <v>777.07199495827138</v>
      </c>
      <c r="F77" s="76">
        <f t="shared" si="34"/>
        <v>771.54199499415063</v>
      </c>
      <c r="G77" s="76">
        <f t="shared" si="34"/>
        <v>645.18499581396873</v>
      </c>
      <c r="H77" s="76">
        <f t="shared" si="34"/>
        <v>695.82499548541091</v>
      </c>
      <c r="I77" s="76">
        <f t="shared" si="34"/>
        <v>790.52699487097402</v>
      </c>
      <c r="J77" s="76">
        <f t="shared" si="34"/>
        <v>818.88699468697109</v>
      </c>
      <c r="K77" s="76">
        <f t="shared" si="34"/>
        <v>814.69599471416279</v>
      </c>
      <c r="L77" s="76">
        <f t="shared" si="34"/>
        <v>902.73299414296889</v>
      </c>
      <c r="M77" s="76">
        <f t="shared" si="34"/>
        <v>863.48899439758839</v>
      </c>
      <c r="N77" s="76">
        <f t="shared" si="34"/>
        <v>900.92399415470607</v>
      </c>
      <c r="O77" s="76">
        <f t="shared" si="34"/>
        <v>987.588993592414</v>
      </c>
      <c r="P77" s="76">
        <f t="shared" si="34"/>
        <v>1098.2289928745695</v>
      </c>
      <c r="Q77" s="76">
        <f t="shared" si="34"/>
        <v>717.85199534249728</v>
      </c>
      <c r="R77" s="76">
        <f t="shared" si="34"/>
        <v>700.706995453736</v>
      </c>
      <c r="S77" s="76">
        <f t="shared" si="34"/>
        <v>727.19399528188535</v>
      </c>
      <c r="T77" s="76">
        <f t="shared" si="34"/>
        <v>899.280994165366</v>
      </c>
      <c r="U77" s="76">
        <f t="shared" si="34"/>
        <v>997.71999352668286</v>
      </c>
      <c r="V77" s="76">
        <f t="shared" si="34"/>
        <v>972.91799368760098</v>
      </c>
      <c r="W77" s="76">
        <f t="shared" si="34"/>
        <v>862.20799440589974</v>
      </c>
      <c r="X77" s="76">
        <f t="shared" si="34"/>
        <v>745.9299951603241</v>
      </c>
      <c r="Y77" s="76">
        <f>SUM(Y65:Y76)</f>
        <v>786.09099854868123</v>
      </c>
      <c r="Z77" s="76">
        <f t="shared" ref="Z77:AF77" si="35">SUM(Z65:Z76)</f>
        <v>799.92499999999995</v>
      </c>
      <c r="AA77" s="76">
        <f t="shared" si="35"/>
        <v>779.11200000000008</v>
      </c>
      <c r="AB77" s="76">
        <f t="shared" si="35"/>
        <v>764.43099999999993</v>
      </c>
      <c r="AC77" s="76">
        <f t="shared" si="35"/>
        <v>784.82399999999996</v>
      </c>
      <c r="AD77" s="76">
        <f t="shared" si="35"/>
        <v>674.8610000000001</v>
      </c>
      <c r="AE77" s="76">
        <f t="shared" si="35"/>
        <v>661.16699999999992</v>
      </c>
      <c r="AF77" s="76">
        <f t="shared" si="35"/>
        <v>785.48899999999992</v>
      </c>
      <c r="AG77" s="77">
        <f t="shared" ref="AG77:AL77" si="36">AG9</f>
        <v>775</v>
      </c>
      <c r="AH77" s="77">
        <f t="shared" si="36"/>
        <v>775</v>
      </c>
      <c r="AI77" s="77">
        <f t="shared" si="36"/>
        <v>775</v>
      </c>
      <c r="AJ77" s="77">
        <f t="shared" si="36"/>
        <v>775</v>
      </c>
      <c r="AK77" s="77">
        <f t="shared" si="36"/>
        <v>775</v>
      </c>
      <c r="AL77" s="77">
        <f t="shared" si="36"/>
        <v>775</v>
      </c>
    </row>
    <row r="78" spans="1:38">
      <c r="A78" s="199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</row>
    <row r="79" spans="1:38" ht="12" thickBot="1">
      <c r="A79" s="69" t="s">
        <v>342</v>
      </c>
      <c r="D79" s="92"/>
      <c r="E79" s="92"/>
      <c r="F79" s="92"/>
      <c r="G79" s="92"/>
      <c r="H79" s="92"/>
      <c r="I79" s="92"/>
      <c r="J79" s="92"/>
    </row>
    <row r="80" spans="1:38" ht="12" thickBot="1">
      <c r="A80" s="202"/>
      <c r="B80" s="203" t="str">
        <f>B$2</f>
        <v xml:space="preserve">93/94 </v>
      </c>
      <c r="C80" s="203" t="str">
        <f t="shared" ref="C80:AL80" si="37">C$2</f>
        <v xml:space="preserve">94/95 </v>
      </c>
      <c r="D80" s="203" t="str">
        <f t="shared" si="37"/>
        <v xml:space="preserve">95/96 </v>
      </c>
      <c r="E80" s="203" t="str">
        <f t="shared" si="37"/>
        <v xml:space="preserve">96/97 </v>
      </c>
      <c r="F80" s="203" t="str">
        <f t="shared" si="37"/>
        <v xml:space="preserve">97/98 </v>
      </c>
      <c r="G80" s="203" t="str">
        <f t="shared" si="37"/>
        <v xml:space="preserve">98/99 </v>
      </c>
      <c r="H80" s="203" t="str">
        <f t="shared" si="37"/>
        <v xml:space="preserve">99/00 </v>
      </c>
      <c r="I80" s="203" t="str">
        <f t="shared" si="37"/>
        <v xml:space="preserve">00/01 </v>
      </c>
      <c r="J80" s="203" t="str">
        <f t="shared" si="37"/>
        <v xml:space="preserve">01/02 </v>
      </c>
      <c r="K80" s="203" t="str">
        <f t="shared" si="37"/>
        <v xml:space="preserve">02/03 </v>
      </c>
      <c r="L80" s="203" t="str">
        <f t="shared" si="37"/>
        <v xml:space="preserve">03/04 </v>
      </c>
      <c r="M80" s="203" t="str">
        <f t="shared" si="37"/>
        <v xml:space="preserve">04/05 </v>
      </c>
      <c r="N80" s="203" t="str">
        <f t="shared" si="37"/>
        <v xml:space="preserve">05/06 </v>
      </c>
      <c r="O80" s="203" t="str">
        <f t="shared" si="37"/>
        <v xml:space="preserve">06/07 </v>
      </c>
      <c r="P80" s="203" t="str">
        <f t="shared" si="37"/>
        <v xml:space="preserve">07/08 </v>
      </c>
      <c r="Q80" s="203" t="str">
        <f t="shared" si="37"/>
        <v xml:space="preserve">08/09 </v>
      </c>
      <c r="R80" s="203" t="str">
        <f t="shared" si="37"/>
        <v xml:space="preserve">09/10 </v>
      </c>
      <c r="S80" s="203" t="str">
        <f t="shared" si="37"/>
        <v xml:space="preserve">10/11 </v>
      </c>
      <c r="T80" s="203" t="str">
        <f t="shared" si="37"/>
        <v xml:space="preserve">11/12 </v>
      </c>
      <c r="U80" s="203" t="str">
        <f t="shared" si="37"/>
        <v xml:space="preserve">12/13 </v>
      </c>
      <c r="V80" s="203" t="str">
        <f t="shared" si="37"/>
        <v xml:space="preserve">13/14 </v>
      </c>
      <c r="W80" s="203" t="str">
        <f t="shared" si="37"/>
        <v xml:space="preserve">14/15 </v>
      </c>
      <c r="X80" s="203" t="str">
        <f t="shared" si="37"/>
        <v xml:space="preserve">15/16 </v>
      </c>
      <c r="Y80" s="203" t="str">
        <f t="shared" si="37"/>
        <v xml:space="preserve">16/17 </v>
      </c>
      <c r="Z80" s="203" t="str">
        <f t="shared" si="37"/>
        <v xml:space="preserve">17/18 </v>
      </c>
      <c r="AA80" s="203" t="str">
        <f t="shared" si="37"/>
        <v xml:space="preserve">18/19 </v>
      </c>
      <c r="AB80" s="203" t="str">
        <f t="shared" si="37"/>
        <v xml:space="preserve">19/20 </v>
      </c>
      <c r="AC80" s="203" t="str">
        <f t="shared" si="37"/>
        <v xml:space="preserve">20/21 </v>
      </c>
      <c r="AD80" s="203" t="str">
        <f t="shared" si="37"/>
        <v>21/22</v>
      </c>
      <c r="AE80" s="203" t="str">
        <f t="shared" si="37"/>
        <v>22/23</v>
      </c>
      <c r="AF80" s="203" t="str">
        <f t="shared" si="37"/>
        <v>23/24</v>
      </c>
      <c r="AG80" s="203" t="str">
        <f t="shared" si="37"/>
        <v>24/25</v>
      </c>
      <c r="AH80" s="203" t="str">
        <f t="shared" si="37"/>
        <v>25/26</v>
      </c>
      <c r="AI80" s="203" t="str">
        <f t="shared" si="37"/>
        <v>26/27</v>
      </c>
      <c r="AJ80" s="203" t="str">
        <f t="shared" si="37"/>
        <v>27/28</v>
      </c>
      <c r="AK80" s="203" t="str">
        <f t="shared" si="37"/>
        <v>28/29</v>
      </c>
      <c r="AL80" s="203" t="str">
        <f t="shared" si="37"/>
        <v>29/30</v>
      </c>
    </row>
    <row r="81" spans="1:38">
      <c r="A81" s="69" t="s">
        <v>38</v>
      </c>
      <c r="B81" s="108">
        <f>B4+B17+B49-B65-B97</f>
        <v>73.56119760415703</v>
      </c>
      <c r="C81" s="108">
        <f>B108+C17+C49-C65-C97</f>
        <v>72.198636682695565</v>
      </c>
      <c r="D81" s="108">
        <f t="shared" ref="D81:S81" si="38">C108+D17+D49-D65-D97</f>
        <v>58.028598244390068</v>
      </c>
      <c r="E81" s="108">
        <f t="shared" si="38"/>
        <v>66.028649262481252</v>
      </c>
      <c r="F81" s="108">
        <f t="shared" si="38"/>
        <v>71.502600398758261</v>
      </c>
      <c r="G81" s="108">
        <f t="shared" si="38"/>
        <v>68.62848915842703</v>
      </c>
      <c r="H81" s="108">
        <f t="shared" si="38"/>
        <v>93.276459131762081</v>
      </c>
      <c r="I81" s="108">
        <f t="shared" si="38"/>
        <v>75.357716268132634</v>
      </c>
      <c r="J81" s="108">
        <f t="shared" si="38"/>
        <v>71.511844879056</v>
      </c>
      <c r="K81" s="108">
        <f t="shared" si="38"/>
        <v>102.51012962666466</v>
      </c>
      <c r="L81" s="108">
        <f t="shared" si="38"/>
        <v>52.340044228193165</v>
      </c>
      <c r="M81" s="108">
        <f t="shared" si="38"/>
        <v>53.63291996558192</v>
      </c>
      <c r="N81" s="108">
        <f t="shared" si="38"/>
        <v>61.099245182409888</v>
      </c>
      <c r="O81" s="108">
        <f t="shared" si="38"/>
        <v>54.662347585364657</v>
      </c>
      <c r="P81" s="108">
        <f t="shared" si="38"/>
        <v>36.670280187952557</v>
      </c>
      <c r="Q81" s="108">
        <f t="shared" si="38"/>
        <v>51.6461351958595</v>
      </c>
      <c r="R81" s="108">
        <f t="shared" si="38"/>
        <v>76.086165265563636</v>
      </c>
      <c r="S81" s="108">
        <f t="shared" si="38"/>
        <v>55.943856126076895</v>
      </c>
      <c r="T81" s="108">
        <f t="shared" ref="T81:AL81" si="39">S108+T18+T49-T65-T97</f>
        <v>85.65659884519421</v>
      </c>
      <c r="U81" s="108">
        <f t="shared" si="39"/>
        <v>63.114050202946089</v>
      </c>
      <c r="V81" s="108">
        <f t="shared" si="39"/>
        <v>94.033917091875807</v>
      </c>
      <c r="W81" s="108">
        <f t="shared" si="39"/>
        <v>79.710444291200787</v>
      </c>
      <c r="X81" s="108">
        <f t="shared" si="39"/>
        <v>30.188000344032034</v>
      </c>
      <c r="Y81" s="108">
        <f t="shared" si="39"/>
        <v>26.511000387443971</v>
      </c>
      <c r="Z81" s="87">
        <f t="shared" si="39"/>
        <v>41.415999999999997</v>
      </c>
      <c r="AA81" s="217">
        <f t="shared" si="39"/>
        <v>15.789000000000001</v>
      </c>
      <c r="AB81" s="217">
        <f t="shared" si="39"/>
        <v>4.7449999999999903</v>
      </c>
      <c r="AC81" s="217">
        <f t="shared" si="39"/>
        <v>52.475999999999999</v>
      </c>
      <c r="AD81" s="217">
        <f t="shared" si="39"/>
        <v>66.823999999999984</v>
      </c>
      <c r="AE81" s="217">
        <f t="shared" si="39"/>
        <v>44.834999999999994</v>
      </c>
      <c r="AF81" s="217">
        <f t="shared" si="39"/>
        <v>30.569999999999993</v>
      </c>
      <c r="AG81" s="217">
        <f t="shared" si="39"/>
        <v>58.731999999999992</v>
      </c>
      <c r="AH81" s="77">
        <f t="shared" si="39"/>
        <v>37.81256085339858</v>
      </c>
      <c r="AI81" s="77">
        <f t="shared" si="39"/>
        <v>46.829975607559518</v>
      </c>
      <c r="AJ81" s="77">
        <f t="shared" si="39"/>
        <v>43.261473247209707</v>
      </c>
      <c r="AK81" s="77">
        <f t="shared" si="39"/>
        <v>37.991522437330616</v>
      </c>
      <c r="AL81" s="77">
        <f t="shared" si="39"/>
        <v>40.81671784911363</v>
      </c>
    </row>
    <row r="82" spans="1:38">
      <c r="A82" s="69" t="s">
        <v>39</v>
      </c>
      <c r="B82" s="108">
        <f>B97+B18+B50-B66-B98</f>
        <v>47.393598313391124</v>
      </c>
      <c r="C82" s="108">
        <f>C97+C18+C50-C66-C98</f>
        <v>79.263471762433994</v>
      </c>
      <c r="D82" s="108">
        <f t="shared" ref="D82:AL92" si="40">D97+D18+D50-D66-D98</f>
        <v>84.537992341972966</v>
      </c>
      <c r="E82" s="108">
        <f t="shared" si="40"/>
        <v>43.319636870065679</v>
      </c>
      <c r="F82" s="108">
        <f t="shared" si="40"/>
        <v>53.696574979287533</v>
      </c>
      <c r="G82" s="108">
        <f t="shared" si="40"/>
        <v>78.941892024587347</v>
      </c>
      <c r="H82" s="108">
        <f t="shared" si="40"/>
        <v>77.318722677116469</v>
      </c>
      <c r="I82" s="108">
        <f t="shared" si="40"/>
        <v>89.533234548131929</v>
      </c>
      <c r="J82" s="108">
        <f t="shared" si="40"/>
        <v>82.794812545485627</v>
      </c>
      <c r="K82" s="108">
        <f t="shared" si="40"/>
        <v>92.850196300028884</v>
      </c>
      <c r="L82" s="108">
        <f t="shared" si="40"/>
        <v>75.935710146335495</v>
      </c>
      <c r="M82" s="108">
        <f t="shared" si="40"/>
        <v>79.806583777038966</v>
      </c>
      <c r="N82" s="108">
        <f t="shared" si="40"/>
        <v>78.115369629890253</v>
      </c>
      <c r="O82" s="108">
        <f t="shared" si="40"/>
        <v>56.604491740658375</v>
      </c>
      <c r="P82" s="108">
        <f t="shared" si="40"/>
        <v>71.284637456582388</v>
      </c>
      <c r="Q82" s="108">
        <f t="shared" si="40"/>
        <v>79.794225192218079</v>
      </c>
      <c r="R82" s="108">
        <f t="shared" si="40"/>
        <v>79.004465149346771</v>
      </c>
      <c r="S82" s="108">
        <f t="shared" si="40"/>
        <v>75.315821652018258</v>
      </c>
      <c r="T82" s="108">
        <f t="shared" si="40"/>
        <v>65.619598975196453</v>
      </c>
      <c r="U82" s="108">
        <f t="shared" si="40"/>
        <v>103.64204993999599</v>
      </c>
      <c r="V82" s="108">
        <f t="shared" si="40"/>
        <v>45.93391740395387</v>
      </c>
      <c r="W82" s="108">
        <f t="shared" si="40"/>
        <v>52.875444465309201</v>
      </c>
      <c r="X82" s="108">
        <f t="shared" si="40"/>
        <v>45.204000246606562</v>
      </c>
      <c r="Y82" s="108">
        <f t="shared" si="40"/>
        <v>37.111000318670023</v>
      </c>
      <c r="Z82" s="87">
        <f t="shared" si="40"/>
        <v>45.22</v>
      </c>
      <c r="AA82" s="217">
        <f t="shared" si="40"/>
        <v>31.87700000000001</v>
      </c>
      <c r="AB82" s="217">
        <f t="shared" si="40"/>
        <v>6.9769999999999897</v>
      </c>
      <c r="AC82" s="217">
        <f t="shared" si="40"/>
        <v>14.315999999999988</v>
      </c>
      <c r="AD82" s="217">
        <f t="shared" si="40"/>
        <v>44.436999999999998</v>
      </c>
      <c r="AE82" s="217">
        <f t="shared" si="40"/>
        <v>80.49199999999999</v>
      </c>
      <c r="AF82" s="217">
        <f t="shared" si="40"/>
        <v>68.187999999999988</v>
      </c>
      <c r="AG82" s="217">
        <f t="shared" si="40"/>
        <v>20.001999999999995</v>
      </c>
      <c r="AH82" s="77">
        <f t="shared" si="40"/>
        <v>40.950282102341475</v>
      </c>
      <c r="AI82" s="77">
        <f t="shared" si="40"/>
        <v>41.354157655027365</v>
      </c>
      <c r="AJ82" s="77">
        <f t="shared" si="40"/>
        <v>46.491534918167218</v>
      </c>
      <c r="AK82" s="77">
        <f t="shared" si="40"/>
        <v>44.608094566164866</v>
      </c>
      <c r="AL82" s="77">
        <f t="shared" si="40"/>
        <v>40.772015963321167</v>
      </c>
    </row>
    <row r="83" spans="1:38">
      <c r="A83" s="69" t="s">
        <v>40</v>
      </c>
      <c r="B83" s="108">
        <f t="shared" ref="B83:C92" si="41">B98+B19+B51-B67-B99</f>
        <v>62.038026534619476</v>
      </c>
      <c r="C83" s="108">
        <f t="shared" si="41"/>
        <v>71.123054252461998</v>
      </c>
      <c r="D83" s="108">
        <f t="shared" si="40"/>
        <v>78.790739690897979</v>
      </c>
      <c r="E83" s="108">
        <f t="shared" si="40"/>
        <v>81.431043432127552</v>
      </c>
      <c r="F83" s="108">
        <f t="shared" si="40"/>
        <v>77.934525538331741</v>
      </c>
      <c r="G83" s="108">
        <f t="shared" si="40"/>
        <v>82.876431422451418</v>
      </c>
      <c r="H83" s="108">
        <f t="shared" si="40"/>
        <v>105.20254686832396</v>
      </c>
      <c r="I83" s="108">
        <f t="shared" si="40"/>
        <v>83.066412004267661</v>
      </c>
      <c r="J83" s="108">
        <f t="shared" si="40"/>
        <v>84.583553575639272</v>
      </c>
      <c r="K83" s="108">
        <f t="shared" si="40"/>
        <v>84.188923947249279</v>
      </c>
      <c r="L83" s="108">
        <f t="shared" si="40"/>
        <v>75.523403693371463</v>
      </c>
      <c r="M83" s="108">
        <f t="shared" si="40"/>
        <v>50.535778404461567</v>
      </c>
      <c r="N83" s="108">
        <f t="shared" si="40"/>
        <v>67.276502314273003</v>
      </c>
      <c r="O83" s="108">
        <f t="shared" si="40"/>
        <v>76.234515423841771</v>
      </c>
      <c r="P83" s="108">
        <f t="shared" si="40"/>
        <v>66.862621658370557</v>
      </c>
      <c r="Q83" s="108">
        <f t="shared" si="40"/>
        <v>112.01721847927277</v>
      </c>
      <c r="R83" s="108">
        <f t="shared" si="40"/>
        <v>72.053054591318642</v>
      </c>
      <c r="S83" s="108">
        <f t="shared" si="40"/>
        <v>75.817699498748027</v>
      </c>
      <c r="T83" s="108">
        <f t="shared" ref="T83:AL91" si="42">T98+T20+T51-T67-T99</f>
        <v>75.627867002837348</v>
      </c>
      <c r="U83" s="108">
        <f t="shared" si="42"/>
        <v>111.10330114230356</v>
      </c>
      <c r="V83" s="108">
        <f t="shared" si="42"/>
        <v>87.470442066906955</v>
      </c>
      <c r="W83" s="108">
        <f t="shared" si="42"/>
        <v>73.771717636149404</v>
      </c>
      <c r="X83" s="108">
        <f t="shared" si="42"/>
        <v>32.546000365767206</v>
      </c>
      <c r="Y83" s="108">
        <f t="shared" si="42"/>
        <v>12.556000496573986</v>
      </c>
      <c r="Z83" s="87">
        <f t="shared" si="42"/>
        <v>10.850000000000009</v>
      </c>
      <c r="AA83" s="217">
        <f t="shared" si="42"/>
        <v>8.8649999999999949</v>
      </c>
      <c r="AB83" s="217">
        <f t="shared" si="42"/>
        <v>29.868000000000009</v>
      </c>
      <c r="AC83" s="217">
        <f t="shared" si="42"/>
        <v>49.628000000000014</v>
      </c>
      <c r="AD83" s="217">
        <f t="shared" si="42"/>
        <v>57.128</v>
      </c>
      <c r="AE83" s="217">
        <f>AE98+AE20+AE51-AE67-AE99</f>
        <v>65.859999999999985</v>
      </c>
      <c r="AF83" s="217">
        <f t="shared" si="42"/>
        <v>39.167000000000002</v>
      </c>
      <c r="AG83" s="217">
        <f t="shared" si="42"/>
        <v>52.204000000000008</v>
      </c>
      <c r="AH83" s="77">
        <f t="shared" si="42"/>
        <v>45.924461021573464</v>
      </c>
      <c r="AI83" s="77">
        <f t="shared" si="42"/>
        <v>47.436588862204701</v>
      </c>
      <c r="AJ83" s="77">
        <f t="shared" si="42"/>
        <v>47.613942077336503</v>
      </c>
      <c r="AK83" s="77">
        <f t="shared" si="42"/>
        <v>47.706215701235102</v>
      </c>
      <c r="AL83" s="77">
        <f t="shared" si="42"/>
        <v>44.287251663846178</v>
      </c>
    </row>
    <row r="84" spans="1:38">
      <c r="A84" s="69" t="s">
        <v>30</v>
      </c>
      <c r="B84" s="108">
        <f t="shared" si="41"/>
        <v>37.461647661528062</v>
      </c>
      <c r="C84" s="108">
        <f t="shared" si="41"/>
        <v>95.434745852786904</v>
      </c>
      <c r="D84" s="108">
        <f t="shared" si="40"/>
        <v>71.145701210257585</v>
      </c>
      <c r="E84" s="108">
        <f t="shared" si="40"/>
        <v>69.546169853419798</v>
      </c>
      <c r="F84" s="108">
        <f t="shared" si="40"/>
        <v>53.973542717125312</v>
      </c>
      <c r="G84" s="108">
        <f t="shared" si="40"/>
        <v>90.505135670771494</v>
      </c>
      <c r="H84" s="108">
        <f t="shared" si="40"/>
        <v>86.912883005714662</v>
      </c>
      <c r="I84" s="108">
        <f t="shared" si="40"/>
        <v>74.275180879852513</v>
      </c>
      <c r="J84" s="108">
        <f t="shared" si="40"/>
        <v>75.762876808180053</v>
      </c>
      <c r="K84" s="108">
        <f t="shared" si="40"/>
        <v>82.6025431386972</v>
      </c>
      <c r="L84" s="108">
        <f t="shared" si="40"/>
        <v>61.774013996578262</v>
      </c>
      <c r="M84" s="108">
        <f t="shared" si="40"/>
        <v>72.411420736894513</v>
      </c>
      <c r="N84" s="108">
        <f t="shared" si="40"/>
        <v>76.310337381236323</v>
      </c>
      <c r="O84" s="108">
        <f t="shared" si="40"/>
        <v>109.07377186538292</v>
      </c>
      <c r="P84" s="108">
        <f t="shared" si="40"/>
        <v>96.84611681999931</v>
      </c>
      <c r="Q84" s="108">
        <f t="shared" si="40"/>
        <v>84.353188529439819</v>
      </c>
      <c r="R84" s="108">
        <f t="shared" si="40"/>
        <v>80.162675161266264</v>
      </c>
      <c r="S84" s="108">
        <f t="shared" si="40"/>
        <v>61.495657594077272</v>
      </c>
      <c r="T84" s="108">
        <f t="shared" si="42"/>
        <v>88.492867850370757</v>
      </c>
      <c r="U84" s="108">
        <f t="shared" si="42"/>
        <v>70.351333919674133</v>
      </c>
      <c r="V84" s="108">
        <f t="shared" si="42"/>
        <v>83.012581025927076</v>
      </c>
      <c r="W84" s="108">
        <f t="shared" si="42"/>
        <v>51.168000255949458</v>
      </c>
      <c r="X84" s="108">
        <f t="shared" si="42"/>
        <v>21.470000426891687</v>
      </c>
      <c r="Y84" s="108">
        <f t="shared" si="42"/>
        <v>55.638000226791895</v>
      </c>
      <c r="Z84" s="87">
        <f t="shared" si="42"/>
        <v>21.852000000000004</v>
      </c>
      <c r="AA84" s="217">
        <f t="shared" si="42"/>
        <v>37.54399999999999</v>
      </c>
      <c r="AB84" s="217">
        <f t="shared" si="42"/>
        <v>47.728999999999992</v>
      </c>
      <c r="AC84" s="217">
        <f t="shared" si="42"/>
        <v>47.016999999999996</v>
      </c>
      <c r="AD84" s="217">
        <f t="shared" si="42"/>
        <v>20.299999999999997</v>
      </c>
      <c r="AE84" s="217">
        <f t="shared" si="42"/>
        <v>79.453999999999994</v>
      </c>
      <c r="AF84" s="217">
        <f t="shared" si="42"/>
        <v>59.830000000000005</v>
      </c>
      <c r="AG84" s="77">
        <f t="shared" si="42"/>
        <v>45.487398156071627</v>
      </c>
      <c r="AH84" s="77">
        <f t="shared" si="42"/>
        <v>54.32080587294471</v>
      </c>
      <c r="AI84" s="77">
        <f t="shared" si="42"/>
        <v>52.142541072805791</v>
      </c>
      <c r="AJ84" s="77">
        <f t="shared" si="42"/>
        <v>53.804464415683846</v>
      </c>
      <c r="AK84" s="77">
        <f t="shared" si="42"/>
        <v>57.962785782185982</v>
      </c>
      <c r="AL84" s="77">
        <f t="shared" si="42"/>
        <v>56.449973711318805</v>
      </c>
    </row>
    <row r="85" spans="1:38">
      <c r="A85" s="69" t="s">
        <v>31</v>
      </c>
      <c r="B85" s="108">
        <f t="shared" si="41"/>
        <v>87.003741423910157</v>
      </c>
      <c r="C85" s="108">
        <f t="shared" si="41"/>
        <v>95.404047825047201</v>
      </c>
      <c r="D85" s="108">
        <f t="shared" si="40"/>
        <v>67.191602668517476</v>
      </c>
      <c r="E85" s="108">
        <f t="shared" si="40"/>
        <v>67.115848632005736</v>
      </c>
      <c r="F85" s="108">
        <f t="shared" si="40"/>
        <v>54.940290022489222</v>
      </c>
      <c r="G85" s="108">
        <f t="shared" si="40"/>
        <v>71.120482568721684</v>
      </c>
      <c r="H85" s="108">
        <f t="shared" si="40"/>
        <v>72.152767510753108</v>
      </c>
      <c r="I85" s="108">
        <f t="shared" si="40"/>
        <v>63.742076110920692</v>
      </c>
      <c r="J85" s="108">
        <f t="shared" si="40"/>
        <v>94.80139281483865</v>
      </c>
      <c r="K85" s="108">
        <f t="shared" si="40"/>
        <v>84.40356015034412</v>
      </c>
      <c r="L85" s="108">
        <f t="shared" si="40"/>
        <v>94.042298735947071</v>
      </c>
      <c r="M85" s="108">
        <f t="shared" si="40"/>
        <v>53.686067816329128</v>
      </c>
      <c r="N85" s="108">
        <f t="shared" si="40"/>
        <v>91.964418823733411</v>
      </c>
      <c r="O85" s="108">
        <f t="shared" si="40"/>
        <v>83.882645339753211</v>
      </c>
      <c r="P85" s="108">
        <f t="shared" si="40"/>
        <v>76.098433665105503</v>
      </c>
      <c r="Q85" s="108">
        <f t="shared" si="40"/>
        <v>101.08342503444537</v>
      </c>
      <c r="R85" s="108">
        <f t="shared" si="40"/>
        <v>67.525572721844952</v>
      </c>
      <c r="S85" s="108">
        <f t="shared" si="40"/>
        <v>65.646973649122003</v>
      </c>
      <c r="T85" s="108">
        <f t="shared" si="42"/>
        <v>43.030066937469329</v>
      </c>
      <c r="U85" s="108">
        <f t="shared" si="42"/>
        <v>63.43516081582203</v>
      </c>
      <c r="V85" s="108">
        <f t="shared" si="42"/>
        <v>64.458711712207062</v>
      </c>
      <c r="W85" s="108">
        <f t="shared" si="42"/>
        <v>5.3660004897809443</v>
      </c>
      <c r="X85" s="108">
        <f t="shared" si="42"/>
        <v>48.248000229646657</v>
      </c>
      <c r="Y85" s="87">
        <f t="shared" si="42"/>
        <v>11.808000000000007</v>
      </c>
      <c r="Z85" s="87">
        <f t="shared" si="42"/>
        <v>45.792999999999999</v>
      </c>
      <c r="AA85" s="217">
        <f t="shared" si="42"/>
        <v>23.217999999999996</v>
      </c>
      <c r="AB85" s="217">
        <f t="shared" si="42"/>
        <v>32.375999999999998</v>
      </c>
      <c r="AC85" s="217">
        <f t="shared" si="42"/>
        <v>22.612000000000009</v>
      </c>
      <c r="AD85" s="217">
        <f t="shared" si="42"/>
        <v>21.341000000000001</v>
      </c>
      <c r="AE85" s="217">
        <f t="shared" si="42"/>
        <v>29.566000000000003</v>
      </c>
      <c r="AF85" s="217">
        <f t="shared" si="42"/>
        <v>56.601999999999997</v>
      </c>
      <c r="AG85" s="77">
        <f t="shared" si="42"/>
        <v>27.707036877126797</v>
      </c>
      <c r="AH85" s="77">
        <f t="shared" si="42"/>
        <v>32.75597670618501</v>
      </c>
      <c r="AI85" s="77">
        <f t="shared" si="42"/>
        <v>31.237961004054469</v>
      </c>
      <c r="AJ85" s="77">
        <f t="shared" si="42"/>
        <v>35.046896657110693</v>
      </c>
      <c r="AK85" s="77">
        <f t="shared" si="42"/>
        <v>32.657393353016744</v>
      </c>
      <c r="AL85" s="77">
        <f t="shared" si="42"/>
        <v>34.867113374227742</v>
      </c>
    </row>
    <row r="86" spans="1:38">
      <c r="A86" s="69" t="s">
        <v>32</v>
      </c>
      <c r="B86" s="108">
        <f t="shared" si="41"/>
        <v>87.829565790672874</v>
      </c>
      <c r="C86" s="108">
        <f t="shared" si="41"/>
        <v>85.905054156554755</v>
      </c>
      <c r="D86" s="108">
        <f t="shared" si="40"/>
        <v>73.839345453444452</v>
      </c>
      <c r="E86" s="108">
        <f t="shared" si="40"/>
        <v>46.280508264884361</v>
      </c>
      <c r="F86" s="108">
        <f t="shared" si="40"/>
        <v>81.256625870471296</v>
      </c>
      <c r="G86" s="108">
        <f t="shared" si="40"/>
        <v>83.521664386017704</v>
      </c>
      <c r="H86" s="108">
        <f t="shared" si="40"/>
        <v>69.445493333044283</v>
      </c>
      <c r="I86" s="108">
        <f t="shared" si="40"/>
        <v>67.345951529655522</v>
      </c>
      <c r="J86" s="108">
        <f t="shared" si="40"/>
        <v>68.569341307718787</v>
      </c>
      <c r="K86" s="108">
        <f t="shared" si="40"/>
        <v>68.349656124619287</v>
      </c>
      <c r="L86" s="108">
        <f t="shared" si="40"/>
        <v>39.717009656108573</v>
      </c>
      <c r="M86" s="108">
        <f t="shared" si="40"/>
        <v>66.138932424195673</v>
      </c>
      <c r="N86" s="108">
        <f t="shared" si="40"/>
        <v>52.012476422819461</v>
      </c>
      <c r="O86" s="108">
        <f t="shared" si="40"/>
        <v>39.094329043543752</v>
      </c>
      <c r="P86" s="108">
        <f t="shared" si="40"/>
        <v>51.291147583989087</v>
      </c>
      <c r="Q86" s="108">
        <f t="shared" si="40"/>
        <v>112.5990357033629</v>
      </c>
      <c r="R86" s="108">
        <f t="shared" si="40"/>
        <v>44.870661298772205</v>
      </c>
      <c r="S86" s="108">
        <f t="shared" si="40"/>
        <v>74.584834017776686</v>
      </c>
      <c r="T86" s="108">
        <f t="shared" si="42"/>
        <v>55.577933056334146</v>
      </c>
      <c r="U86" s="108">
        <f t="shared" si="42"/>
        <v>80.8077325016136</v>
      </c>
      <c r="V86" s="108">
        <f t="shared" si="42"/>
        <v>90.000692103474535</v>
      </c>
      <c r="W86" s="108">
        <f t="shared" si="42"/>
        <v>43.328000322783481</v>
      </c>
      <c r="X86" s="108">
        <f t="shared" si="42"/>
        <v>15.280000497410938</v>
      </c>
      <c r="Y86" s="87">
        <f t="shared" si="42"/>
        <v>27.773000000000003</v>
      </c>
      <c r="Z86" s="87">
        <f t="shared" si="42"/>
        <v>47.263999999999996</v>
      </c>
      <c r="AA86" s="217">
        <f t="shared" si="42"/>
        <v>30.760000000000005</v>
      </c>
      <c r="AB86" s="217">
        <f t="shared" si="42"/>
        <v>13.070000000000007</v>
      </c>
      <c r="AC86" s="217">
        <f t="shared" si="42"/>
        <v>78.923999999999992</v>
      </c>
      <c r="AD86" s="217">
        <f t="shared" si="42"/>
        <v>60.368999999999993</v>
      </c>
      <c r="AE86" s="217">
        <f t="shared" si="42"/>
        <v>80.388000000000005</v>
      </c>
      <c r="AF86" s="217">
        <f t="shared" si="42"/>
        <v>87.144999999999996</v>
      </c>
      <c r="AG86" s="77">
        <f t="shared" si="42"/>
        <v>55.118933652391235</v>
      </c>
      <c r="AH86" s="77">
        <f t="shared" si="42"/>
        <v>64.492768234259671</v>
      </c>
      <c r="AI86" s="77">
        <f t="shared" si="42"/>
        <v>70.397865545519196</v>
      </c>
      <c r="AJ86" s="77">
        <f t="shared" si="42"/>
        <v>67.883540603759258</v>
      </c>
      <c r="AK86" s="77">
        <f t="shared" si="42"/>
        <v>69.031107877875655</v>
      </c>
      <c r="AL86" s="77">
        <f t="shared" si="42"/>
        <v>67.586109127167475</v>
      </c>
    </row>
    <row r="87" spans="1:38">
      <c r="A87" s="69" t="s">
        <v>33</v>
      </c>
      <c r="B87" s="108">
        <f t="shared" si="41"/>
        <v>79.330272840912187</v>
      </c>
      <c r="C87" s="108">
        <f t="shared" si="41"/>
        <v>87.272733365988842</v>
      </c>
      <c r="D87" s="108">
        <f t="shared" si="40"/>
        <v>49.762238986088605</v>
      </c>
      <c r="E87" s="108">
        <f t="shared" si="40"/>
        <v>85.278853453230226</v>
      </c>
      <c r="F87" s="108">
        <f t="shared" si="40"/>
        <v>73.076771988336048</v>
      </c>
      <c r="G87" s="108">
        <f t="shared" si="40"/>
        <v>88.822771886174266</v>
      </c>
      <c r="H87" s="108">
        <f t="shared" si="40"/>
        <v>103.27566053342358</v>
      </c>
      <c r="I87" s="108">
        <f t="shared" si="40"/>
        <v>76.121504346844603</v>
      </c>
      <c r="J87" s="108">
        <f t="shared" si="40"/>
        <v>65.509007702468168</v>
      </c>
      <c r="K87" s="108">
        <f t="shared" si="40"/>
        <v>95.815889825148005</v>
      </c>
      <c r="L87" s="108">
        <f t="shared" si="40"/>
        <v>93.094442109610952</v>
      </c>
      <c r="M87" s="108">
        <f t="shared" si="40"/>
        <v>92.717457349089898</v>
      </c>
      <c r="N87" s="108">
        <f t="shared" si="40"/>
        <v>105.70795637165662</v>
      </c>
      <c r="O87" s="108">
        <f t="shared" si="40"/>
        <v>51.104864687077807</v>
      </c>
      <c r="P87" s="108">
        <f t="shared" si="40"/>
        <v>64.739984716027806</v>
      </c>
      <c r="Q87" s="108">
        <f t="shared" si="40"/>
        <v>118.88554947682609</v>
      </c>
      <c r="R87" s="108">
        <f t="shared" si="40"/>
        <v>84.657330958972835</v>
      </c>
      <c r="S87" s="108">
        <f t="shared" si="40"/>
        <v>58.78719292058652</v>
      </c>
      <c r="T87" s="108">
        <f t="shared" si="42"/>
        <v>42.386681527545889</v>
      </c>
      <c r="U87" s="108">
        <f t="shared" si="42"/>
        <v>36.670156416477695</v>
      </c>
      <c r="V87" s="108">
        <f t="shared" si="42"/>
        <v>70.276069506098892</v>
      </c>
      <c r="W87" s="108">
        <f t="shared" si="42"/>
        <v>7.7710005293324542</v>
      </c>
      <c r="X87" s="108">
        <f t="shared" si="42"/>
        <v>20.005000421149717</v>
      </c>
      <c r="Y87" s="87">
        <f t="shared" si="42"/>
        <v>23.596999999999994</v>
      </c>
      <c r="Z87" s="217">
        <f t="shared" si="42"/>
        <v>22.765000000000015</v>
      </c>
      <c r="AA87" s="217">
        <f t="shared" si="42"/>
        <v>34.396000000000001</v>
      </c>
      <c r="AB87" s="217">
        <f t="shared" si="42"/>
        <v>26.234000000000009</v>
      </c>
      <c r="AC87" s="217">
        <f t="shared" si="42"/>
        <v>77.323999999999998</v>
      </c>
      <c r="AD87" s="217">
        <f t="shared" si="42"/>
        <v>52.623000000000005</v>
      </c>
      <c r="AE87" s="217">
        <f t="shared" si="42"/>
        <v>20.899000000000015</v>
      </c>
      <c r="AF87" s="217">
        <f t="shared" si="42"/>
        <v>36.936999999999998</v>
      </c>
      <c r="AG87" s="77">
        <f t="shared" si="42"/>
        <v>42.947912133323413</v>
      </c>
      <c r="AH87" s="77">
        <f t="shared" si="42"/>
        <v>44.389105322570018</v>
      </c>
      <c r="AI87" s="77">
        <f t="shared" si="42"/>
        <v>42.083488131062239</v>
      </c>
      <c r="AJ87" s="77">
        <f t="shared" si="42"/>
        <v>36.793582380700386</v>
      </c>
      <c r="AK87" s="77">
        <f t="shared" si="42"/>
        <v>34.156795289522464</v>
      </c>
      <c r="AL87" s="77">
        <f t="shared" si="42"/>
        <v>39.408825834288976</v>
      </c>
    </row>
    <row r="88" spans="1:38">
      <c r="A88" s="69" t="s">
        <v>14</v>
      </c>
      <c r="B88" s="108">
        <f t="shared" si="41"/>
        <v>90.754054125093901</v>
      </c>
      <c r="C88" s="108">
        <f t="shared" si="41"/>
        <v>90.167206463571489</v>
      </c>
      <c r="D88" s="108">
        <f t="shared" si="40"/>
        <v>92.024546953824284</v>
      </c>
      <c r="E88" s="108">
        <f t="shared" si="40"/>
        <v>69.47783607692682</v>
      </c>
      <c r="F88" s="108">
        <f t="shared" si="40"/>
        <v>86.673887490843327</v>
      </c>
      <c r="G88" s="108">
        <f t="shared" si="40"/>
        <v>96.324480618896303</v>
      </c>
      <c r="H88" s="108">
        <f t="shared" si="40"/>
        <v>77.541814821356652</v>
      </c>
      <c r="I88" s="108">
        <f t="shared" si="40"/>
        <v>77.294125306690859</v>
      </c>
      <c r="J88" s="108">
        <f t="shared" si="40"/>
        <v>74.001748689125577</v>
      </c>
      <c r="K88" s="108">
        <f t="shared" si="40"/>
        <v>77.442236716538702</v>
      </c>
      <c r="L88" s="108">
        <f t="shared" si="40"/>
        <v>86.072210973718327</v>
      </c>
      <c r="M88" s="108">
        <f t="shared" si="40"/>
        <v>83.386121390907263</v>
      </c>
      <c r="N88" s="108">
        <f t="shared" si="40"/>
        <v>88.157382104490651</v>
      </c>
      <c r="O88" s="108">
        <f t="shared" si="40"/>
        <v>62.2565839096399</v>
      </c>
      <c r="P88" s="108">
        <f t="shared" si="40"/>
        <v>45.945097774530254</v>
      </c>
      <c r="Q88" s="108">
        <f t="shared" si="40"/>
        <v>88.07516794690261</v>
      </c>
      <c r="R88" s="108">
        <f t="shared" si="40"/>
        <v>75.097106614390796</v>
      </c>
      <c r="S88" s="108">
        <f t="shared" si="40"/>
        <v>48.307965558098076</v>
      </c>
      <c r="T88" s="108">
        <f t="shared" si="42"/>
        <v>82.123447498054531</v>
      </c>
      <c r="U88" s="108">
        <f t="shared" si="42"/>
        <v>92.291855771153706</v>
      </c>
      <c r="V88" s="108">
        <f t="shared" si="42"/>
        <v>61.500815890787067</v>
      </c>
      <c r="W88" s="108">
        <f t="shared" si="42"/>
        <v>42.897000351928064</v>
      </c>
      <c r="X88" s="108">
        <f t="shared" si="42"/>
        <v>35.41700034231269</v>
      </c>
      <c r="Y88" s="87">
        <f t="shared" si="42"/>
        <v>10.899000000000001</v>
      </c>
      <c r="Z88" s="217">
        <f t="shared" si="42"/>
        <v>33.573999999999991</v>
      </c>
      <c r="AA88" s="217">
        <f t="shared" si="42"/>
        <v>35.518999999999998</v>
      </c>
      <c r="AB88" s="217">
        <f t="shared" si="42"/>
        <v>25.27300000000001</v>
      </c>
      <c r="AC88" s="217">
        <f t="shared" si="42"/>
        <v>29.232000000000014</v>
      </c>
      <c r="AD88" s="217">
        <f t="shared" si="42"/>
        <v>47.962000000000003</v>
      </c>
      <c r="AE88" s="217">
        <f t="shared" si="42"/>
        <v>77.245000000000005</v>
      </c>
      <c r="AF88" s="217">
        <f t="shared" si="42"/>
        <v>50.731999999999999</v>
      </c>
      <c r="AG88" s="77">
        <f t="shared" si="42"/>
        <v>45.760791496583749</v>
      </c>
      <c r="AH88" s="77">
        <f t="shared" si="42"/>
        <v>45.79884214302561</v>
      </c>
      <c r="AI88" s="77">
        <f t="shared" si="42"/>
        <v>46.872368560784295</v>
      </c>
      <c r="AJ88" s="77">
        <f t="shared" si="42"/>
        <v>50.831554996774969</v>
      </c>
      <c r="AK88" s="77">
        <f t="shared" si="42"/>
        <v>50.807360193099115</v>
      </c>
      <c r="AL88" s="77">
        <f t="shared" si="42"/>
        <v>46.194152745774275</v>
      </c>
    </row>
    <row r="89" spans="1:38">
      <c r="A89" s="69" t="s">
        <v>34</v>
      </c>
      <c r="B89" s="108">
        <f t="shared" si="41"/>
        <v>81.447095109339784</v>
      </c>
      <c r="C89" s="108">
        <f t="shared" si="41"/>
        <v>81.062431434220855</v>
      </c>
      <c r="D89" s="108">
        <f t="shared" si="40"/>
        <v>51.185367107336106</v>
      </c>
      <c r="E89" s="108">
        <f t="shared" si="40"/>
        <v>74.386403700748417</v>
      </c>
      <c r="F89" s="108">
        <f t="shared" si="40"/>
        <v>88.278750382793774</v>
      </c>
      <c r="G89" s="108">
        <f t="shared" si="40"/>
        <v>78.516249552984476</v>
      </c>
      <c r="H89" s="108">
        <f t="shared" si="40"/>
        <v>92.007320104230445</v>
      </c>
      <c r="I89" s="108">
        <f t="shared" si="40"/>
        <v>82.723108248134906</v>
      </c>
      <c r="J89" s="108">
        <f t="shared" si="40"/>
        <v>102.56758362936307</v>
      </c>
      <c r="K89" s="108">
        <f t="shared" si="40"/>
        <v>82.322879159237047</v>
      </c>
      <c r="L89" s="108">
        <f t="shared" si="40"/>
        <v>81.171909033450845</v>
      </c>
      <c r="M89" s="108">
        <f t="shared" si="40"/>
        <v>80.746574803784171</v>
      </c>
      <c r="N89" s="108">
        <f t="shared" si="40"/>
        <v>73.01675317909428</v>
      </c>
      <c r="O89" s="108">
        <f t="shared" si="40"/>
        <v>71.661252960143898</v>
      </c>
      <c r="P89" s="108">
        <f t="shared" si="40"/>
        <v>57.47699379215284</v>
      </c>
      <c r="Q89" s="108">
        <f t="shared" si="40"/>
        <v>57.139018510228667</v>
      </c>
      <c r="R89" s="108">
        <f t="shared" si="40"/>
        <v>68.410642656780325</v>
      </c>
      <c r="S89" s="108">
        <f t="shared" si="40"/>
        <v>77.460089569723607</v>
      </c>
      <c r="T89" s="108">
        <f t="shared" si="42"/>
        <v>60.710198314559122</v>
      </c>
      <c r="U89" s="108">
        <f t="shared" si="42"/>
        <v>40.99268556331576</v>
      </c>
      <c r="V89" s="108">
        <f t="shared" si="42"/>
        <v>74.03973638824246</v>
      </c>
      <c r="W89" s="108">
        <f t="shared" si="42"/>
        <v>13.633000509991405</v>
      </c>
      <c r="X89" s="108">
        <f t="shared" si="42"/>
        <v>-5.6219994183019963</v>
      </c>
      <c r="Y89" s="87">
        <f t="shared" si="42"/>
        <v>19.405000000000001</v>
      </c>
      <c r="Z89" s="217">
        <f t="shared" si="42"/>
        <v>38.999000000000009</v>
      </c>
      <c r="AA89" s="217">
        <f t="shared" si="42"/>
        <v>19.683999999999997</v>
      </c>
      <c r="AB89" s="217">
        <f t="shared" si="42"/>
        <v>49.298999999999999</v>
      </c>
      <c r="AC89" s="217">
        <f t="shared" si="42"/>
        <v>62.127999999999993</v>
      </c>
      <c r="AD89" s="217">
        <f t="shared" si="42"/>
        <v>64.293000000000006</v>
      </c>
      <c r="AE89" s="217">
        <f t="shared" si="42"/>
        <v>57.577000000000005</v>
      </c>
      <c r="AF89" s="217">
        <f t="shared" si="42"/>
        <v>36.53</v>
      </c>
      <c r="AG89" s="77">
        <f t="shared" si="42"/>
        <v>49.924934463205268</v>
      </c>
      <c r="AH89" s="77">
        <f t="shared" si="42"/>
        <v>54.388859380883623</v>
      </c>
      <c r="AI89" s="77">
        <f t="shared" si="42"/>
        <v>51.778367033773456</v>
      </c>
      <c r="AJ89" s="77">
        <f t="shared" si="42"/>
        <v>52.568302831468273</v>
      </c>
      <c r="AK89" s="77">
        <f t="shared" si="42"/>
        <v>47.48396348433478</v>
      </c>
      <c r="AL89" s="77">
        <f t="shared" si="42"/>
        <v>47.519288168631412</v>
      </c>
    </row>
    <row r="90" spans="1:38">
      <c r="A90" s="69" t="s">
        <v>35</v>
      </c>
      <c r="B90" s="108">
        <f t="shared" si="41"/>
        <v>92.176442115567014</v>
      </c>
      <c r="C90" s="108">
        <f t="shared" si="41"/>
        <v>97.914639213126293</v>
      </c>
      <c r="D90" s="108">
        <f t="shared" si="40"/>
        <v>56.142621549835667</v>
      </c>
      <c r="E90" s="108">
        <f t="shared" si="40"/>
        <v>79.527161732485951</v>
      </c>
      <c r="F90" s="108">
        <f t="shared" si="40"/>
        <v>85.963046100002401</v>
      </c>
      <c r="G90" s="108">
        <f t="shared" si="40"/>
        <v>91.878084591867292</v>
      </c>
      <c r="H90" s="108">
        <f t="shared" si="40"/>
        <v>104.27367770211043</v>
      </c>
      <c r="I90" s="108">
        <f t="shared" si="40"/>
        <v>73.038515120302435</v>
      </c>
      <c r="J90" s="108">
        <f t="shared" si="40"/>
        <v>41.982425417899151</v>
      </c>
      <c r="K90" s="108">
        <f t="shared" si="40"/>
        <v>85.612686486681056</v>
      </c>
      <c r="L90" s="108">
        <f t="shared" si="40"/>
        <v>55.960050778243115</v>
      </c>
      <c r="M90" s="108">
        <f t="shared" si="40"/>
        <v>70.09242971909643</v>
      </c>
      <c r="N90" s="108">
        <f t="shared" si="40"/>
        <v>74.560699401801642</v>
      </c>
      <c r="O90" s="108">
        <f t="shared" si="40"/>
        <v>71.15615418046977</v>
      </c>
      <c r="P90" s="108">
        <f t="shared" si="40"/>
        <v>46.461351235548406</v>
      </c>
      <c r="Q90" s="108">
        <f t="shared" si="40"/>
        <v>85.65433283703338</v>
      </c>
      <c r="R90" s="108">
        <f t="shared" si="40"/>
        <v>59.348740888746903</v>
      </c>
      <c r="S90" s="108">
        <f t="shared" si="40"/>
        <v>64.058171656590972</v>
      </c>
      <c r="T90" s="108">
        <f t="shared" si="42"/>
        <v>55.38495353565726</v>
      </c>
      <c r="U90" s="108">
        <f t="shared" si="42"/>
        <v>66.548323437216226</v>
      </c>
      <c r="V90" s="108">
        <f t="shared" si="42"/>
        <v>54.058352880295402</v>
      </c>
      <c r="W90" s="108">
        <f t="shared" si="42"/>
        <v>13.60400054192587</v>
      </c>
      <c r="X90" s="108">
        <f t="shared" si="42"/>
        <v>6.2010005380200255</v>
      </c>
      <c r="Y90" s="87">
        <f t="shared" si="42"/>
        <v>18.513000000000005</v>
      </c>
      <c r="Z90" s="217">
        <f t="shared" si="42"/>
        <v>3.4000000000000057</v>
      </c>
      <c r="AA90" s="217">
        <f t="shared" si="42"/>
        <v>43.292000000000002</v>
      </c>
      <c r="AB90" s="217">
        <f t="shared" si="42"/>
        <v>14.411000000000016</v>
      </c>
      <c r="AC90" s="217">
        <f t="shared" si="42"/>
        <v>54.877000000000002</v>
      </c>
      <c r="AD90" s="217">
        <f t="shared" si="42"/>
        <v>35.625</v>
      </c>
      <c r="AE90" s="217">
        <f t="shared" si="42"/>
        <v>37.662000000000006</v>
      </c>
      <c r="AF90" s="217">
        <f t="shared" si="42"/>
        <v>46.190000000000012</v>
      </c>
      <c r="AG90" s="77">
        <f t="shared" si="42"/>
        <v>36.451165053626823</v>
      </c>
      <c r="AH90" s="77">
        <f t="shared" si="42"/>
        <v>35.485810108108836</v>
      </c>
      <c r="AI90" s="77">
        <f t="shared" si="42"/>
        <v>38.23240423366822</v>
      </c>
      <c r="AJ90" s="77">
        <f t="shared" si="42"/>
        <v>34.263272913424572</v>
      </c>
      <c r="AK90" s="77">
        <f t="shared" si="42"/>
        <v>34.570374640093121</v>
      </c>
      <c r="AL90" s="77">
        <f t="shared" si="42"/>
        <v>36.190369944882278</v>
      </c>
    </row>
    <row r="91" spans="1:38">
      <c r="A91" s="69" t="s">
        <v>36</v>
      </c>
      <c r="B91" s="108">
        <f t="shared" si="41"/>
        <v>79.795266568018178</v>
      </c>
      <c r="C91" s="108">
        <f t="shared" si="41"/>
        <v>82.376930532542701</v>
      </c>
      <c r="D91" s="108">
        <f t="shared" si="40"/>
        <v>56.996621544294825</v>
      </c>
      <c r="E91" s="108">
        <f t="shared" si="40"/>
        <v>50.572157436771207</v>
      </c>
      <c r="F91" s="108">
        <f t="shared" si="40"/>
        <v>61.111408270456096</v>
      </c>
      <c r="G91" s="108">
        <f t="shared" si="40"/>
        <v>93.892827406853613</v>
      </c>
      <c r="H91" s="108">
        <f t="shared" si="40"/>
        <v>61.79725847678516</v>
      </c>
      <c r="I91" s="108">
        <f t="shared" si="40"/>
        <v>88.962564300682857</v>
      </c>
      <c r="J91" s="108">
        <f t="shared" si="40"/>
        <v>83.669337637150264</v>
      </c>
      <c r="K91" s="108">
        <f t="shared" si="40"/>
        <v>52.338312153601237</v>
      </c>
      <c r="L91" s="108">
        <f t="shared" si="40"/>
        <v>51.784688796119838</v>
      </c>
      <c r="M91" s="108">
        <f t="shared" si="40"/>
        <v>97.013699256124085</v>
      </c>
      <c r="N91" s="108">
        <f t="shared" si="40"/>
        <v>74.699654600780804</v>
      </c>
      <c r="O91" s="108">
        <f t="shared" si="40"/>
        <v>70.572672728672345</v>
      </c>
      <c r="P91" s="108">
        <f t="shared" si="40"/>
        <v>46.993632152735813</v>
      </c>
      <c r="Q91" s="108">
        <f t="shared" si="40"/>
        <v>70.297069494854171</v>
      </c>
      <c r="R91" s="108">
        <f t="shared" si="40"/>
        <v>65.07716844107911</v>
      </c>
      <c r="S91" s="108">
        <f t="shared" si="40"/>
        <v>32.23290524331658</v>
      </c>
      <c r="T91" s="108">
        <f t="shared" si="42"/>
        <v>52.983555387192155</v>
      </c>
      <c r="U91" s="108">
        <f t="shared" si="42"/>
        <v>45.630322902917072</v>
      </c>
      <c r="V91" s="108">
        <f t="shared" si="42"/>
        <v>78.744720724981505</v>
      </c>
      <c r="W91" s="108">
        <f t="shared" si="42"/>
        <v>49.692000300918551</v>
      </c>
      <c r="X91" s="108">
        <f t="shared" si="42"/>
        <v>49.39900024910451</v>
      </c>
      <c r="Y91" s="87">
        <f t="shared" si="42"/>
        <v>16.280999999999992</v>
      </c>
      <c r="Z91" s="217">
        <f t="shared" si="42"/>
        <v>26.524000000000001</v>
      </c>
      <c r="AA91" s="217">
        <f t="shared" si="42"/>
        <v>15.558999999999997</v>
      </c>
      <c r="AB91" s="217">
        <f t="shared" si="42"/>
        <v>24.762000000000008</v>
      </c>
      <c r="AC91" s="217">
        <f t="shared" si="42"/>
        <v>49.480000000000004</v>
      </c>
      <c r="AD91" s="217">
        <f t="shared" si="42"/>
        <v>66.195999999999998</v>
      </c>
      <c r="AE91" s="217">
        <f t="shared" si="42"/>
        <v>86.073000000000008</v>
      </c>
      <c r="AF91" s="217">
        <f t="shared" si="42"/>
        <v>39.920999999999992</v>
      </c>
      <c r="AG91" s="77">
        <f t="shared" si="42"/>
        <v>35.000205089628047</v>
      </c>
      <c r="AH91" s="77">
        <f t="shared" si="42"/>
        <v>48.381892968309614</v>
      </c>
      <c r="AI91" s="77">
        <f t="shared" si="42"/>
        <v>48.357527286682398</v>
      </c>
      <c r="AJ91" s="77">
        <f t="shared" si="42"/>
        <v>48.657664164810207</v>
      </c>
      <c r="AK91" s="77">
        <f t="shared" si="42"/>
        <v>45.487044676470575</v>
      </c>
      <c r="AL91" s="77">
        <f t="shared" si="42"/>
        <v>41.584280267979473</v>
      </c>
    </row>
    <row r="92" spans="1:38">
      <c r="A92" s="69" t="s">
        <v>37</v>
      </c>
      <c r="B92" s="108">
        <f t="shared" si="41"/>
        <v>103.01098595224109</v>
      </c>
      <c r="C92" s="108">
        <f t="shared" si="41"/>
        <v>75.792673403320322</v>
      </c>
      <c r="D92" s="108">
        <f t="shared" si="40"/>
        <v>58.116450392728069</v>
      </c>
      <c r="E92" s="108">
        <f t="shared" si="40"/>
        <v>76.882936838065405</v>
      </c>
      <c r="F92" s="108">
        <f t="shared" si="40"/>
        <v>97.366408035229682</v>
      </c>
      <c r="G92" s="108">
        <f t="shared" si="40"/>
        <v>98.64828168273084</v>
      </c>
      <c r="H92" s="108">
        <f t="shared" si="40"/>
        <v>62.867868683838225</v>
      </c>
      <c r="I92" s="108">
        <f t="shared" si="40"/>
        <v>62.661838666598783</v>
      </c>
      <c r="J92" s="108">
        <f t="shared" si="40"/>
        <v>90.522055037579094</v>
      </c>
      <c r="K92" s="108">
        <f t="shared" si="40"/>
        <v>64.693082678287539</v>
      </c>
      <c r="L92" s="108">
        <f t="shared" si="40"/>
        <v>75.227067676568751</v>
      </c>
      <c r="M92" s="108">
        <f t="shared" si="40"/>
        <v>85.642579255596388</v>
      </c>
      <c r="N92" s="108">
        <f t="shared" si="40"/>
        <v>48.053143127061659</v>
      </c>
      <c r="O92" s="108">
        <f t="shared" si="40"/>
        <v>55.885096009962069</v>
      </c>
      <c r="P92" s="108">
        <f t="shared" si="40"/>
        <v>6.6428272644253923</v>
      </c>
      <c r="Q92" s="108">
        <f t="shared" si="40"/>
        <v>76.757221787610078</v>
      </c>
      <c r="R92" s="108">
        <f t="shared" si="40"/>
        <v>71.244853014868539</v>
      </c>
      <c r="S92" s="108">
        <f t="shared" si="40"/>
        <v>62.729112964512751</v>
      </c>
      <c r="T92" s="108">
        <f t="shared" ref="T92:AL92" si="43">T107+T17+T60-T76-T108</f>
        <v>18.323683980969264</v>
      </c>
      <c r="U92" s="108">
        <f t="shared" si="43"/>
        <v>67.941577841101704</v>
      </c>
      <c r="V92" s="108">
        <f t="shared" si="43"/>
        <v>37.043538874511341</v>
      </c>
      <c r="W92" s="108">
        <f t="shared" si="43"/>
        <v>14.069560511284962</v>
      </c>
      <c r="X92" s="108">
        <f t="shared" si="43"/>
        <v>4.8730005297477135</v>
      </c>
      <c r="Y92" s="87">
        <f t="shared" si="43"/>
        <v>18.816999999999993</v>
      </c>
      <c r="Z92" s="87">
        <f t="shared" si="43"/>
        <v>-16.522999999999996</v>
      </c>
      <c r="AA92" s="217">
        <f t="shared" si="43"/>
        <v>3.6540000000000106</v>
      </c>
      <c r="AB92" s="217">
        <f t="shared" si="43"/>
        <v>41.859000000000002</v>
      </c>
      <c r="AC92" s="217">
        <f t="shared" si="43"/>
        <v>-14.739000000000004</v>
      </c>
      <c r="AD92" s="217">
        <f t="shared" si="43"/>
        <v>48.445999999999998</v>
      </c>
      <c r="AE92" s="217">
        <f t="shared" si="43"/>
        <v>61.016000000000005</v>
      </c>
      <c r="AF92" s="217">
        <f t="shared" si="43"/>
        <v>50.489000000000004</v>
      </c>
      <c r="AG92" s="77">
        <f t="shared" si="43"/>
        <v>25.361121184233212</v>
      </c>
      <c r="AH92" s="77">
        <f t="shared" si="43"/>
        <v>43.132729223306711</v>
      </c>
      <c r="AI92" s="77">
        <f t="shared" si="43"/>
        <v>34.378260773812428</v>
      </c>
      <c r="AJ92" s="77">
        <f t="shared" si="43"/>
        <v>41.81430235527074</v>
      </c>
      <c r="AK92" s="77">
        <f t="shared" si="43"/>
        <v>40.634420774421727</v>
      </c>
      <c r="AL92" s="77">
        <f t="shared" si="43"/>
        <v>38.07724936727449</v>
      </c>
    </row>
    <row r="93" spans="1:38" ht="12" thickBot="1">
      <c r="A93" s="69" t="s">
        <v>138</v>
      </c>
      <c r="B93" s="108">
        <f>SUM(B81:B92)</f>
        <v>921.80189403945087</v>
      </c>
      <c r="C93" s="108">
        <f t="shared" ref="C93:AL93" si="44">SUM(C81:C92)</f>
        <v>1013.9156249447508</v>
      </c>
      <c r="D93" s="108">
        <f t="shared" si="44"/>
        <v>797.76182614358811</v>
      </c>
      <c r="E93" s="108">
        <f t="shared" si="44"/>
        <v>809.84720555321246</v>
      </c>
      <c r="F93" s="108">
        <f t="shared" si="44"/>
        <v>885.77443179412467</v>
      </c>
      <c r="G93" s="108">
        <f t="shared" si="44"/>
        <v>1023.6767909704834</v>
      </c>
      <c r="H93" s="108">
        <f t="shared" si="44"/>
        <v>1006.072472848459</v>
      </c>
      <c r="I93" s="108">
        <f t="shared" si="44"/>
        <v>914.12222733021554</v>
      </c>
      <c r="J93" s="108">
        <f t="shared" si="44"/>
        <v>936.27598004450363</v>
      </c>
      <c r="K93" s="108">
        <f t="shared" si="44"/>
        <v>973.13009630709689</v>
      </c>
      <c r="L93" s="108">
        <f t="shared" si="44"/>
        <v>842.6428498242459</v>
      </c>
      <c r="M93" s="108">
        <f t="shared" si="44"/>
        <v>885.81056489910009</v>
      </c>
      <c r="N93" s="108">
        <f t="shared" si="44"/>
        <v>890.97393853924802</v>
      </c>
      <c r="O93" s="108">
        <f t="shared" si="44"/>
        <v>802.18872547451042</v>
      </c>
      <c r="P93" s="108">
        <f t="shared" si="44"/>
        <v>667.31312430741991</v>
      </c>
      <c r="Q93" s="108">
        <f t="shared" si="44"/>
        <v>1038.3015881880535</v>
      </c>
      <c r="R93" s="108">
        <f t="shared" si="44"/>
        <v>843.53843676295094</v>
      </c>
      <c r="S93" s="108">
        <f t="shared" si="44"/>
        <v>752.38028045064755</v>
      </c>
      <c r="T93" s="108">
        <f t="shared" si="44"/>
        <v>725.91745291138034</v>
      </c>
      <c r="U93" s="108">
        <f t="shared" si="44"/>
        <v>842.52855045453748</v>
      </c>
      <c r="V93" s="108">
        <f t="shared" si="44"/>
        <v>840.573495669262</v>
      </c>
      <c r="W93" s="108">
        <f t="shared" si="44"/>
        <v>447.8861702065546</v>
      </c>
      <c r="X93" s="108">
        <f t="shared" si="44"/>
        <v>303.20900477238774</v>
      </c>
      <c r="Y93" s="76">
        <f t="shared" si="44"/>
        <v>278.90900142947993</v>
      </c>
      <c r="Z93" s="79">
        <f t="shared" si="44"/>
        <v>321.13400000000001</v>
      </c>
      <c r="AA93" s="79">
        <f t="shared" si="44"/>
        <v>300.15700000000004</v>
      </c>
      <c r="AB93" s="79">
        <f t="shared" si="44"/>
        <v>316.60300000000001</v>
      </c>
      <c r="AC93" s="79">
        <f t="shared" si="44"/>
        <v>523.27499999999998</v>
      </c>
      <c r="AD93" s="79">
        <f t="shared" si="44"/>
        <v>585.54399999999998</v>
      </c>
      <c r="AE93" s="79">
        <f t="shared" si="44"/>
        <v>721.06700000000001</v>
      </c>
      <c r="AF93" s="79">
        <f t="shared" si="44"/>
        <v>602.30100000000004</v>
      </c>
      <c r="AG93" s="77">
        <f t="shared" si="44"/>
        <v>494.69749810619021</v>
      </c>
      <c r="AH93" s="77">
        <f t="shared" si="44"/>
        <v>547.83409393690738</v>
      </c>
      <c r="AI93" s="77">
        <f t="shared" si="44"/>
        <v>551.10150576695401</v>
      </c>
      <c r="AJ93" s="77">
        <f t="shared" si="44"/>
        <v>559.03053156171632</v>
      </c>
      <c r="AK93" s="77">
        <f t="shared" si="44"/>
        <v>543.09707877575067</v>
      </c>
      <c r="AL93" s="77">
        <f t="shared" si="44"/>
        <v>533.75334801782583</v>
      </c>
    </row>
    <row r="94" spans="1:38">
      <c r="A94" s="199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/>
    </row>
    <row r="95" spans="1:38" ht="12" thickBot="1">
      <c r="A95" s="69" t="s">
        <v>343</v>
      </c>
      <c r="Y95" s="76"/>
    </row>
    <row r="96" spans="1:38" ht="12" thickBot="1">
      <c r="A96" s="202"/>
      <c r="B96" s="203" t="str">
        <f>B$2</f>
        <v xml:space="preserve">93/94 </v>
      </c>
      <c r="C96" s="203" t="str">
        <f t="shared" ref="C96:AL96" si="45">C$2</f>
        <v xml:space="preserve">94/95 </v>
      </c>
      <c r="D96" s="203" t="str">
        <f t="shared" si="45"/>
        <v xml:space="preserve">95/96 </v>
      </c>
      <c r="E96" s="203" t="str">
        <f t="shared" si="45"/>
        <v xml:space="preserve">96/97 </v>
      </c>
      <c r="F96" s="203" t="str">
        <f t="shared" si="45"/>
        <v xml:space="preserve">97/98 </v>
      </c>
      <c r="G96" s="203" t="str">
        <f t="shared" si="45"/>
        <v xml:space="preserve">98/99 </v>
      </c>
      <c r="H96" s="203" t="str">
        <f t="shared" si="45"/>
        <v xml:space="preserve">99/00 </v>
      </c>
      <c r="I96" s="203" t="str">
        <f t="shared" si="45"/>
        <v xml:space="preserve">00/01 </v>
      </c>
      <c r="J96" s="203" t="str">
        <f t="shared" si="45"/>
        <v xml:space="preserve">01/02 </v>
      </c>
      <c r="K96" s="203" t="str">
        <f t="shared" si="45"/>
        <v xml:space="preserve">02/03 </v>
      </c>
      <c r="L96" s="203" t="str">
        <f t="shared" si="45"/>
        <v xml:space="preserve">03/04 </v>
      </c>
      <c r="M96" s="203" t="str">
        <f t="shared" si="45"/>
        <v xml:space="preserve">04/05 </v>
      </c>
      <c r="N96" s="203" t="str">
        <f t="shared" si="45"/>
        <v xml:space="preserve">05/06 </v>
      </c>
      <c r="O96" s="203" t="str">
        <f t="shared" si="45"/>
        <v xml:space="preserve">06/07 </v>
      </c>
      <c r="P96" s="203" t="str">
        <f t="shared" si="45"/>
        <v xml:space="preserve">07/08 </v>
      </c>
      <c r="Q96" s="203" t="str">
        <f t="shared" si="45"/>
        <v xml:space="preserve">08/09 </v>
      </c>
      <c r="R96" s="203" t="str">
        <f t="shared" si="45"/>
        <v xml:space="preserve">09/10 </v>
      </c>
      <c r="S96" s="203" t="str">
        <f t="shared" si="45"/>
        <v xml:space="preserve">10/11 </v>
      </c>
      <c r="T96" s="203" t="str">
        <f t="shared" si="45"/>
        <v xml:space="preserve">11/12 </v>
      </c>
      <c r="U96" s="203" t="str">
        <f t="shared" si="45"/>
        <v xml:space="preserve">12/13 </v>
      </c>
      <c r="V96" s="203" t="str">
        <f t="shared" si="45"/>
        <v xml:space="preserve">13/14 </v>
      </c>
      <c r="W96" s="203" t="str">
        <f t="shared" si="45"/>
        <v xml:space="preserve">14/15 </v>
      </c>
      <c r="X96" s="203" t="str">
        <f t="shared" si="45"/>
        <v xml:space="preserve">15/16 </v>
      </c>
      <c r="Y96" s="203" t="str">
        <f t="shared" si="45"/>
        <v xml:space="preserve">16/17 </v>
      </c>
      <c r="Z96" s="203" t="str">
        <f t="shared" si="45"/>
        <v xml:space="preserve">17/18 </v>
      </c>
      <c r="AA96" s="203" t="str">
        <f t="shared" si="45"/>
        <v xml:space="preserve">18/19 </v>
      </c>
      <c r="AB96" s="203" t="str">
        <f t="shared" si="45"/>
        <v xml:space="preserve">19/20 </v>
      </c>
      <c r="AC96" s="203" t="str">
        <f t="shared" si="45"/>
        <v xml:space="preserve">20/21 </v>
      </c>
      <c r="AD96" s="203" t="str">
        <f t="shared" si="45"/>
        <v>21/22</v>
      </c>
      <c r="AE96" s="203" t="str">
        <f t="shared" si="45"/>
        <v>22/23</v>
      </c>
      <c r="AF96" s="203" t="str">
        <f t="shared" si="45"/>
        <v>23/24</v>
      </c>
      <c r="AG96" s="203" t="str">
        <f t="shared" si="45"/>
        <v>24/25</v>
      </c>
      <c r="AH96" s="203" t="str">
        <f t="shared" si="45"/>
        <v>25/26</v>
      </c>
      <c r="AI96" s="203" t="str">
        <f t="shared" si="45"/>
        <v>26/27</v>
      </c>
      <c r="AJ96" s="203" t="str">
        <f t="shared" si="45"/>
        <v>27/28</v>
      </c>
      <c r="AK96" s="203" t="str">
        <f t="shared" si="45"/>
        <v>28/29</v>
      </c>
      <c r="AL96" s="203" t="str">
        <f t="shared" si="45"/>
        <v>29/30</v>
      </c>
    </row>
    <row r="97" spans="1:38">
      <c r="A97" s="69" t="s">
        <v>38</v>
      </c>
      <c r="B97" s="107">
        <f>(B$108-B$4)/13+B4</f>
        <v>0</v>
      </c>
      <c r="C97" s="107">
        <f>(C$108-B$108)/13+B108</f>
        <v>0</v>
      </c>
      <c r="D97" s="107">
        <f t="shared" ref="D97:AL97" si="46">(D$108-C$108)/13+C108</f>
        <v>0</v>
      </c>
      <c r="E97" s="107">
        <f t="shared" si="46"/>
        <v>0</v>
      </c>
      <c r="F97" s="107">
        <f t="shared" si="46"/>
        <v>0</v>
      </c>
      <c r="G97" s="107">
        <f t="shared" si="46"/>
        <v>0</v>
      </c>
      <c r="H97" s="107">
        <f t="shared" si="46"/>
        <v>0</v>
      </c>
      <c r="I97" s="107">
        <f t="shared" si="46"/>
        <v>0</v>
      </c>
      <c r="J97" s="107">
        <f t="shared" si="46"/>
        <v>0</v>
      </c>
      <c r="K97" s="107">
        <f t="shared" si="46"/>
        <v>0</v>
      </c>
      <c r="L97" s="107">
        <f t="shared" si="46"/>
        <v>0</v>
      </c>
      <c r="M97" s="107">
        <f t="shared" si="46"/>
        <v>0</v>
      </c>
      <c r="N97" s="107">
        <f t="shared" si="46"/>
        <v>0</v>
      </c>
      <c r="O97" s="107">
        <f t="shared" si="46"/>
        <v>0</v>
      </c>
      <c r="P97" s="107">
        <f t="shared" si="46"/>
        <v>0</v>
      </c>
      <c r="Q97" s="107">
        <f t="shared" si="46"/>
        <v>0</v>
      </c>
      <c r="R97" s="107">
        <f t="shared" si="46"/>
        <v>0</v>
      </c>
      <c r="S97" s="107">
        <f t="shared" si="46"/>
        <v>0</v>
      </c>
      <c r="T97" s="107">
        <f t="shared" si="46"/>
        <v>0</v>
      </c>
      <c r="U97" s="107">
        <f t="shared" si="46"/>
        <v>0</v>
      </c>
      <c r="V97" s="107">
        <f t="shared" si="46"/>
        <v>0</v>
      </c>
      <c r="W97" s="107">
        <f t="shared" si="46"/>
        <v>0</v>
      </c>
      <c r="X97" s="107">
        <f t="shared" si="46"/>
        <v>0</v>
      </c>
      <c r="Y97" s="107">
        <f t="shared" si="46"/>
        <v>0</v>
      </c>
      <c r="Z97" s="217">
        <f t="shared" si="46"/>
        <v>0</v>
      </c>
      <c r="AA97" s="217">
        <f t="shared" si="46"/>
        <v>0</v>
      </c>
      <c r="AB97" s="217">
        <f t="shared" si="46"/>
        <v>0</v>
      </c>
      <c r="AC97" s="217">
        <f t="shared" si="46"/>
        <v>0</v>
      </c>
      <c r="AD97" s="217">
        <f t="shared" si="46"/>
        <v>0</v>
      </c>
      <c r="AE97" s="217">
        <f t="shared" si="46"/>
        <v>0</v>
      </c>
      <c r="AF97" s="217">
        <f t="shared" si="46"/>
        <v>0</v>
      </c>
      <c r="AG97" s="217">
        <f t="shared" si="46"/>
        <v>0</v>
      </c>
      <c r="AH97" s="77">
        <f t="shared" si="46"/>
        <v>0</v>
      </c>
      <c r="AI97" s="77">
        <f t="shared" si="46"/>
        <v>0</v>
      </c>
      <c r="AJ97" s="77">
        <f t="shared" si="46"/>
        <v>0</v>
      </c>
      <c r="AK97" s="77">
        <f t="shared" si="46"/>
        <v>0</v>
      </c>
      <c r="AL97" s="77">
        <f t="shared" si="46"/>
        <v>0</v>
      </c>
    </row>
    <row r="98" spans="1:38">
      <c r="A98" s="69" t="s">
        <v>39</v>
      </c>
      <c r="B98" s="107">
        <f t="shared" ref="B98:B107" si="47">(B$108-B$4)/13+B97</f>
        <v>0</v>
      </c>
      <c r="C98" s="107">
        <f>(C$108-B$108)/13+C97</f>
        <v>0</v>
      </c>
      <c r="D98" s="107">
        <f t="shared" ref="D98:AL105" si="48">(D$108-C$108)/13+D97</f>
        <v>0</v>
      </c>
      <c r="E98" s="107">
        <f t="shared" si="48"/>
        <v>0</v>
      </c>
      <c r="F98" s="107">
        <f t="shared" si="48"/>
        <v>0</v>
      </c>
      <c r="G98" s="107">
        <f t="shared" si="48"/>
        <v>0</v>
      </c>
      <c r="H98" s="107">
        <f t="shared" si="48"/>
        <v>0</v>
      </c>
      <c r="I98" s="107">
        <f t="shared" si="48"/>
        <v>0</v>
      </c>
      <c r="J98" s="107">
        <f t="shared" si="48"/>
        <v>0</v>
      </c>
      <c r="K98" s="107">
        <f t="shared" si="48"/>
        <v>0</v>
      </c>
      <c r="L98" s="107">
        <f t="shared" si="48"/>
        <v>0</v>
      </c>
      <c r="M98" s="107">
        <f t="shared" si="48"/>
        <v>0</v>
      </c>
      <c r="N98" s="107">
        <f t="shared" si="48"/>
        <v>0</v>
      </c>
      <c r="O98" s="107">
        <f t="shared" si="48"/>
        <v>0</v>
      </c>
      <c r="P98" s="107">
        <f t="shared" si="48"/>
        <v>0</v>
      </c>
      <c r="Q98" s="107">
        <f t="shared" si="48"/>
        <v>0</v>
      </c>
      <c r="R98" s="107">
        <f t="shared" si="48"/>
        <v>0</v>
      </c>
      <c r="S98" s="107">
        <f t="shared" si="48"/>
        <v>0</v>
      </c>
      <c r="T98" s="107">
        <f t="shared" si="48"/>
        <v>0</v>
      </c>
      <c r="U98" s="107">
        <f t="shared" si="48"/>
        <v>0</v>
      </c>
      <c r="V98" s="107">
        <f t="shared" si="48"/>
        <v>0</v>
      </c>
      <c r="W98" s="107">
        <f t="shared" si="48"/>
        <v>0</v>
      </c>
      <c r="X98" s="107">
        <f t="shared" si="48"/>
        <v>0</v>
      </c>
      <c r="Y98" s="107">
        <f t="shared" si="48"/>
        <v>0</v>
      </c>
      <c r="Z98" s="217">
        <f t="shared" si="48"/>
        <v>0</v>
      </c>
      <c r="AA98" s="217">
        <f t="shared" si="48"/>
        <v>0</v>
      </c>
      <c r="AB98" s="217">
        <f t="shared" si="48"/>
        <v>0</v>
      </c>
      <c r="AC98" s="217">
        <f t="shared" si="48"/>
        <v>0</v>
      </c>
      <c r="AD98" s="217">
        <f t="shared" si="48"/>
        <v>0</v>
      </c>
      <c r="AE98" s="217">
        <f t="shared" si="48"/>
        <v>0</v>
      </c>
      <c r="AF98" s="217">
        <f t="shared" si="48"/>
        <v>0</v>
      </c>
      <c r="AG98" s="217">
        <f t="shared" si="48"/>
        <v>0</v>
      </c>
      <c r="AH98" s="77">
        <f t="shared" si="48"/>
        <v>0</v>
      </c>
      <c r="AI98" s="77">
        <f t="shared" si="48"/>
        <v>0</v>
      </c>
      <c r="AJ98" s="77">
        <f t="shared" si="48"/>
        <v>0</v>
      </c>
      <c r="AK98" s="77">
        <f t="shared" si="48"/>
        <v>0</v>
      </c>
      <c r="AL98" s="77">
        <f t="shared" si="48"/>
        <v>0</v>
      </c>
    </row>
    <row r="99" spans="1:38">
      <c r="A99" s="69" t="s">
        <v>40</v>
      </c>
      <c r="B99" s="107">
        <f t="shared" si="47"/>
        <v>0</v>
      </c>
      <c r="C99" s="107">
        <f t="shared" ref="C99:C107" si="49">(C$108-B$108)/13+C98</f>
        <v>0</v>
      </c>
      <c r="D99" s="107">
        <f t="shared" si="48"/>
        <v>0</v>
      </c>
      <c r="E99" s="107">
        <f t="shared" si="48"/>
        <v>0</v>
      </c>
      <c r="F99" s="107">
        <f t="shared" si="48"/>
        <v>0</v>
      </c>
      <c r="G99" s="107">
        <f t="shared" si="48"/>
        <v>0</v>
      </c>
      <c r="H99" s="107">
        <f t="shared" si="48"/>
        <v>0</v>
      </c>
      <c r="I99" s="107">
        <f t="shared" si="48"/>
        <v>0</v>
      </c>
      <c r="J99" s="107">
        <f t="shared" si="48"/>
        <v>0</v>
      </c>
      <c r="K99" s="107">
        <f t="shared" si="48"/>
        <v>0</v>
      </c>
      <c r="L99" s="107">
        <f t="shared" si="48"/>
        <v>0</v>
      </c>
      <c r="M99" s="107">
        <f t="shared" si="48"/>
        <v>0</v>
      </c>
      <c r="N99" s="107">
        <f t="shared" si="48"/>
        <v>0</v>
      </c>
      <c r="O99" s="107">
        <f t="shared" si="48"/>
        <v>0</v>
      </c>
      <c r="P99" s="107">
        <f t="shared" si="48"/>
        <v>0</v>
      </c>
      <c r="Q99" s="107">
        <f t="shared" si="48"/>
        <v>0</v>
      </c>
      <c r="R99" s="107">
        <f t="shared" si="48"/>
        <v>0</v>
      </c>
      <c r="S99" s="107">
        <f t="shared" si="48"/>
        <v>0</v>
      </c>
      <c r="T99" s="107">
        <f t="shared" si="48"/>
        <v>0</v>
      </c>
      <c r="U99" s="107">
        <f t="shared" si="48"/>
        <v>0</v>
      </c>
      <c r="V99" s="107">
        <f t="shared" si="48"/>
        <v>0</v>
      </c>
      <c r="W99" s="107">
        <f t="shared" si="48"/>
        <v>0</v>
      </c>
      <c r="X99" s="107">
        <f t="shared" si="48"/>
        <v>0</v>
      </c>
      <c r="Y99" s="107">
        <f t="shared" si="48"/>
        <v>0</v>
      </c>
      <c r="Z99" s="217">
        <f t="shared" si="48"/>
        <v>0</v>
      </c>
      <c r="AA99" s="217">
        <f t="shared" si="48"/>
        <v>0</v>
      </c>
      <c r="AB99" s="217">
        <f t="shared" si="48"/>
        <v>0</v>
      </c>
      <c r="AC99" s="217">
        <f t="shared" si="48"/>
        <v>0</v>
      </c>
      <c r="AD99" s="217">
        <f t="shared" si="48"/>
        <v>0</v>
      </c>
      <c r="AE99" s="217">
        <f t="shared" si="48"/>
        <v>0</v>
      </c>
      <c r="AF99" s="217">
        <f t="shared" si="48"/>
        <v>0</v>
      </c>
      <c r="AG99" s="217">
        <f t="shared" si="48"/>
        <v>0</v>
      </c>
      <c r="AH99" s="77">
        <f t="shared" si="48"/>
        <v>0</v>
      </c>
      <c r="AI99" s="77">
        <f t="shared" si="48"/>
        <v>0</v>
      </c>
      <c r="AJ99" s="77">
        <f t="shared" si="48"/>
        <v>0</v>
      </c>
      <c r="AK99" s="77">
        <f t="shared" si="48"/>
        <v>0</v>
      </c>
      <c r="AL99" s="77">
        <f t="shared" si="48"/>
        <v>0</v>
      </c>
    </row>
    <row r="100" spans="1:38">
      <c r="A100" s="69" t="s">
        <v>30</v>
      </c>
      <c r="B100" s="107">
        <f t="shared" si="47"/>
        <v>0</v>
      </c>
      <c r="C100" s="107">
        <f t="shared" si="49"/>
        <v>0</v>
      </c>
      <c r="D100" s="107">
        <f t="shared" si="48"/>
        <v>0</v>
      </c>
      <c r="E100" s="107">
        <f t="shared" si="48"/>
        <v>0</v>
      </c>
      <c r="F100" s="107">
        <f t="shared" si="48"/>
        <v>0</v>
      </c>
      <c r="G100" s="107">
        <f t="shared" si="48"/>
        <v>0</v>
      </c>
      <c r="H100" s="107">
        <f t="shared" si="48"/>
        <v>0</v>
      </c>
      <c r="I100" s="107">
        <f t="shared" si="48"/>
        <v>0</v>
      </c>
      <c r="J100" s="107">
        <f t="shared" si="48"/>
        <v>0</v>
      </c>
      <c r="K100" s="107">
        <f t="shared" si="48"/>
        <v>0</v>
      </c>
      <c r="L100" s="107">
        <f t="shared" si="48"/>
        <v>0</v>
      </c>
      <c r="M100" s="107">
        <f t="shared" si="48"/>
        <v>0</v>
      </c>
      <c r="N100" s="107">
        <f t="shared" si="48"/>
        <v>0</v>
      </c>
      <c r="O100" s="107">
        <f t="shared" si="48"/>
        <v>0</v>
      </c>
      <c r="P100" s="107">
        <f t="shared" si="48"/>
        <v>0</v>
      </c>
      <c r="Q100" s="107">
        <f t="shared" si="48"/>
        <v>0</v>
      </c>
      <c r="R100" s="107">
        <f t="shared" si="48"/>
        <v>0</v>
      </c>
      <c r="S100" s="107">
        <f t="shared" si="48"/>
        <v>0</v>
      </c>
      <c r="T100" s="107">
        <f t="shared" si="48"/>
        <v>0</v>
      </c>
      <c r="U100" s="107">
        <f t="shared" si="48"/>
        <v>0</v>
      </c>
      <c r="V100" s="107">
        <f t="shared" si="48"/>
        <v>0</v>
      </c>
      <c r="W100" s="107">
        <f t="shared" si="48"/>
        <v>0</v>
      </c>
      <c r="X100" s="107">
        <f t="shared" si="48"/>
        <v>0</v>
      </c>
      <c r="Y100" s="79">
        <f t="shared" si="48"/>
        <v>0</v>
      </c>
      <c r="Z100" s="217">
        <f t="shared" si="48"/>
        <v>0</v>
      </c>
      <c r="AA100" s="217">
        <f t="shared" si="48"/>
        <v>0</v>
      </c>
      <c r="AB100" s="217">
        <f t="shared" si="48"/>
        <v>0</v>
      </c>
      <c r="AC100" s="217">
        <f t="shared" si="48"/>
        <v>0</v>
      </c>
      <c r="AD100" s="217">
        <f t="shared" si="48"/>
        <v>0</v>
      </c>
      <c r="AE100" s="217">
        <f t="shared" si="48"/>
        <v>0</v>
      </c>
      <c r="AF100" s="217">
        <f t="shared" si="48"/>
        <v>0</v>
      </c>
      <c r="AG100" s="77">
        <f t="shared" si="48"/>
        <v>0</v>
      </c>
      <c r="AH100" s="77">
        <f t="shared" si="48"/>
        <v>0</v>
      </c>
      <c r="AI100" s="77">
        <f t="shared" si="48"/>
        <v>0</v>
      </c>
      <c r="AJ100" s="77">
        <f t="shared" si="48"/>
        <v>0</v>
      </c>
      <c r="AK100" s="77">
        <f t="shared" si="48"/>
        <v>0</v>
      </c>
      <c r="AL100" s="77">
        <f t="shared" si="48"/>
        <v>0</v>
      </c>
    </row>
    <row r="101" spans="1:38">
      <c r="A101" s="69" t="s">
        <v>31</v>
      </c>
      <c r="B101" s="107">
        <f t="shared" si="47"/>
        <v>0</v>
      </c>
      <c r="C101" s="107">
        <f t="shared" si="49"/>
        <v>0</v>
      </c>
      <c r="D101" s="107">
        <f t="shared" si="48"/>
        <v>0</v>
      </c>
      <c r="E101" s="107">
        <f t="shared" si="48"/>
        <v>0</v>
      </c>
      <c r="F101" s="107">
        <f t="shared" si="48"/>
        <v>0</v>
      </c>
      <c r="G101" s="107">
        <f t="shared" si="48"/>
        <v>0</v>
      </c>
      <c r="H101" s="107">
        <f t="shared" si="48"/>
        <v>0</v>
      </c>
      <c r="I101" s="107">
        <f t="shared" si="48"/>
        <v>0</v>
      </c>
      <c r="J101" s="107">
        <f t="shared" si="48"/>
        <v>0</v>
      </c>
      <c r="K101" s="107">
        <f t="shared" si="48"/>
        <v>0</v>
      </c>
      <c r="L101" s="107">
        <f t="shared" si="48"/>
        <v>0</v>
      </c>
      <c r="M101" s="107">
        <f t="shared" si="48"/>
        <v>0</v>
      </c>
      <c r="N101" s="107">
        <f t="shared" si="48"/>
        <v>0</v>
      </c>
      <c r="O101" s="107">
        <f t="shared" si="48"/>
        <v>0</v>
      </c>
      <c r="P101" s="107">
        <f t="shared" si="48"/>
        <v>0</v>
      </c>
      <c r="Q101" s="107">
        <f t="shared" si="48"/>
        <v>0</v>
      </c>
      <c r="R101" s="107">
        <f t="shared" si="48"/>
        <v>0</v>
      </c>
      <c r="S101" s="107">
        <f t="shared" si="48"/>
        <v>0</v>
      </c>
      <c r="T101" s="107">
        <f t="shared" si="48"/>
        <v>0</v>
      </c>
      <c r="U101" s="107">
        <f t="shared" si="48"/>
        <v>0</v>
      </c>
      <c r="V101" s="107">
        <f t="shared" si="48"/>
        <v>0</v>
      </c>
      <c r="W101" s="107">
        <f t="shared" si="48"/>
        <v>0</v>
      </c>
      <c r="X101" s="107">
        <f t="shared" si="48"/>
        <v>0</v>
      </c>
      <c r="Y101" s="79">
        <f t="shared" si="48"/>
        <v>0</v>
      </c>
      <c r="Z101" s="217">
        <f t="shared" si="48"/>
        <v>0</v>
      </c>
      <c r="AA101" s="217">
        <f t="shared" si="48"/>
        <v>0</v>
      </c>
      <c r="AB101" s="217">
        <f t="shared" si="48"/>
        <v>0</v>
      </c>
      <c r="AC101" s="217">
        <f t="shared" si="48"/>
        <v>0</v>
      </c>
      <c r="AD101" s="217">
        <f t="shared" si="48"/>
        <v>0</v>
      </c>
      <c r="AE101" s="217">
        <f t="shared" si="48"/>
        <v>0</v>
      </c>
      <c r="AF101" s="217">
        <f t="shared" si="48"/>
        <v>0</v>
      </c>
      <c r="AG101" s="77">
        <f t="shared" si="48"/>
        <v>0</v>
      </c>
      <c r="AH101" s="77">
        <f t="shared" si="48"/>
        <v>0</v>
      </c>
      <c r="AI101" s="77">
        <f t="shared" si="48"/>
        <v>0</v>
      </c>
      <c r="AJ101" s="77">
        <f t="shared" si="48"/>
        <v>0</v>
      </c>
      <c r="AK101" s="77">
        <f t="shared" si="48"/>
        <v>0</v>
      </c>
      <c r="AL101" s="77">
        <f t="shared" si="48"/>
        <v>0</v>
      </c>
    </row>
    <row r="102" spans="1:38">
      <c r="A102" s="69" t="s">
        <v>32</v>
      </c>
      <c r="B102" s="107">
        <f t="shared" si="47"/>
        <v>0</v>
      </c>
      <c r="C102" s="107">
        <f t="shared" si="49"/>
        <v>0</v>
      </c>
      <c r="D102" s="107">
        <f t="shared" si="48"/>
        <v>0</v>
      </c>
      <c r="E102" s="107">
        <f t="shared" si="48"/>
        <v>0</v>
      </c>
      <c r="F102" s="107">
        <f t="shared" si="48"/>
        <v>0</v>
      </c>
      <c r="G102" s="107">
        <f t="shared" si="48"/>
        <v>0</v>
      </c>
      <c r="H102" s="107">
        <f t="shared" si="48"/>
        <v>0</v>
      </c>
      <c r="I102" s="107">
        <f t="shared" si="48"/>
        <v>0</v>
      </c>
      <c r="J102" s="107">
        <f t="shared" si="48"/>
        <v>0</v>
      </c>
      <c r="K102" s="107">
        <f t="shared" si="48"/>
        <v>0</v>
      </c>
      <c r="L102" s="107">
        <f t="shared" si="48"/>
        <v>0</v>
      </c>
      <c r="M102" s="107">
        <f t="shared" si="48"/>
        <v>0</v>
      </c>
      <c r="N102" s="107">
        <f t="shared" si="48"/>
        <v>0</v>
      </c>
      <c r="O102" s="107">
        <f t="shared" si="48"/>
        <v>0</v>
      </c>
      <c r="P102" s="107">
        <f t="shared" si="48"/>
        <v>0</v>
      </c>
      <c r="Q102" s="107">
        <f t="shared" si="48"/>
        <v>0</v>
      </c>
      <c r="R102" s="107">
        <f t="shared" si="48"/>
        <v>0</v>
      </c>
      <c r="S102" s="107">
        <f t="shared" si="48"/>
        <v>0</v>
      </c>
      <c r="T102" s="107">
        <f t="shared" si="48"/>
        <v>0</v>
      </c>
      <c r="U102" s="107">
        <f t="shared" si="48"/>
        <v>0</v>
      </c>
      <c r="V102" s="107">
        <f t="shared" si="48"/>
        <v>0</v>
      </c>
      <c r="W102" s="107">
        <f t="shared" si="48"/>
        <v>0</v>
      </c>
      <c r="X102" s="107">
        <f t="shared" si="48"/>
        <v>0</v>
      </c>
      <c r="Y102" s="79">
        <f t="shared" si="48"/>
        <v>0</v>
      </c>
      <c r="Z102" s="217">
        <f t="shared" si="48"/>
        <v>0</v>
      </c>
      <c r="AA102" s="217">
        <f t="shared" si="48"/>
        <v>0</v>
      </c>
      <c r="AB102" s="217">
        <f t="shared" si="48"/>
        <v>0</v>
      </c>
      <c r="AC102" s="217">
        <f t="shared" si="48"/>
        <v>0</v>
      </c>
      <c r="AD102" s="217">
        <f t="shared" si="48"/>
        <v>0</v>
      </c>
      <c r="AE102" s="217">
        <f t="shared" si="48"/>
        <v>0</v>
      </c>
      <c r="AF102" s="217">
        <f t="shared" si="48"/>
        <v>0</v>
      </c>
      <c r="AG102" s="77">
        <f t="shared" si="48"/>
        <v>0</v>
      </c>
      <c r="AH102" s="77">
        <f t="shared" si="48"/>
        <v>0</v>
      </c>
      <c r="AI102" s="77">
        <f t="shared" si="48"/>
        <v>0</v>
      </c>
      <c r="AJ102" s="77">
        <f t="shared" si="48"/>
        <v>0</v>
      </c>
      <c r="AK102" s="77">
        <f t="shared" si="48"/>
        <v>0</v>
      </c>
      <c r="AL102" s="77">
        <f t="shared" si="48"/>
        <v>0</v>
      </c>
    </row>
    <row r="103" spans="1:38">
      <c r="A103" s="69" t="s">
        <v>33</v>
      </c>
      <c r="B103" s="107">
        <f t="shared" si="47"/>
        <v>0</v>
      </c>
      <c r="C103" s="107">
        <f t="shared" si="49"/>
        <v>0</v>
      </c>
      <c r="D103" s="107">
        <f t="shared" si="48"/>
        <v>0</v>
      </c>
      <c r="E103" s="107">
        <f t="shared" si="48"/>
        <v>0</v>
      </c>
      <c r="F103" s="107">
        <f t="shared" si="48"/>
        <v>0</v>
      </c>
      <c r="G103" s="107">
        <f t="shared" si="48"/>
        <v>0</v>
      </c>
      <c r="H103" s="107">
        <f t="shared" si="48"/>
        <v>0</v>
      </c>
      <c r="I103" s="107">
        <f t="shared" si="48"/>
        <v>0</v>
      </c>
      <c r="J103" s="107">
        <f t="shared" si="48"/>
        <v>0</v>
      </c>
      <c r="K103" s="107">
        <f t="shared" si="48"/>
        <v>0</v>
      </c>
      <c r="L103" s="107">
        <f t="shared" si="48"/>
        <v>0</v>
      </c>
      <c r="M103" s="107">
        <f t="shared" si="48"/>
        <v>0</v>
      </c>
      <c r="N103" s="107">
        <f t="shared" si="48"/>
        <v>0</v>
      </c>
      <c r="O103" s="107">
        <f t="shared" si="48"/>
        <v>0</v>
      </c>
      <c r="P103" s="107">
        <f t="shared" si="48"/>
        <v>0</v>
      </c>
      <c r="Q103" s="107">
        <f t="shared" si="48"/>
        <v>0</v>
      </c>
      <c r="R103" s="107">
        <f t="shared" si="48"/>
        <v>0</v>
      </c>
      <c r="S103" s="107">
        <f t="shared" si="48"/>
        <v>0</v>
      </c>
      <c r="T103" s="107">
        <f t="shared" si="48"/>
        <v>0</v>
      </c>
      <c r="U103" s="107">
        <f t="shared" si="48"/>
        <v>0</v>
      </c>
      <c r="V103" s="107">
        <f t="shared" si="48"/>
        <v>0</v>
      </c>
      <c r="W103" s="107">
        <f t="shared" si="48"/>
        <v>0</v>
      </c>
      <c r="X103" s="107">
        <f t="shared" si="48"/>
        <v>0</v>
      </c>
      <c r="Y103" s="79">
        <f>(Y$108-X$108)/13+Y102</f>
        <v>0</v>
      </c>
      <c r="Z103" s="217">
        <f t="shared" si="48"/>
        <v>0</v>
      </c>
      <c r="AA103" s="217">
        <f t="shared" si="48"/>
        <v>0</v>
      </c>
      <c r="AB103" s="217">
        <f t="shared" si="48"/>
        <v>0</v>
      </c>
      <c r="AC103" s="217">
        <f t="shared" si="48"/>
        <v>0</v>
      </c>
      <c r="AD103" s="217">
        <f t="shared" si="48"/>
        <v>0</v>
      </c>
      <c r="AE103" s="217">
        <f t="shared" si="48"/>
        <v>0</v>
      </c>
      <c r="AF103" s="217">
        <f t="shared" si="48"/>
        <v>0</v>
      </c>
      <c r="AG103" s="77">
        <f t="shared" si="48"/>
        <v>0</v>
      </c>
      <c r="AH103" s="77">
        <f t="shared" si="48"/>
        <v>0</v>
      </c>
      <c r="AI103" s="77">
        <f t="shared" si="48"/>
        <v>0</v>
      </c>
      <c r="AJ103" s="77">
        <f t="shared" si="48"/>
        <v>0</v>
      </c>
      <c r="AK103" s="77">
        <f t="shared" si="48"/>
        <v>0</v>
      </c>
      <c r="AL103" s="77">
        <f t="shared" si="48"/>
        <v>0</v>
      </c>
    </row>
    <row r="104" spans="1:38">
      <c r="A104" s="69" t="s">
        <v>14</v>
      </c>
      <c r="B104" s="107">
        <f t="shared" si="47"/>
        <v>0</v>
      </c>
      <c r="C104" s="107">
        <f t="shared" si="49"/>
        <v>0</v>
      </c>
      <c r="D104" s="107">
        <f t="shared" si="48"/>
        <v>0</v>
      </c>
      <c r="E104" s="107">
        <f t="shared" si="48"/>
        <v>0</v>
      </c>
      <c r="F104" s="107">
        <f t="shared" si="48"/>
        <v>0</v>
      </c>
      <c r="G104" s="107">
        <f t="shared" si="48"/>
        <v>0</v>
      </c>
      <c r="H104" s="107">
        <f t="shared" si="48"/>
        <v>0</v>
      </c>
      <c r="I104" s="107">
        <f t="shared" si="48"/>
        <v>0</v>
      </c>
      <c r="J104" s="107">
        <f t="shared" si="48"/>
        <v>0</v>
      </c>
      <c r="K104" s="107">
        <f t="shared" si="48"/>
        <v>0</v>
      </c>
      <c r="L104" s="107">
        <f t="shared" si="48"/>
        <v>0</v>
      </c>
      <c r="M104" s="107">
        <f t="shared" si="48"/>
        <v>0</v>
      </c>
      <c r="N104" s="107">
        <f t="shared" si="48"/>
        <v>0</v>
      </c>
      <c r="O104" s="107">
        <f t="shared" si="48"/>
        <v>0</v>
      </c>
      <c r="P104" s="107">
        <f t="shared" si="48"/>
        <v>0</v>
      </c>
      <c r="Q104" s="107">
        <f t="shared" si="48"/>
        <v>0</v>
      </c>
      <c r="R104" s="107">
        <f t="shared" si="48"/>
        <v>0</v>
      </c>
      <c r="S104" s="107">
        <f t="shared" si="48"/>
        <v>0</v>
      </c>
      <c r="T104" s="107">
        <f t="shared" si="48"/>
        <v>0</v>
      </c>
      <c r="U104" s="107">
        <f t="shared" si="48"/>
        <v>0</v>
      </c>
      <c r="V104" s="107">
        <f t="shared" si="48"/>
        <v>0</v>
      </c>
      <c r="W104" s="107">
        <f t="shared" si="48"/>
        <v>0</v>
      </c>
      <c r="X104" s="107">
        <f t="shared" si="48"/>
        <v>0</v>
      </c>
      <c r="Y104" s="79">
        <f t="shared" si="48"/>
        <v>0</v>
      </c>
      <c r="Z104" s="217">
        <f t="shared" si="48"/>
        <v>0</v>
      </c>
      <c r="AA104" s="217">
        <f t="shared" si="48"/>
        <v>0</v>
      </c>
      <c r="AB104" s="217">
        <f t="shared" si="48"/>
        <v>0</v>
      </c>
      <c r="AC104" s="217">
        <f t="shared" si="48"/>
        <v>0</v>
      </c>
      <c r="AD104" s="217">
        <f t="shared" si="48"/>
        <v>0</v>
      </c>
      <c r="AE104" s="217">
        <f t="shared" si="48"/>
        <v>0</v>
      </c>
      <c r="AF104" s="217">
        <f t="shared" si="48"/>
        <v>0</v>
      </c>
      <c r="AG104" s="77">
        <f t="shared" si="48"/>
        <v>0</v>
      </c>
      <c r="AH104" s="77">
        <f t="shared" si="48"/>
        <v>0</v>
      </c>
      <c r="AI104" s="77">
        <f t="shared" si="48"/>
        <v>0</v>
      </c>
      <c r="AJ104" s="77">
        <f t="shared" si="48"/>
        <v>0</v>
      </c>
      <c r="AK104" s="77">
        <f t="shared" si="48"/>
        <v>0</v>
      </c>
      <c r="AL104" s="77">
        <f t="shared" si="48"/>
        <v>0</v>
      </c>
    </row>
    <row r="105" spans="1:38">
      <c r="A105" s="69" t="s">
        <v>34</v>
      </c>
      <c r="B105" s="107">
        <f t="shared" si="47"/>
        <v>0</v>
      </c>
      <c r="C105" s="107">
        <f t="shared" si="49"/>
        <v>0</v>
      </c>
      <c r="D105" s="107">
        <f t="shared" si="48"/>
        <v>0</v>
      </c>
      <c r="E105" s="107">
        <f t="shared" si="48"/>
        <v>0</v>
      </c>
      <c r="F105" s="107">
        <f t="shared" si="48"/>
        <v>0</v>
      </c>
      <c r="G105" s="107">
        <f t="shared" si="48"/>
        <v>0</v>
      </c>
      <c r="H105" s="107">
        <f t="shared" si="48"/>
        <v>0</v>
      </c>
      <c r="I105" s="107">
        <f t="shared" si="48"/>
        <v>0</v>
      </c>
      <c r="J105" s="107">
        <f t="shared" si="48"/>
        <v>0</v>
      </c>
      <c r="K105" s="107">
        <f t="shared" si="48"/>
        <v>0</v>
      </c>
      <c r="L105" s="107">
        <f t="shared" si="48"/>
        <v>0</v>
      </c>
      <c r="M105" s="107">
        <f t="shared" si="48"/>
        <v>0</v>
      </c>
      <c r="N105" s="107">
        <f t="shared" si="48"/>
        <v>0</v>
      </c>
      <c r="O105" s="107">
        <f t="shared" ref="D105:AL107" si="50">(O$108-N$108)/13+O104</f>
        <v>0</v>
      </c>
      <c r="P105" s="107">
        <f t="shared" si="50"/>
        <v>0</v>
      </c>
      <c r="Q105" s="107">
        <f t="shared" si="50"/>
        <v>0</v>
      </c>
      <c r="R105" s="107">
        <f t="shared" si="50"/>
        <v>0</v>
      </c>
      <c r="S105" s="107">
        <f t="shared" si="50"/>
        <v>0</v>
      </c>
      <c r="T105" s="107">
        <f t="shared" si="50"/>
        <v>0</v>
      </c>
      <c r="U105" s="107">
        <f t="shared" si="50"/>
        <v>0</v>
      </c>
      <c r="V105" s="107">
        <f t="shared" si="50"/>
        <v>0</v>
      </c>
      <c r="W105" s="107">
        <f t="shared" si="50"/>
        <v>0</v>
      </c>
      <c r="X105" s="107">
        <f t="shared" si="50"/>
        <v>0</v>
      </c>
      <c r="Y105" s="79">
        <f t="shared" si="50"/>
        <v>0</v>
      </c>
      <c r="Z105" s="217">
        <f t="shared" si="50"/>
        <v>0</v>
      </c>
      <c r="AA105" s="217">
        <f t="shared" si="50"/>
        <v>0</v>
      </c>
      <c r="AB105" s="217">
        <f t="shared" si="50"/>
        <v>0</v>
      </c>
      <c r="AC105" s="217">
        <f t="shared" si="50"/>
        <v>0</v>
      </c>
      <c r="AD105" s="217">
        <f t="shared" si="50"/>
        <v>0</v>
      </c>
      <c r="AE105" s="217">
        <f t="shared" si="50"/>
        <v>0</v>
      </c>
      <c r="AF105" s="217">
        <f t="shared" si="50"/>
        <v>0</v>
      </c>
      <c r="AG105" s="77">
        <f t="shared" si="50"/>
        <v>0</v>
      </c>
      <c r="AH105" s="77">
        <f t="shared" si="50"/>
        <v>0</v>
      </c>
      <c r="AI105" s="77">
        <f t="shared" si="50"/>
        <v>0</v>
      </c>
      <c r="AJ105" s="77">
        <f t="shared" si="50"/>
        <v>0</v>
      </c>
      <c r="AK105" s="77">
        <f t="shared" si="50"/>
        <v>0</v>
      </c>
      <c r="AL105" s="77">
        <f t="shared" si="50"/>
        <v>0</v>
      </c>
    </row>
    <row r="106" spans="1:38">
      <c r="A106" s="69" t="s">
        <v>35</v>
      </c>
      <c r="B106" s="107">
        <f t="shared" si="47"/>
        <v>0</v>
      </c>
      <c r="C106" s="107">
        <f t="shared" si="49"/>
        <v>0</v>
      </c>
      <c r="D106" s="107">
        <f t="shared" si="50"/>
        <v>0</v>
      </c>
      <c r="E106" s="107">
        <f t="shared" si="50"/>
        <v>0</v>
      </c>
      <c r="F106" s="107">
        <f t="shared" si="50"/>
        <v>0</v>
      </c>
      <c r="G106" s="107">
        <f t="shared" si="50"/>
        <v>0</v>
      </c>
      <c r="H106" s="107">
        <f t="shared" si="50"/>
        <v>0</v>
      </c>
      <c r="I106" s="107">
        <f t="shared" si="50"/>
        <v>0</v>
      </c>
      <c r="J106" s="107">
        <f t="shared" si="50"/>
        <v>0</v>
      </c>
      <c r="K106" s="107">
        <f t="shared" si="50"/>
        <v>0</v>
      </c>
      <c r="L106" s="107">
        <f t="shared" si="50"/>
        <v>0</v>
      </c>
      <c r="M106" s="107">
        <f t="shared" si="50"/>
        <v>0</v>
      </c>
      <c r="N106" s="107">
        <f t="shared" si="50"/>
        <v>0</v>
      </c>
      <c r="O106" s="107">
        <f t="shared" si="50"/>
        <v>0</v>
      </c>
      <c r="P106" s="107">
        <f t="shared" si="50"/>
        <v>0</v>
      </c>
      <c r="Q106" s="107">
        <f t="shared" si="50"/>
        <v>0</v>
      </c>
      <c r="R106" s="107">
        <f t="shared" si="50"/>
        <v>0</v>
      </c>
      <c r="S106" s="107">
        <f t="shared" si="50"/>
        <v>0</v>
      </c>
      <c r="T106" s="107">
        <f t="shared" si="50"/>
        <v>0</v>
      </c>
      <c r="U106" s="107">
        <f t="shared" si="50"/>
        <v>0</v>
      </c>
      <c r="V106" s="107">
        <f t="shared" si="50"/>
        <v>0</v>
      </c>
      <c r="W106" s="107">
        <f t="shared" si="50"/>
        <v>0</v>
      </c>
      <c r="X106" s="107">
        <f t="shared" si="50"/>
        <v>0</v>
      </c>
      <c r="Y106" s="79">
        <f t="shared" si="50"/>
        <v>0</v>
      </c>
      <c r="Z106" s="217">
        <f t="shared" si="50"/>
        <v>0</v>
      </c>
      <c r="AA106" s="217">
        <f t="shared" si="50"/>
        <v>0</v>
      </c>
      <c r="AB106" s="217">
        <f t="shared" si="50"/>
        <v>0</v>
      </c>
      <c r="AC106" s="217">
        <f t="shared" si="50"/>
        <v>0</v>
      </c>
      <c r="AD106" s="217">
        <f t="shared" si="50"/>
        <v>0</v>
      </c>
      <c r="AE106" s="217">
        <f t="shared" si="50"/>
        <v>0</v>
      </c>
      <c r="AF106" s="217">
        <f t="shared" si="50"/>
        <v>0</v>
      </c>
      <c r="AG106" s="77">
        <f t="shared" si="50"/>
        <v>0</v>
      </c>
      <c r="AH106" s="77">
        <f t="shared" si="50"/>
        <v>0</v>
      </c>
      <c r="AI106" s="77">
        <f t="shared" si="50"/>
        <v>0</v>
      </c>
      <c r="AJ106" s="77">
        <f t="shared" si="50"/>
        <v>0</v>
      </c>
      <c r="AK106" s="77">
        <f t="shared" si="50"/>
        <v>0</v>
      </c>
      <c r="AL106" s="77">
        <f t="shared" si="50"/>
        <v>0</v>
      </c>
    </row>
    <row r="107" spans="1:38">
      <c r="A107" s="69" t="s">
        <v>36</v>
      </c>
      <c r="B107" s="107">
        <f t="shared" si="47"/>
        <v>0</v>
      </c>
      <c r="C107" s="107">
        <f t="shared" si="49"/>
        <v>0</v>
      </c>
      <c r="D107" s="107">
        <f t="shared" si="50"/>
        <v>0</v>
      </c>
      <c r="E107" s="107">
        <f t="shared" si="50"/>
        <v>0</v>
      </c>
      <c r="F107" s="107">
        <f t="shared" si="50"/>
        <v>0</v>
      </c>
      <c r="G107" s="107">
        <f t="shared" si="50"/>
        <v>0</v>
      </c>
      <c r="H107" s="107">
        <f t="shared" si="50"/>
        <v>0</v>
      </c>
      <c r="I107" s="107">
        <f t="shared" si="50"/>
        <v>0</v>
      </c>
      <c r="J107" s="107">
        <f t="shared" si="50"/>
        <v>0</v>
      </c>
      <c r="K107" s="107">
        <f t="shared" si="50"/>
        <v>0</v>
      </c>
      <c r="L107" s="107">
        <f t="shared" si="50"/>
        <v>0</v>
      </c>
      <c r="M107" s="107">
        <f t="shared" si="50"/>
        <v>0</v>
      </c>
      <c r="N107" s="107">
        <f t="shared" si="50"/>
        <v>0</v>
      </c>
      <c r="O107" s="107">
        <f t="shared" si="50"/>
        <v>0</v>
      </c>
      <c r="P107" s="107">
        <f t="shared" si="50"/>
        <v>0</v>
      </c>
      <c r="Q107" s="107">
        <f t="shared" si="50"/>
        <v>0</v>
      </c>
      <c r="R107" s="107">
        <f t="shared" si="50"/>
        <v>0</v>
      </c>
      <c r="S107" s="107">
        <f t="shared" si="50"/>
        <v>0</v>
      </c>
      <c r="T107" s="107">
        <f t="shared" si="50"/>
        <v>0</v>
      </c>
      <c r="U107" s="107">
        <f t="shared" si="50"/>
        <v>0</v>
      </c>
      <c r="V107" s="107">
        <f t="shared" si="50"/>
        <v>0</v>
      </c>
      <c r="W107" s="107">
        <f t="shared" si="50"/>
        <v>0</v>
      </c>
      <c r="X107" s="107">
        <f t="shared" si="50"/>
        <v>0</v>
      </c>
      <c r="Y107" s="79">
        <f>(Y$108-X$108)/13+Y106</f>
        <v>0</v>
      </c>
      <c r="Z107" s="217">
        <f>(Z$108-Y$108)/13+Z106</f>
        <v>0</v>
      </c>
      <c r="AA107" s="217">
        <f>(AA$108-Z$108)/13+AA106</f>
        <v>0</v>
      </c>
      <c r="AB107" s="217">
        <f>(AB$108-AA$108)/13+AB106</f>
        <v>0</v>
      </c>
      <c r="AC107" s="217">
        <f>(AC$108-AB$108)/13+AC106</f>
        <v>0</v>
      </c>
      <c r="AD107" s="217">
        <f t="shared" si="50"/>
        <v>0</v>
      </c>
      <c r="AE107" s="217">
        <f t="shared" si="50"/>
        <v>0</v>
      </c>
      <c r="AF107" s="217">
        <f t="shared" si="50"/>
        <v>0</v>
      </c>
      <c r="AG107" s="77">
        <f t="shared" si="50"/>
        <v>0</v>
      </c>
      <c r="AH107" s="77">
        <f t="shared" si="50"/>
        <v>0</v>
      </c>
      <c r="AI107" s="77">
        <f t="shared" si="50"/>
        <v>0</v>
      </c>
      <c r="AJ107" s="77">
        <f t="shared" si="50"/>
        <v>0</v>
      </c>
      <c r="AK107" s="77">
        <f t="shared" si="50"/>
        <v>0</v>
      </c>
      <c r="AL107" s="77">
        <f t="shared" si="50"/>
        <v>0</v>
      </c>
    </row>
    <row r="108" spans="1:38" ht="12" thickBot="1">
      <c r="A108" s="69" t="s">
        <v>37</v>
      </c>
      <c r="B108" s="218">
        <f t="shared" ref="B108:AL108" si="51">B11</f>
        <v>0</v>
      </c>
      <c r="C108" s="218">
        <f t="shared" si="51"/>
        <v>0</v>
      </c>
      <c r="D108" s="218">
        <f t="shared" si="51"/>
        <v>0</v>
      </c>
      <c r="E108" s="218">
        <f t="shared" si="51"/>
        <v>0</v>
      </c>
      <c r="F108" s="218">
        <f t="shared" si="51"/>
        <v>0</v>
      </c>
      <c r="G108" s="218">
        <f t="shared" si="51"/>
        <v>0</v>
      </c>
      <c r="H108" s="218">
        <f t="shared" si="51"/>
        <v>0</v>
      </c>
      <c r="I108" s="218">
        <f t="shared" si="51"/>
        <v>0</v>
      </c>
      <c r="J108" s="218">
        <f t="shared" si="51"/>
        <v>0</v>
      </c>
      <c r="K108" s="218">
        <f t="shared" si="51"/>
        <v>0</v>
      </c>
      <c r="L108" s="218">
        <f t="shared" si="51"/>
        <v>0</v>
      </c>
      <c r="M108" s="218">
        <f t="shared" si="51"/>
        <v>0</v>
      </c>
      <c r="N108" s="218">
        <f t="shared" si="51"/>
        <v>0</v>
      </c>
      <c r="O108" s="218">
        <f t="shared" si="51"/>
        <v>0</v>
      </c>
      <c r="P108" s="218">
        <f t="shared" si="51"/>
        <v>0</v>
      </c>
      <c r="Q108" s="218">
        <f t="shared" si="51"/>
        <v>0</v>
      </c>
      <c r="R108" s="218">
        <f t="shared" si="51"/>
        <v>0</v>
      </c>
      <c r="S108" s="218">
        <f t="shared" si="51"/>
        <v>0</v>
      </c>
      <c r="T108" s="218">
        <f t="shared" si="51"/>
        <v>0</v>
      </c>
      <c r="U108" s="218">
        <f t="shared" si="51"/>
        <v>0</v>
      </c>
      <c r="V108" s="218">
        <f t="shared" si="51"/>
        <v>0</v>
      </c>
      <c r="W108" s="218">
        <f t="shared" si="51"/>
        <v>0</v>
      </c>
      <c r="X108" s="218">
        <f t="shared" si="51"/>
        <v>0</v>
      </c>
      <c r="Y108" s="219">
        <f t="shared" si="51"/>
        <v>0</v>
      </c>
      <c r="Z108" s="220">
        <f t="shared" si="51"/>
        <v>0</v>
      </c>
      <c r="AA108" s="220">
        <f t="shared" si="51"/>
        <v>0</v>
      </c>
      <c r="AB108" s="220">
        <f t="shared" si="51"/>
        <v>0</v>
      </c>
      <c r="AC108" s="220">
        <f t="shared" si="51"/>
        <v>0</v>
      </c>
      <c r="AD108" s="220">
        <f t="shared" si="51"/>
        <v>0</v>
      </c>
      <c r="AE108" s="220">
        <f t="shared" si="51"/>
        <v>0</v>
      </c>
      <c r="AF108" s="220">
        <f t="shared" si="51"/>
        <v>0</v>
      </c>
      <c r="AG108" s="221">
        <f t="shared" si="51"/>
        <v>0</v>
      </c>
      <c r="AH108" s="221">
        <f t="shared" si="51"/>
        <v>0</v>
      </c>
      <c r="AI108" s="221">
        <f t="shared" si="51"/>
        <v>0</v>
      </c>
      <c r="AJ108" s="221">
        <f t="shared" si="51"/>
        <v>0</v>
      </c>
      <c r="AK108" s="221">
        <f t="shared" si="51"/>
        <v>0</v>
      </c>
      <c r="AL108" s="221">
        <f t="shared" si="51"/>
        <v>0</v>
      </c>
    </row>
    <row r="109" spans="1:38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  <c r="AD109" s="199"/>
      <c r="AE109" s="199"/>
      <c r="AF109" s="199"/>
      <c r="AG109" s="199"/>
      <c r="AH109" s="199"/>
      <c r="AI109" s="199"/>
      <c r="AJ109" s="199"/>
      <c r="AK109" s="199"/>
      <c r="AL109" s="199"/>
    </row>
    <row r="110" spans="1:38" ht="12" thickBot="1">
      <c r="A110" s="69" t="s">
        <v>344</v>
      </c>
    </row>
    <row r="111" spans="1:38" ht="12" thickBot="1">
      <c r="A111" s="202"/>
      <c r="B111" s="203" t="str">
        <f>B$2</f>
        <v xml:space="preserve">93/94 </v>
      </c>
      <c r="C111" s="203" t="str">
        <f t="shared" ref="C111:AL111" si="52">C$2</f>
        <v xml:space="preserve">94/95 </v>
      </c>
      <c r="D111" s="203" t="str">
        <f t="shared" si="52"/>
        <v xml:space="preserve">95/96 </v>
      </c>
      <c r="E111" s="203" t="str">
        <f t="shared" si="52"/>
        <v xml:space="preserve">96/97 </v>
      </c>
      <c r="F111" s="203" t="str">
        <f t="shared" si="52"/>
        <v xml:space="preserve">97/98 </v>
      </c>
      <c r="G111" s="203" t="str">
        <f t="shared" si="52"/>
        <v xml:space="preserve">98/99 </v>
      </c>
      <c r="H111" s="203" t="str">
        <f t="shared" si="52"/>
        <v xml:space="preserve">99/00 </v>
      </c>
      <c r="I111" s="203" t="str">
        <f t="shared" si="52"/>
        <v xml:space="preserve">00/01 </v>
      </c>
      <c r="J111" s="203" t="str">
        <f t="shared" si="52"/>
        <v xml:space="preserve">01/02 </v>
      </c>
      <c r="K111" s="203" t="str">
        <f t="shared" si="52"/>
        <v xml:space="preserve">02/03 </v>
      </c>
      <c r="L111" s="203" t="str">
        <f t="shared" si="52"/>
        <v xml:space="preserve">03/04 </v>
      </c>
      <c r="M111" s="203" t="str">
        <f t="shared" si="52"/>
        <v xml:space="preserve">04/05 </v>
      </c>
      <c r="N111" s="203" t="str">
        <f t="shared" si="52"/>
        <v xml:space="preserve">05/06 </v>
      </c>
      <c r="O111" s="203" t="str">
        <f t="shared" si="52"/>
        <v xml:space="preserve">06/07 </v>
      </c>
      <c r="P111" s="203" t="str">
        <f t="shared" si="52"/>
        <v xml:space="preserve">07/08 </v>
      </c>
      <c r="Q111" s="203" t="str">
        <f t="shared" si="52"/>
        <v xml:space="preserve">08/09 </v>
      </c>
      <c r="R111" s="203" t="str">
        <f t="shared" si="52"/>
        <v xml:space="preserve">09/10 </v>
      </c>
      <c r="S111" s="203" t="str">
        <f t="shared" si="52"/>
        <v xml:space="preserve">10/11 </v>
      </c>
      <c r="T111" s="203" t="str">
        <f t="shared" si="52"/>
        <v xml:space="preserve">11/12 </v>
      </c>
      <c r="U111" s="203" t="str">
        <f t="shared" si="52"/>
        <v xml:space="preserve">12/13 </v>
      </c>
      <c r="V111" s="203" t="str">
        <f t="shared" si="52"/>
        <v xml:space="preserve">13/14 </v>
      </c>
      <c r="W111" s="203" t="str">
        <f t="shared" si="52"/>
        <v xml:space="preserve">14/15 </v>
      </c>
      <c r="X111" s="203" t="str">
        <f t="shared" si="52"/>
        <v xml:space="preserve">15/16 </v>
      </c>
      <c r="Y111" s="203" t="str">
        <f t="shared" si="52"/>
        <v xml:space="preserve">16/17 </v>
      </c>
      <c r="Z111" s="203" t="str">
        <f t="shared" si="52"/>
        <v xml:space="preserve">17/18 </v>
      </c>
      <c r="AA111" s="203" t="str">
        <f t="shared" si="52"/>
        <v xml:space="preserve">18/19 </v>
      </c>
      <c r="AB111" s="203" t="str">
        <f t="shared" si="52"/>
        <v xml:space="preserve">19/20 </v>
      </c>
      <c r="AC111" s="203" t="str">
        <f t="shared" si="52"/>
        <v xml:space="preserve">20/21 </v>
      </c>
      <c r="AD111" s="203" t="str">
        <f t="shared" si="52"/>
        <v>21/22</v>
      </c>
      <c r="AE111" s="203" t="str">
        <f t="shared" si="52"/>
        <v>22/23</v>
      </c>
      <c r="AF111" s="203" t="str">
        <f t="shared" si="52"/>
        <v>23/24</v>
      </c>
      <c r="AG111" s="203" t="str">
        <f t="shared" si="52"/>
        <v>24/25</v>
      </c>
      <c r="AH111" s="203" t="str">
        <f t="shared" si="52"/>
        <v>25/26</v>
      </c>
      <c r="AI111" s="203" t="str">
        <f t="shared" si="52"/>
        <v>26/27</v>
      </c>
      <c r="AJ111" s="203" t="str">
        <f t="shared" si="52"/>
        <v>27/28</v>
      </c>
      <c r="AK111" s="203" t="str">
        <f t="shared" si="52"/>
        <v>28/29</v>
      </c>
      <c r="AL111" s="203" t="str">
        <f t="shared" si="52"/>
        <v>29/30</v>
      </c>
    </row>
    <row r="112" spans="1:38">
      <c r="A112" s="69" t="s">
        <v>38</v>
      </c>
    </row>
    <row r="113" spans="1:38">
      <c r="A113" s="69" t="s">
        <v>39</v>
      </c>
    </row>
    <row r="114" spans="1:38">
      <c r="A114" s="69" t="s">
        <v>40</v>
      </c>
    </row>
    <row r="115" spans="1:38">
      <c r="A115" s="69" t="s">
        <v>30</v>
      </c>
    </row>
    <row r="116" spans="1:38">
      <c r="A116" s="69" t="s">
        <v>31</v>
      </c>
    </row>
    <row r="117" spans="1:38">
      <c r="A117" s="69" t="s">
        <v>32</v>
      </c>
    </row>
    <row r="118" spans="1:38">
      <c r="A118" s="69" t="s">
        <v>33</v>
      </c>
    </row>
    <row r="119" spans="1:38">
      <c r="A119" s="69" t="s">
        <v>14</v>
      </c>
    </row>
    <row r="120" spans="1:38">
      <c r="A120" s="69" t="s">
        <v>34</v>
      </c>
    </row>
    <row r="121" spans="1:38">
      <c r="A121" s="69" t="s">
        <v>35</v>
      </c>
    </row>
    <row r="122" spans="1:38">
      <c r="A122" s="69" t="s">
        <v>36</v>
      </c>
    </row>
    <row r="123" spans="1:38">
      <c r="A123" s="69" t="s">
        <v>37</v>
      </c>
    </row>
    <row r="124" spans="1:38" ht="12" thickBot="1">
      <c r="A124" s="69" t="s">
        <v>338</v>
      </c>
    </row>
    <row r="125" spans="1:38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99"/>
      <c r="AE125" s="199"/>
      <c r="AF125" s="199"/>
      <c r="AG125" s="199"/>
      <c r="AH125" s="199"/>
      <c r="AI125" s="199"/>
      <c r="AJ125" s="199"/>
      <c r="AK125" s="199"/>
      <c r="AL125" s="19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4F07-E0F1-4F33-861A-D1CB5DC1E654}">
  <dimension ref="A1:AZ143"/>
  <sheetViews>
    <sheetView zoomScale="115" zoomScaleNormal="115" workbookViewId="0">
      <pane xSplit="1" ySplit="2" topLeftCell="Z3" activePane="bottomRight" state="frozen"/>
      <selection activeCell="J39" sqref="J39"/>
      <selection pane="topRight" activeCell="J39" sqref="J39"/>
      <selection pane="bottomLeft" activeCell="J39" sqref="J39"/>
      <selection pane="bottomRight" activeCell="J39" sqref="J39"/>
    </sheetView>
  </sheetViews>
  <sheetFormatPr defaultColWidth="9.140625" defaultRowHeight="11.25"/>
  <cols>
    <col min="1" max="1" width="32" style="69" customWidth="1"/>
    <col min="2" max="51" width="9.28515625" style="69" bestFit="1" customWidth="1"/>
    <col min="52" max="52" width="9.7109375" style="69" bestFit="1" customWidth="1"/>
    <col min="53" max="16384" width="9.140625" style="69"/>
  </cols>
  <sheetData>
    <row r="1" spans="1:52" ht="12" thickBot="1">
      <c r="A1" s="83" t="s">
        <v>345</v>
      </c>
    </row>
    <row r="2" spans="1:52" ht="12" thickBot="1">
      <c r="A2" s="196"/>
      <c r="B2" s="203" t="s">
        <v>66</v>
      </c>
      <c r="C2" s="197" t="s">
        <v>67</v>
      </c>
      <c r="D2" s="203" t="s">
        <v>68</v>
      </c>
      <c r="E2" s="197" t="s">
        <v>69</v>
      </c>
      <c r="F2" s="203" t="s">
        <v>70</v>
      </c>
      <c r="G2" s="197" t="s">
        <v>71</v>
      </c>
      <c r="H2" s="203" t="s">
        <v>72</v>
      </c>
      <c r="I2" s="197" t="s">
        <v>73</v>
      </c>
      <c r="J2" s="203" t="s">
        <v>74</v>
      </c>
      <c r="K2" s="197" t="s">
        <v>75</v>
      </c>
      <c r="L2" s="203" t="s">
        <v>76</v>
      </c>
      <c r="M2" s="197" t="s">
        <v>77</v>
      </c>
      <c r="N2" s="203" t="s">
        <v>78</v>
      </c>
      <c r="O2" s="197" t="s">
        <v>79</v>
      </c>
      <c r="P2" s="203" t="s">
        <v>80</v>
      </c>
      <c r="Q2" s="197" t="s">
        <v>81</v>
      </c>
      <c r="R2" s="203" t="s">
        <v>82</v>
      </c>
      <c r="S2" s="197" t="s">
        <v>83</v>
      </c>
      <c r="T2" s="203" t="s">
        <v>84</v>
      </c>
      <c r="U2" s="197" t="s">
        <v>85</v>
      </c>
      <c r="V2" s="203" t="s">
        <v>86</v>
      </c>
      <c r="W2" s="197" t="s">
        <v>87</v>
      </c>
      <c r="X2" s="203" t="s">
        <v>88</v>
      </c>
      <c r="Y2" s="197" t="s">
        <v>89</v>
      </c>
      <c r="Z2" s="203" t="s">
        <v>90</v>
      </c>
      <c r="AA2" s="197" t="s">
        <v>91</v>
      </c>
      <c r="AB2" s="197" t="s">
        <v>346</v>
      </c>
      <c r="AC2" s="197" t="s">
        <v>347</v>
      </c>
      <c r="AD2" s="197" t="s">
        <v>94</v>
      </c>
      <c r="AE2" s="197" t="str">
        <f>'Ethanol Balance Sheet'!AE2</f>
        <v>22/23</v>
      </c>
      <c r="AF2" s="197" t="str">
        <f>'Ethanol Balance Sheet'!AF2</f>
        <v>23/24</v>
      </c>
      <c r="AG2" s="197" t="str">
        <f>'Ethanol Balance Sheet'!AG2</f>
        <v>24/25</v>
      </c>
      <c r="AH2" s="197" t="str">
        <f>'Ethanol Balance Sheet'!AH2</f>
        <v>25/26</v>
      </c>
      <c r="AI2" s="197" t="str">
        <f>'Ethanol Balance Sheet'!AI2</f>
        <v>26/27</v>
      </c>
      <c r="AJ2" s="197" t="str">
        <f>'Ethanol Balance Sheet'!AJ2</f>
        <v>27/28</v>
      </c>
      <c r="AK2" s="197" t="str">
        <f>'Ethanol Balance Sheet'!AK2</f>
        <v>28/29</v>
      </c>
      <c r="AL2" s="197" t="str">
        <f>'Ethanol Balance Sheet'!AL2</f>
        <v>29/30</v>
      </c>
      <c r="AM2" s="197" t="str">
        <f>'Ethanol Balance Sheet'!AM2</f>
        <v>30/31</v>
      </c>
      <c r="AN2" s="197" t="str">
        <f>'Ethanol Balance Sheet'!AN2</f>
        <v>31/32</v>
      </c>
      <c r="AO2" s="197" t="str">
        <f>'Ethanol Balance Sheet'!AO2</f>
        <v>32/33</v>
      </c>
      <c r="AP2" s="197" t="str">
        <f>'Ethanol Balance Sheet'!AP2</f>
        <v>33/34</v>
      </c>
      <c r="AQ2" s="197" t="str">
        <f>'Ethanol Balance Sheet'!AQ2</f>
        <v>34/35</v>
      </c>
      <c r="AR2" s="197" t="str">
        <f>'Ethanol Balance Sheet'!AR2</f>
        <v>35/36</v>
      </c>
      <c r="AS2" s="197" t="str">
        <f>'Ethanol Balance Sheet'!AS2</f>
        <v>36/37</v>
      </c>
      <c r="AT2" s="197" t="str">
        <f>'Ethanol Balance Sheet'!AT2</f>
        <v>37/38</v>
      </c>
      <c r="AU2" s="197" t="str">
        <f>'Ethanol Balance Sheet'!AU2</f>
        <v>38/39</v>
      </c>
      <c r="AV2" s="197" t="str">
        <f>'Ethanol Balance Sheet'!AV2</f>
        <v>39/40</v>
      </c>
      <c r="AW2" s="197" t="str">
        <f>'Ethanol Balance Sheet'!AW2</f>
        <v>40/41</v>
      </c>
      <c r="AX2" s="197" t="str">
        <f>'Ethanol Balance Sheet'!AX2</f>
        <v>41/42</v>
      </c>
      <c r="AY2" s="197" t="str">
        <f>'Ethanol Balance Sheet'!AY2</f>
        <v>42/43</v>
      </c>
      <c r="AZ2" s="197" t="str">
        <f>'Ethanol Balance Sheet'!AZ2</f>
        <v>43/44</v>
      </c>
    </row>
    <row r="3" spans="1:52">
      <c r="A3" s="199" t="s">
        <v>348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</row>
    <row r="4" spans="1:52">
      <c r="A4" s="82" t="s">
        <v>332</v>
      </c>
      <c r="B4" s="80">
        <v>0</v>
      </c>
      <c r="C4" s="80">
        <f>B11</f>
        <v>0</v>
      </c>
      <c r="D4" s="80">
        <f t="shared" ref="D4:AZ4" si="0">C11</f>
        <v>0</v>
      </c>
      <c r="E4" s="80">
        <f t="shared" si="0"/>
        <v>0</v>
      </c>
      <c r="F4" s="80">
        <f t="shared" si="0"/>
        <v>0</v>
      </c>
      <c r="G4" s="80">
        <f t="shared" si="0"/>
        <v>0</v>
      </c>
      <c r="H4" s="80">
        <f t="shared" si="0"/>
        <v>0</v>
      </c>
      <c r="I4" s="80">
        <f t="shared" si="0"/>
        <v>0</v>
      </c>
      <c r="J4" s="80">
        <f t="shared" si="0"/>
        <v>0</v>
      </c>
      <c r="K4" s="80">
        <f t="shared" si="0"/>
        <v>0</v>
      </c>
      <c r="L4" s="80">
        <f t="shared" si="0"/>
        <v>0</v>
      </c>
      <c r="M4" s="80">
        <f t="shared" si="0"/>
        <v>0</v>
      </c>
      <c r="N4" s="80">
        <f t="shared" si="0"/>
        <v>0</v>
      </c>
      <c r="O4" s="80">
        <f t="shared" si="0"/>
        <v>0</v>
      </c>
      <c r="P4" s="80">
        <f t="shared" si="0"/>
        <v>0</v>
      </c>
      <c r="Q4" s="80">
        <f t="shared" si="0"/>
        <v>0</v>
      </c>
      <c r="R4" s="80">
        <f t="shared" si="0"/>
        <v>0</v>
      </c>
      <c r="S4" s="80">
        <f t="shared" si="0"/>
        <v>0</v>
      </c>
      <c r="T4" s="80">
        <f t="shared" si="0"/>
        <v>0</v>
      </c>
      <c r="U4" s="80">
        <f t="shared" si="0"/>
        <v>0</v>
      </c>
      <c r="V4" s="80">
        <f t="shared" si="0"/>
        <v>0</v>
      </c>
      <c r="W4" s="80">
        <f t="shared" si="0"/>
        <v>0</v>
      </c>
      <c r="X4" s="80">
        <f t="shared" si="0"/>
        <v>0</v>
      </c>
      <c r="Y4" s="80">
        <f t="shared" si="0"/>
        <v>0</v>
      </c>
      <c r="Z4" s="80">
        <f>Y11</f>
        <v>0</v>
      </c>
      <c r="AA4" s="118">
        <f t="shared" si="0"/>
        <v>0</v>
      </c>
      <c r="AB4" s="118">
        <f t="shared" si="0"/>
        <v>0</v>
      </c>
      <c r="AC4" s="118">
        <f t="shared" si="0"/>
        <v>0</v>
      </c>
      <c r="AD4" s="118">
        <f t="shared" si="0"/>
        <v>0</v>
      </c>
      <c r="AE4" s="118">
        <f t="shared" si="0"/>
        <v>0</v>
      </c>
      <c r="AF4" s="118">
        <f t="shared" si="0"/>
        <v>0</v>
      </c>
      <c r="AG4" s="118">
        <f t="shared" si="0"/>
        <v>0</v>
      </c>
      <c r="AH4" s="118">
        <f t="shared" si="0"/>
        <v>0</v>
      </c>
      <c r="AI4" s="118">
        <f t="shared" si="0"/>
        <v>0</v>
      </c>
      <c r="AJ4" s="118">
        <f t="shared" si="0"/>
        <v>0</v>
      </c>
      <c r="AK4" s="118">
        <f t="shared" si="0"/>
        <v>0</v>
      </c>
      <c r="AL4" s="118">
        <f t="shared" si="0"/>
        <v>0</v>
      </c>
      <c r="AM4" s="118">
        <f t="shared" si="0"/>
        <v>0</v>
      </c>
      <c r="AN4" s="118">
        <f t="shared" si="0"/>
        <v>0</v>
      </c>
      <c r="AO4" s="118">
        <f t="shared" si="0"/>
        <v>0</v>
      </c>
      <c r="AP4" s="118">
        <f t="shared" si="0"/>
        <v>0</v>
      </c>
      <c r="AQ4" s="118">
        <f t="shared" si="0"/>
        <v>0</v>
      </c>
      <c r="AR4" s="118">
        <f t="shared" si="0"/>
        <v>0</v>
      </c>
      <c r="AS4" s="118">
        <f t="shared" si="0"/>
        <v>0</v>
      </c>
      <c r="AT4" s="118">
        <f t="shared" si="0"/>
        <v>0</v>
      </c>
      <c r="AU4" s="118">
        <f t="shared" si="0"/>
        <v>0</v>
      </c>
      <c r="AV4" s="118">
        <f t="shared" si="0"/>
        <v>0</v>
      </c>
      <c r="AW4" s="118">
        <f t="shared" si="0"/>
        <v>0</v>
      </c>
      <c r="AX4" s="118">
        <f t="shared" si="0"/>
        <v>0</v>
      </c>
      <c r="AY4" s="118">
        <f t="shared" si="0"/>
        <v>0</v>
      </c>
      <c r="AZ4" s="118">
        <f t="shared" si="0"/>
        <v>0</v>
      </c>
    </row>
    <row r="5" spans="1:52">
      <c r="A5" s="69" t="s">
        <v>124</v>
      </c>
      <c r="B5" s="76">
        <f>B29</f>
        <v>1020.6762958306085</v>
      </c>
      <c r="C5" s="76">
        <f t="shared" ref="C5:AZ5" si="1">C29</f>
        <v>1426.8080877356767</v>
      </c>
      <c r="D5" s="76">
        <f t="shared" si="1"/>
        <v>1015.9162205584454</v>
      </c>
      <c r="E5" s="76">
        <f t="shared" si="1"/>
        <v>1491.8053412331008</v>
      </c>
      <c r="F5" s="76">
        <f t="shared" si="1"/>
        <v>1892.1628793361308</v>
      </c>
      <c r="G5" s="76">
        <f t="shared" si="1"/>
        <v>2003.3235181475557</v>
      </c>
      <c r="H5" s="76">
        <f t="shared" si="1"/>
        <v>2369.1818951810419</v>
      </c>
      <c r="I5" s="76">
        <f t="shared" si="1"/>
        <v>2670.7728498309539</v>
      </c>
      <c r="J5" s="76">
        <f t="shared" si="1"/>
        <v>3012.9104420197004</v>
      </c>
      <c r="K5" s="76">
        <f t="shared" si="1"/>
        <v>5110.15298843659</v>
      </c>
      <c r="L5" s="76">
        <f t="shared" si="1"/>
        <v>6916.1659819939705</v>
      </c>
      <c r="M5" s="76">
        <f t="shared" si="1"/>
        <v>8121.2890493645837</v>
      </c>
      <c r="N5" s="76">
        <f t="shared" si="1"/>
        <v>10316.431414110602</v>
      </c>
      <c r="O5" s="76">
        <f t="shared" si="1"/>
        <v>13950.552767736332</v>
      </c>
      <c r="P5" s="76">
        <f t="shared" si="1"/>
        <v>21294.109217622921</v>
      </c>
      <c r="Q5" s="76">
        <f t="shared" si="1"/>
        <v>26421.804571259836</v>
      </c>
      <c r="R5" s="76">
        <f t="shared" si="1"/>
        <v>33374.688637099694</v>
      </c>
      <c r="S5" s="76">
        <f t="shared" si="1"/>
        <v>36990.583306344583</v>
      </c>
      <c r="T5" s="76">
        <f t="shared" si="1"/>
        <v>37187.701423418614</v>
      </c>
      <c r="U5" s="76">
        <f t="shared" si="1"/>
        <v>33925.839667752567</v>
      </c>
      <c r="V5" s="76">
        <f t="shared" si="1"/>
        <v>37950.259727064316</v>
      </c>
      <c r="W5" s="76">
        <f t="shared" si="1"/>
        <v>44659.155276256308</v>
      </c>
      <c r="X5" s="76">
        <f t="shared" si="1"/>
        <v>47904.381000000001</v>
      </c>
      <c r="Y5" s="76">
        <f t="shared" si="1"/>
        <v>49510.729999999996</v>
      </c>
      <c r="Z5" s="79">
        <f>Z29</f>
        <v>50345.523000000008</v>
      </c>
      <c r="AA5" s="79">
        <f t="shared" si="1"/>
        <v>48160.59599999999</v>
      </c>
      <c r="AB5" s="79">
        <f t="shared" si="1"/>
        <v>41941.729999999996</v>
      </c>
      <c r="AC5" s="79">
        <f t="shared" si="1"/>
        <v>43233.209000000003</v>
      </c>
      <c r="AD5" s="79">
        <f t="shared" si="1"/>
        <v>48612.317000000003</v>
      </c>
      <c r="AE5" s="79">
        <f t="shared" si="1"/>
        <v>46513.137999999999</v>
      </c>
      <c r="AF5" s="79">
        <f t="shared" si="1"/>
        <v>47282.018000000004</v>
      </c>
      <c r="AG5" s="79">
        <f t="shared" si="1"/>
        <v>45109.88486076898</v>
      </c>
      <c r="AH5" s="79">
        <f t="shared" si="1"/>
        <v>45056.100519556407</v>
      </c>
      <c r="AI5" s="79">
        <f t="shared" si="1"/>
        <v>45427.802482588995</v>
      </c>
      <c r="AJ5" s="79">
        <f t="shared" si="1"/>
        <v>45552.387815767128</v>
      </c>
      <c r="AK5" s="79">
        <f t="shared" si="1"/>
        <v>45962.715689256809</v>
      </c>
      <c r="AL5" s="79">
        <f t="shared" si="1"/>
        <v>46232.039548489003</v>
      </c>
      <c r="AM5" s="79">
        <f t="shared" si="1"/>
        <v>46752.115535411569</v>
      </c>
      <c r="AN5" s="79">
        <f t="shared" si="1"/>
        <v>47139.344866355052</v>
      </c>
      <c r="AO5" s="79">
        <f t="shared" si="1"/>
        <v>47537.792167082815</v>
      </c>
      <c r="AP5" s="79">
        <f t="shared" si="1"/>
        <v>47935.053569322117</v>
      </c>
      <c r="AQ5" s="79">
        <f t="shared" si="1"/>
        <v>48325.826071500698</v>
      </c>
      <c r="AR5" s="79">
        <f t="shared" si="1"/>
        <v>48756.947888792463</v>
      </c>
      <c r="AS5" s="79">
        <f t="shared" si="1"/>
        <v>49171.330545760138</v>
      </c>
      <c r="AT5" s="79">
        <f t="shared" si="1"/>
        <v>49596.822842132606</v>
      </c>
      <c r="AU5" s="79">
        <f t="shared" si="1"/>
        <v>50019.362396015982</v>
      </c>
      <c r="AV5" s="79">
        <f t="shared" si="1"/>
        <v>50447.280380805532</v>
      </c>
      <c r="AW5" s="79">
        <f t="shared" si="1"/>
        <v>50882.592053887529</v>
      </c>
      <c r="AX5" s="79">
        <f t="shared" si="1"/>
        <v>52719.309740148754</v>
      </c>
      <c r="AY5" s="79">
        <f t="shared" si="1"/>
        <v>54036.537462294611</v>
      </c>
      <c r="AZ5" s="79">
        <f t="shared" si="1"/>
        <v>27466.446299793042</v>
      </c>
    </row>
    <row r="6" spans="1:52">
      <c r="A6" s="69" t="s">
        <v>125</v>
      </c>
      <c r="B6" s="76">
        <f>B61</f>
        <v>88.204999427716245</v>
      </c>
      <c r="C6" s="76">
        <f t="shared" ref="C6:AF6" si="2">C61</f>
        <v>103.90899932582698</v>
      </c>
      <c r="D6" s="76">
        <f t="shared" si="2"/>
        <v>81.943999468338333</v>
      </c>
      <c r="E6" s="76">
        <f t="shared" si="2"/>
        <v>123.09599920133962</v>
      </c>
      <c r="F6" s="76">
        <f t="shared" si="2"/>
        <v>106.08699931169586</v>
      </c>
      <c r="G6" s="76">
        <f t="shared" si="2"/>
        <v>133.62799913300682</v>
      </c>
      <c r="H6" s="76">
        <f t="shared" si="2"/>
        <v>146.58799904892095</v>
      </c>
      <c r="I6" s="76">
        <f t="shared" si="2"/>
        <v>125.85699918342596</v>
      </c>
      <c r="J6" s="76">
        <f t="shared" si="2"/>
        <v>112.50299927006817</v>
      </c>
      <c r="K6" s="76">
        <f t="shared" si="2"/>
        <v>105.87999931303894</v>
      </c>
      <c r="L6" s="76">
        <f t="shared" si="2"/>
        <v>106.07999931174128</v>
      </c>
      <c r="M6" s="76">
        <f t="shared" si="2"/>
        <v>116.16099924633465</v>
      </c>
      <c r="N6" s="76">
        <f t="shared" si="2"/>
        <v>117.16899923979464</v>
      </c>
      <c r="O6" s="76">
        <f t="shared" si="2"/>
        <v>190.64899876304833</v>
      </c>
      <c r="P6" s="76">
        <f t="shared" si="2"/>
        <v>144.99799905923706</v>
      </c>
      <c r="Q6" s="76">
        <f t="shared" si="2"/>
        <v>250.93799837188666</v>
      </c>
      <c r="R6" s="76">
        <f t="shared" si="2"/>
        <v>408.66299734854948</v>
      </c>
      <c r="S6" s="76">
        <f t="shared" si="2"/>
        <v>428.60599721915713</v>
      </c>
      <c r="T6" s="76">
        <f t="shared" si="2"/>
        <v>350.55699772554755</v>
      </c>
      <c r="U6" s="76">
        <f t="shared" si="2"/>
        <v>414.84599730843354</v>
      </c>
      <c r="V6" s="76">
        <f t="shared" si="2"/>
        <v>476.47499690857774</v>
      </c>
      <c r="W6" s="76">
        <f t="shared" si="2"/>
        <v>429.02799721641912</v>
      </c>
      <c r="X6" s="76">
        <f t="shared" si="2"/>
        <v>338.36999780461821</v>
      </c>
      <c r="Y6" s="76">
        <f t="shared" si="2"/>
        <v>296.01299929513169</v>
      </c>
      <c r="Z6" s="76">
        <f t="shared" si="2"/>
        <v>327.86500000000001</v>
      </c>
      <c r="AA6" s="76">
        <f t="shared" si="2"/>
        <v>301.40499999999997</v>
      </c>
      <c r="AB6" s="76">
        <f t="shared" si="2"/>
        <v>285.38900000000001</v>
      </c>
      <c r="AC6" s="76">
        <f t="shared" si="2"/>
        <v>221.48199999999997</v>
      </c>
      <c r="AD6" s="76">
        <f t="shared" si="2"/>
        <v>152.50200000000001</v>
      </c>
      <c r="AE6" s="76">
        <f t="shared" si="2"/>
        <v>172.75899999999999</v>
      </c>
      <c r="AF6" s="76">
        <f t="shared" si="2"/>
        <v>157.17499999999998</v>
      </c>
      <c r="AG6" s="79">
        <f>300-200</f>
        <v>100</v>
      </c>
      <c r="AH6" s="79">
        <f>300-200</f>
        <v>100</v>
      </c>
      <c r="AI6" s="79">
        <f t="shared" ref="AI6:AZ6" si="3">300-200</f>
        <v>100</v>
      </c>
      <c r="AJ6" s="79">
        <f t="shared" si="3"/>
        <v>100</v>
      </c>
      <c r="AK6" s="79">
        <f t="shared" si="3"/>
        <v>100</v>
      </c>
      <c r="AL6" s="79">
        <f t="shared" si="3"/>
        <v>100</v>
      </c>
      <c r="AM6" s="79">
        <f t="shared" si="3"/>
        <v>100</v>
      </c>
      <c r="AN6" s="79">
        <f t="shared" si="3"/>
        <v>100</v>
      </c>
      <c r="AO6" s="79">
        <f t="shared" si="3"/>
        <v>100</v>
      </c>
      <c r="AP6" s="79">
        <f t="shared" si="3"/>
        <v>100</v>
      </c>
      <c r="AQ6" s="79">
        <f t="shared" si="3"/>
        <v>100</v>
      </c>
      <c r="AR6" s="79">
        <f t="shared" si="3"/>
        <v>100</v>
      </c>
      <c r="AS6" s="79">
        <f t="shared" si="3"/>
        <v>100</v>
      </c>
      <c r="AT6" s="79">
        <f t="shared" si="3"/>
        <v>100</v>
      </c>
      <c r="AU6" s="79">
        <f t="shared" si="3"/>
        <v>100</v>
      </c>
      <c r="AV6" s="79">
        <f t="shared" si="3"/>
        <v>100</v>
      </c>
      <c r="AW6" s="79">
        <f t="shared" si="3"/>
        <v>100</v>
      </c>
      <c r="AX6" s="79">
        <f t="shared" si="3"/>
        <v>100</v>
      </c>
      <c r="AY6" s="79">
        <f t="shared" si="3"/>
        <v>100</v>
      </c>
      <c r="AZ6" s="79">
        <f t="shared" si="3"/>
        <v>100</v>
      </c>
    </row>
    <row r="7" spans="1:52">
      <c r="A7" s="82" t="s">
        <v>126</v>
      </c>
      <c r="B7" s="80">
        <f>SUM(B4:B6)</f>
        <v>1108.8812952583248</v>
      </c>
      <c r="C7" s="80">
        <f t="shared" ref="C7:AZ7" si="4">SUM(C4:C6)</f>
        <v>1530.7170870615037</v>
      </c>
      <c r="D7" s="80">
        <f t="shared" si="4"/>
        <v>1097.8602200267837</v>
      </c>
      <c r="E7" s="80">
        <f t="shared" si="4"/>
        <v>1614.9013404344405</v>
      </c>
      <c r="F7" s="80">
        <f t="shared" si="4"/>
        <v>1998.2498786478266</v>
      </c>
      <c r="G7" s="80">
        <f t="shared" si="4"/>
        <v>2136.9515172805623</v>
      </c>
      <c r="H7" s="80">
        <f t="shared" si="4"/>
        <v>2515.769894229963</v>
      </c>
      <c r="I7" s="80">
        <f t="shared" si="4"/>
        <v>2796.6298490143799</v>
      </c>
      <c r="J7" s="80">
        <f t="shared" si="4"/>
        <v>3125.4134412897688</v>
      </c>
      <c r="K7" s="80">
        <f t="shared" si="4"/>
        <v>5216.0329877496288</v>
      </c>
      <c r="L7" s="80">
        <f t="shared" si="4"/>
        <v>7022.2459813057121</v>
      </c>
      <c r="M7" s="80">
        <f t="shared" si="4"/>
        <v>8237.4500486109191</v>
      </c>
      <c r="N7" s="80">
        <f t="shared" si="4"/>
        <v>10433.600413350398</v>
      </c>
      <c r="O7" s="80">
        <f t="shared" si="4"/>
        <v>14141.20176649938</v>
      </c>
      <c r="P7" s="80">
        <f t="shared" si="4"/>
        <v>21439.107216682158</v>
      </c>
      <c r="Q7" s="80">
        <f t="shared" si="4"/>
        <v>26672.742569631722</v>
      </c>
      <c r="R7" s="80">
        <f t="shared" si="4"/>
        <v>33783.351634448241</v>
      </c>
      <c r="S7" s="80">
        <f t="shared" si="4"/>
        <v>37419.18930356374</v>
      </c>
      <c r="T7" s="80">
        <f t="shared" si="4"/>
        <v>37538.258421144164</v>
      </c>
      <c r="U7" s="80">
        <f t="shared" si="4"/>
        <v>34340.685665060999</v>
      </c>
      <c r="V7" s="80">
        <f t="shared" si="4"/>
        <v>38426.734723972892</v>
      </c>
      <c r="W7" s="80">
        <f t="shared" si="4"/>
        <v>45088.183273472729</v>
      </c>
      <c r="X7" s="80">
        <f t="shared" si="4"/>
        <v>48242.750997804622</v>
      </c>
      <c r="Y7" s="80">
        <f t="shared" si="4"/>
        <v>49806.742999295129</v>
      </c>
      <c r="Z7" s="118">
        <f>SUM(Z4:Z6)</f>
        <v>50673.388000000006</v>
      </c>
      <c r="AA7" s="118">
        <f t="shared" si="4"/>
        <v>48462.000999999989</v>
      </c>
      <c r="AB7" s="118">
        <f t="shared" si="4"/>
        <v>42227.118999999999</v>
      </c>
      <c r="AC7" s="118">
        <f t="shared" si="4"/>
        <v>43454.691000000006</v>
      </c>
      <c r="AD7" s="118">
        <f t="shared" si="4"/>
        <v>48764.819000000003</v>
      </c>
      <c r="AE7" s="118">
        <f t="shared" si="4"/>
        <v>46685.896999999997</v>
      </c>
      <c r="AF7" s="118">
        <f t="shared" si="4"/>
        <v>47439.193000000007</v>
      </c>
      <c r="AG7" s="118">
        <f t="shared" si="4"/>
        <v>45209.88486076898</v>
      </c>
      <c r="AH7" s="118">
        <f t="shared" si="4"/>
        <v>45156.100519556407</v>
      </c>
      <c r="AI7" s="118">
        <f t="shared" si="4"/>
        <v>45527.802482588995</v>
      </c>
      <c r="AJ7" s="118">
        <f t="shared" si="4"/>
        <v>45652.387815767128</v>
      </c>
      <c r="AK7" s="118">
        <f t="shared" si="4"/>
        <v>46062.715689256809</v>
      </c>
      <c r="AL7" s="118">
        <f t="shared" si="4"/>
        <v>46332.039548489003</v>
      </c>
      <c r="AM7" s="118">
        <f t="shared" si="4"/>
        <v>46852.115535411569</v>
      </c>
      <c r="AN7" s="118">
        <f t="shared" si="4"/>
        <v>47239.344866355052</v>
      </c>
      <c r="AO7" s="118">
        <f t="shared" si="4"/>
        <v>47637.792167082815</v>
      </c>
      <c r="AP7" s="118">
        <f t="shared" si="4"/>
        <v>48035.053569322117</v>
      </c>
      <c r="AQ7" s="118">
        <f t="shared" si="4"/>
        <v>48425.826071500698</v>
      </c>
      <c r="AR7" s="118">
        <f t="shared" si="4"/>
        <v>48856.947888792463</v>
      </c>
      <c r="AS7" s="118">
        <f t="shared" si="4"/>
        <v>49271.330545760138</v>
      </c>
      <c r="AT7" s="118">
        <f t="shared" si="4"/>
        <v>49696.822842132606</v>
      </c>
      <c r="AU7" s="118">
        <f t="shared" si="4"/>
        <v>50119.362396015982</v>
      </c>
      <c r="AV7" s="118">
        <f t="shared" si="4"/>
        <v>50547.280380805532</v>
      </c>
      <c r="AW7" s="118">
        <f t="shared" si="4"/>
        <v>50982.592053887529</v>
      </c>
      <c r="AX7" s="118">
        <f t="shared" si="4"/>
        <v>52819.309740148754</v>
      </c>
      <c r="AY7" s="118">
        <f t="shared" si="4"/>
        <v>54136.537462294611</v>
      </c>
      <c r="AZ7" s="118">
        <f t="shared" si="4"/>
        <v>27566.446299793042</v>
      </c>
    </row>
    <row r="8" spans="1:52">
      <c r="A8" s="69" t="s">
        <v>127</v>
      </c>
      <c r="B8" s="76">
        <f>B10-B9</f>
        <v>850.66929693363272</v>
      </c>
      <c r="C8" s="76">
        <f t="shared" ref="C8:AZ8" si="5">C10-C9</f>
        <v>771.16409198956717</v>
      </c>
      <c r="D8" s="76">
        <f t="shared" si="5"/>
        <v>451.62622421962089</v>
      </c>
      <c r="E8" s="76">
        <f t="shared" si="5"/>
        <v>943.22234479236783</v>
      </c>
      <c r="F8" s="76">
        <f t="shared" si="5"/>
        <v>1393.4228825720106</v>
      </c>
      <c r="G8" s="76">
        <f t="shared" si="5"/>
        <v>1416.8335219527671</v>
      </c>
      <c r="H8" s="76">
        <f t="shared" si="5"/>
        <v>1742.7138992456355</v>
      </c>
      <c r="I8" s="76">
        <f t="shared" si="5"/>
        <v>2014.1288540913324</v>
      </c>
      <c r="J8" s="76">
        <f t="shared" si="5"/>
        <v>2269.5224468428837</v>
      </c>
      <c r="K8" s="76">
        <f t="shared" si="5"/>
        <v>4463.7969926302185</v>
      </c>
      <c r="L8" s="76">
        <f t="shared" si="5"/>
        <v>6284.3809860930614</v>
      </c>
      <c r="M8" s="76">
        <f t="shared" si="5"/>
        <v>7270.0620548874385</v>
      </c>
      <c r="N8" s="76">
        <f t="shared" si="5"/>
        <v>9204.2654213264577</v>
      </c>
      <c r="O8" s="76">
        <f t="shared" si="5"/>
        <v>12361.323778047425</v>
      </c>
      <c r="P8" s="76">
        <f t="shared" si="5"/>
        <v>17518.444242119851</v>
      </c>
      <c r="Q8" s="76">
        <f t="shared" si="5"/>
        <v>21704.148601868506</v>
      </c>
      <c r="R8" s="76">
        <f t="shared" si="5"/>
        <v>25504.48468816244</v>
      </c>
      <c r="S8" s="76">
        <f t="shared" si="5"/>
        <v>29132.040357331673</v>
      </c>
      <c r="T8" s="76">
        <f t="shared" si="5"/>
        <v>29953.548470354599</v>
      </c>
      <c r="U8" s="76">
        <f t="shared" si="5"/>
        <v>26155.254718168977</v>
      </c>
      <c r="V8" s="76">
        <f t="shared" si="5"/>
        <v>26422.257801859261</v>
      </c>
      <c r="W8" s="76">
        <f t="shared" si="5"/>
        <v>33461.289348909297</v>
      </c>
      <c r="X8" s="76">
        <f t="shared" si="5"/>
        <v>36607.376073296211</v>
      </c>
      <c r="Y8" s="76">
        <f t="shared" si="5"/>
        <v>38746.488023848193</v>
      </c>
      <c r="Z8" s="79">
        <f t="shared" si="5"/>
        <v>39042.068000000007</v>
      </c>
      <c r="AA8" s="79">
        <f t="shared" si="5"/>
        <v>37186.572999999989</v>
      </c>
      <c r="AB8" s="79">
        <f t="shared" si="5"/>
        <v>31737.101999999999</v>
      </c>
      <c r="AC8" s="79">
        <f t="shared" si="5"/>
        <v>31897.532000000007</v>
      </c>
      <c r="AD8" s="79">
        <f t="shared" si="5"/>
        <v>37198.754000000001</v>
      </c>
      <c r="AE8" s="79">
        <f t="shared" si="5"/>
        <v>36393.257999999994</v>
      </c>
      <c r="AF8" s="79">
        <f t="shared" si="5"/>
        <v>35589.214000000007</v>
      </c>
      <c r="AG8" s="79">
        <f t="shared" si="5"/>
        <v>33459.88486076898</v>
      </c>
      <c r="AH8" s="79">
        <f t="shared" si="5"/>
        <v>33906.100519556407</v>
      </c>
      <c r="AI8" s="79">
        <f t="shared" si="5"/>
        <v>34277.802482588995</v>
      </c>
      <c r="AJ8" s="79">
        <f t="shared" si="5"/>
        <v>34402.387815767128</v>
      </c>
      <c r="AK8" s="79">
        <f t="shared" si="5"/>
        <v>34812.715689256809</v>
      </c>
      <c r="AL8" s="79">
        <f t="shared" si="5"/>
        <v>35082.039548489003</v>
      </c>
      <c r="AM8" s="79">
        <f t="shared" si="5"/>
        <v>35602.115535411569</v>
      </c>
      <c r="AN8" s="79">
        <f t="shared" si="5"/>
        <v>35989.344866355052</v>
      </c>
      <c r="AO8" s="79">
        <f t="shared" si="5"/>
        <v>36387.792167082815</v>
      </c>
      <c r="AP8" s="79">
        <f t="shared" si="5"/>
        <v>36785.053569322117</v>
      </c>
      <c r="AQ8" s="79">
        <f t="shared" si="5"/>
        <v>37175.826071500698</v>
      </c>
      <c r="AR8" s="79">
        <f t="shared" si="5"/>
        <v>37606.947888792463</v>
      </c>
      <c r="AS8" s="79">
        <f t="shared" si="5"/>
        <v>38021.330545760138</v>
      </c>
      <c r="AT8" s="79">
        <f t="shared" si="5"/>
        <v>38446.822842132606</v>
      </c>
      <c r="AU8" s="79">
        <f t="shared" si="5"/>
        <v>38869.362396015982</v>
      </c>
      <c r="AV8" s="79">
        <f t="shared" si="5"/>
        <v>39297.280380805532</v>
      </c>
      <c r="AW8" s="79">
        <f t="shared" si="5"/>
        <v>39732.592053887529</v>
      </c>
      <c r="AX8" s="79">
        <f t="shared" si="5"/>
        <v>41569.309740148754</v>
      </c>
      <c r="AY8" s="79">
        <f t="shared" si="5"/>
        <v>42886.537462294611</v>
      </c>
      <c r="AZ8" s="79">
        <f t="shared" si="5"/>
        <v>16316.446299793042</v>
      </c>
    </row>
    <row r="9" spans="1:52">
      <c r="A9" s="69" t="s">
        <v>128</v>
      </c>
      <c r="B9" s="76">
        <f>B77</f>
        <v>258.21199832469216</v>
      </c>
      <c r="C9" s="76">
        <f t="shared" ref="C9:AF9" si="6">C77</f>
        <v>759.55299507193649</v>
      </c>
      <c r="D9" s="76">
        <f t="shared" si="6"/>
        <v>646.23399580716284</v>
      </c>
      <c r="E9" s="76">
        <f t="shared" si="6"/>
        <v>671.67899564207266</v>
      </c>
      <c r="F9" s="76">
        <f t="shared" si="6"/>
        <v>604.82699607581583</v>
      </c>
      <c r="G9" s="76">
        <f t="shared" si="6"/>
        <v>720.11799532779526</v>
      </c>
      <c r="H9" s="76">
        <f t="shared" si="6"/>
        <v>773.05599498432753</v>
      </c>
      <c r="I9" s="76">
        <f t="shared" si="6"/>
        <v>782.50099492304753</v>
      </c>
      <c r="J9" s="76">
        <f t="shared" si="6"/>
        <v>855.89099444688509</v>
      </c>
      <c r="K9" s="76">
        <f t="shared" si="6"/>
        <v>752.23599511941018</v>
      </c>
      <c r="L9" s="76">
        <f t="shared" si="6"/>
        <v>737.8649952126508</v>
      </c>
      <c r="M9" s="76">
        <f t="shared" si="6"/>
        <v>967.38799372348024</v>
      </c>
      <c r="N9" s="76">
        <f t="shared" si="6"/>
        <v>1229.3349920239393</v>
      </c>
      <c r="O9" s="76">
        <f t="shared" si="6"/>
        <v>1779.8779884519558</v>
      </c>
      <c r="P9" s="76">
        <f t="shared" si="6"/>
        <v>3920.6629745623068</v>
      </c>
      <c r="Q9" s="76">
        <f t="shared" si="6"/>
        <v>4968.5939677632159</v>
      </c>
      <c r="R9" s="76">
        <f t="shared" si="6"/>
        <v>8278.8669462858015</v>
      </c>
      <c r="S9" s="76">
        <f t="shared" si="6"/>
        <v>8287.148946232066</v>
      </c>
      <c r="T9" s="76">
        <f t="shared" si="6"/>
        <v>7584.7099507895655</v>
      </c>
      <c r="U9" s="76">
        <f t="shared" si="6"/>
        <v>8185.4309468920219</v>
      </c>
      <c r="V9" s="76">
        <f t="shared" si="6"/>
        <v>12004.476922113632</v>
      </c>
      <c r="W9" s="76">
        <f t="shared" si="6"/>
        <v>11626.893924563432</v>
      </c>
      <c r="X9" s="76">
        <f t="shared" si="6"/>
        <v>11635.374924508407</v>
      </c>
      <c r="Y9" s="76">
        <f t="shared" si="6"/>
        <v>11060.254975446935</v>
      </c>
      <c r="Z9" s="76">
        <f t="shared" si="6"/>
        <v>11631.32</v>
      </c>
      <c r="AA9" s="76">
        <f t="shared" si="6"/>
        <v>11275.427999999998</v>
      </c>
      <c r="AB9" s="76">
        <f t="shared" si="6"/>
        <v>10490.017</v>
      </c>
      <c r="AC9" s="76">
        <f t="shared" si="6"/>
        <v>11557.159</v>
      </c>
      <c r="AD9" s="76">
        <f t="shared" si="6"/>
        <v>11566.065000000001</v>
      </c>
      <c r="AE9" s="76">
        <f t="shared" si="6"/>
        <v>10292.639000000001</v>
      </c>
      <c r="AF9" s="76">
        <f t="shared" si="6"/>
        <v>11849.978999999999</v>
      </c>
      <c r="AG9" s="79">
        <f>11000+750</f>
        <v>11750</v>
      </c>
      <c r="AH9" s="79">
        <v>11250</v>
      </c>
      <c r="AI9" s="79">
        <v>11250</v>
      </c>
      <c r="AJ9" s="79">
        <v>11250</v>
      </c>
      <c r="AK9" s="79">
        <v>11250</v>
      </c>
      <c r="AL9" s="79">
        <v>11250</v>
      </c>
      <c r="AM9" s="79">
        <v>11250</v>
      </c>
      <c r="AN9" s="79">
        <v>11250</v>
      </c>
      <c r="AO9" s="79">
        <v>11250</v>
      </c>
      <c r="AP9" s="79">
        <v>11250</v>
      </c>
      <c r="AQ9" s="79">
        <v>11250</v>
      </c>
      <c r="AR9" s="79">
        <v>11250</v>
      </c>
      <c r="AS9" s="79">
        <v>11250</v>
      </c>
      <c r="AT9" s="79">
        <v>11250</v>
      </c>
      <c r="AU9" s="79">
        <v>11250</v>
      </c>
      <c r="AV9" s="79">
        <v>11250</v>
      </c>
      <c r="AW9" s="79">
        <v>11250</v>
      </c>
      <c r="AX9" s="79">
        <v>11250</v>
      </c>
      <c r="AY9" s="79">
        <v>11250</v>
      </c>
      <c r="AZ9" s="79">
        <v>11250</v>
      </c>
    </row>
    <row r="10" spans="1:52">
      <c r="A10" s="82" t="s">
        <v>129</v>
      </c>
      <c r="B10" s="80">
        <f>B7-B11</f>
        <v>1108.8812952583248</v>
      </c>
      <c r="C10" s="80">
        <f t="shared" ref="C10:AZ10" si="7">C7-C11</f>
        <v>1530.7170870615037</v>
      </c>
      <c r="D10" s="80">
        <f t="shared" si="7"/>
        <v>1097.8602200267837</v>
      </c>
      <c r="E10" s="80">
        <f t="shared" si="7"/>
        <v>1614.9013404344405</v>
      </c>
      <c r="F10" s="80">
        <f t="shared" si="7"/>
        <v>1998.2498786478266</v>
      </c>
      <c r="G10" s="80">
        <f t="shared" si="7"/>
        <v>2136.9515172805623</v>
      </c>
      <c r="H10" s="80">
        <f t="shared" si="7"/>
        <v>2515.769894229963</v>
      </c>
      <c r="I10" s="80">
        <f t="shared" si="7"/>
        <v>2796.6298490143799</v>
      </c>
      <c r="J10" s="80">
        <f t="shared" si="7"/>
        <v>3125.4134412897688</v>
      </c>
      <c r="K10" s="80">
        <f t="shared" si="7"/>
        <v>5216.0329877496288</v>
      </c>
      <c r="L10" s="80">
        <f t="shared" si="7"/>
        <v>7022.2459813057121</v>
      </c>
      <c r="M10" s="80">
        <f t="shared" si="7"/>
        <v>8237.4500486109191</v>
      </c>
      <c r="N10" s="80">
        <f t="shared" si="7"/>
        <v>10433.600413350398</v>
      </c>
      <c r="O10" s="80">
        <f t="shared" si="7"/>
        <v>14141.20176649938</v>
      </c>
      <c r="P10" s="80">
        <f t="shared" si="7"/>
        <v>21439.107216682158</v>
      </c>
      <c r="Q10" s="80">
        <f t="shared" si="7"/>
        <v>26672.742569631722</v>
      </c>
      <c r="R10" s="80">
        <f t="shared" si="7"/>
        <v>33783.351634448241</v>
      </c>
      <c r="S10" s="80">
        <f t="shared" si="7"/>
        <v>37419.18930356374</v>
      </c>
      <c r="T10" s="80">
        <f t="shared" si="7"/>
        <v>37538.258421144164</v>
      </c>
      <c r="U10" s="80">
        <f t="shared" si="7"/>
        <v>34340.685665060999</v>
      </c>
      <c r="V10" s="80">
        <f t="shared" si="7"/>
        <v>38426.734723972892</v>
      </c>
      <c r="W10" s="80">
        <f t="shared" si="7"/>
        <v>45088.183273472729</v>
      </c>
      <c r="X10" s="80">
        <f t="shared" si="7"/>
        <v>48242.750997804622</v>
      </c>
      <c r="Y10" s="80">
        <f t="shared" si="7"/>
        <v>49806.742999295129</v>
      </c>
      <c r="Z10" s="118">
        <f t="shared" si="7"/>
        <v>50673.388000000006</v>
      </c>
      <c r="AA10" s="118">
        <f t="shared" si="7"/>
        <v>48462.000999999989</v>
      </c>
      <c r="AB10" s="118">
        <f t="shared" si="7"/>
        <v>42227.118999999999</v>
      </c>
      <c r="AC10" s="118">
        <f t="shared" si="7"/>
        <v>43454.691000000006</v>
      </c>
      <c r="AD10" s="118">
        <f t="shared" si="7"/>
        <v>48764.819000000003</v>
      </c>
      <c r="AE10" s="118">
        <f t="shared" si="7"/>
        <v>46685.896999999997</v>
      </c>
      <c r="AF10" s="118">
        <f t="shared" si="7"/>
        <v>47439.193000000007</v>
      </c>
      <c r="AG10" s="118">
        <f t="shared" si="7"/>
        <v>45209.88486076898</v>
      </c>
      <c r="AH10" s="118">
        <f t="shared" si="7"/>
        <v>45156.100519556407</v>
      </c>
      <c r="AI10" s="118">
        <f t="shared" si="7"/>
        <v>45527.802482588995</v>
      </c>
      <c r="AJ10" s="118">
        <f t="shared" si="7"/>
        <v>45652.387815767128</v>
      </c>
      <c r="AK10" s="118">
        <f t="shared" si="7"/>
        <v>46062.715689256809</v>
      </c>
      <c r="AL10" s="118">
        <f t="shared" si="7"/>
        <v>46332.039548489003</v>
      </c>
      <c r="AM10" s="118">
        <f t="shared" si="7"/>
        <v>46852.115535411569</v>
      </c>
      <c r="AN10" s="118">
        <f t="shared" si="7"/>
        <v>47239.344866355052</v>
      </c>
      <c r="AO10" s="118">
        <f t="shared" si="7"/>
        <v>47637.792167082815</v>
      </c>
      <c r="AP10" s="118">
        <f t="shared" si="7"/>
        <v>48035.053569322117</v>
      </c>
      <c r="AQ10" s="118">
        <f t="shared" si="7"/>
        <v>48425.826071500698</v>
      </c>
      <c r="AR10" s="118">
        <f t="shared" si="7"/>
        <v>48856.947888792463</v>
      </c>
      <c r="AS10" s="118">
        <f t="shared" si="7"/>
        <v>49271.330545760138</v>
      </c>
      <c r="AT10" s="118">
        <f t="shared" si="7"/>
        <v>49696.822842132606</v>
      </c>
      <c r="AU10" s="118">
        <f t="shared" si="7"/>
        <v>50119.362396015982</v>
      </c>
      <c r="AV10" s="118">
        <f t="shared" si="7"/>
        <v>50547.280380805532</v>
      </c>
      <c r="AW10" s="118">
        <f t="shared" si="7"/>
        <v>50982.592053887529</v>
      </c>
      <c r="AX10" s="118">
        <f t="shared" si="7"/>
        <v>52819.309740148754</v>
      </c>
      <c r="AY10" s="118">
        <f t="shared" si="7"/>
        <v>54136.537462294611</v>
      </c>
      <c r="AZ10" s="118">
        <f t="shared" si="7"/>
        <v>27566.446299793042</v>
      </c>
    </row>
    <row r="11" spans="1:52">
      <c r="A11" s="69" t="s">
        <v>333</v>
      </c>
      <c r="B11" s="76">
        <v>0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0</v>
      </c>
      <c r="Z11" s="79">
        <v>0</v>
      </c>
      <c r="AA11" s="79">
        <v>0</v>
      </c>
      <c r="AB11" s="79">
        <v>0</v>
      </c>
      <c r="AC11" s="79">
        <v>0</v>
      </c>
      <c r="AD11" s="79">
        <v>0</v>
      </c>
      <c r="AE11" s="79">
        <v>0</v>
      </c>
      <c r="AF11" s="79">
        <v>0</v>
      </c>
      <c r="AG11" s="79">
        <v>0</v>
      </c>
      <c r="AH11" s="79">
        <v>0</v>
      </c>
      <c r="AI11" s="79">
        <v>0</v>
      </c>
      <c r="AJ11" s="79">
        <v>0</v>
      </c>
      <c r="AK11" s="79">
        <v>0</v>
      </c>
      <c r="AL11" s="79">
        <v>0</v>
      </c>
      <c r="AM11" s="79">
        <v>0</v>
      </c>
      <c r="AN11" s="79">
        <v>0</v>
      </c>
      <c r="AO11" s="79">
        <v>0</v>
      </c>
      <c r="AP11" s="79">
        <v>0</v>
      </c>
      <c r="AQ11" s="79">
        <v>0</v>
      </c>
      <c r="AR11" s="79">
        <v>0</v>
      </c>
      <c r="AS11" s="79">
        <v>0</v>
      </c>
      <c r="AT11" s="79">
        <v>0</v>
      </c>
      <c r="AU11" s="79">
        <v>0</v>
      </c>
      <c r="AV11" s="79">
        <v>0</v>
      </c>
      <c r="AW11" s="79">
        <v>0</v>
      </c>
      <c r="AX11" s="79">
        <v>0</v>
      </c>
      <c r="AY11" s="79">
        <v>0</v>
      </c>
      <c r="AZ11" s="79">
        <v>0</v>
      </c>
    </row>
    <row r="12" spans="1:52" ht="12" thickBot="1">
      <c r="A12" s="69" t="s">
        <v>334</v>
      </c>
    </row>
    <row r="13" spans="1:52">
      <c r="A13" s="201" t="s">
        <v>335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</row>
    <row r="14" spans="1:52">
      <c r="B14" s="69">
        <v>1993</v>
      </c>
      <c r="C14" s="69">
        <v>1994</v>
      </c>
      <c r="D14" s="69">
        <v>1995</v>
      </c>
      <c r="E14" s="69">
        <v>1996</v>
      </c>
      <c r="F14" s="69">
        <v>1997</v>
      </c>
      <c r="G14" s="69">
        <v>1998</v>
      </c>
      <c r="H14" s="69">
        <v>1999</v>
      </c>
      <c r="I14" s="69">
        <v>2000</v>
      </c>
      <c r="J14" s="69">
        <v>2001</v>
      </c>
      <c r="K14" s="69">
        <v>2002</v>
      </c>
      <c r="L14" s="69">
        <v>2003</v>
      </c>
      <c r="M14" s="69">
        <v>2004</v>
      </c>
      <c r="N14" s="69">
        <v>2005</v>
      </c>
      <c r="O14" s="69">
        <v>2006</v>
      </c>
      <c r="P14" s="69">
        <v>2007</v>
      </c>
      <c r="Q14" s="69">
        <v>2008</v>
      </c>
      <c r="R14" s="69">
        <v>2009</v>
      </c>
      <c r="S14" s="69">
        <v>2010</v>
      </c>
      <c r="T14" s="69">
        <v>2011</v>
      </c>
      <c r="U14" s="69">
        <v>2012</v>
      </c>
      <c r="V14" s="69">
        <v>2013</v>
      </c>
      <c r="W14" s="69">
        <v>2014</v>
      </c>
      <c r="X14" s="69">
        <v>2015</v>
      </c>
      <c r="Y14" s="69">
        <v>2016</v>
      </c>
      <c r="Z14" s="69">
        <v>2017</v>
      </c>
      <c r="AA14" s="69">
        <v>2018</v>
      </c>
      <c r="AB14" s="69">
        <v>2019</v>
      </c>
      <c r="AC14" s="69">
        <v>2020</v>
      </c>
      <c r="AD14" s="69">
        <v>2021</v>
      </c>
      <c r="AE14" s="69">
        <v>2022</v>
      </c>
      <c r="AF14" s="69">
        <v>2023</v>
      </c>
      <c r="AG14" s="69">
        <v>2024</v>
      </c>
      <c r="AH14" s="69">
        <v>2025</v>
      </c>
      <c r="AI14" s="69">
        <v>2026</v>
      </c>
      <c r="AJ14" s="69">
        <v>2027</v>
      </c>
      <c r="AK14" s="69">
        <v>2028</v>
      </c>
      <c r="AL14" s="69">
        <v>2029</v>
      </c>
      <c r="AM14" s="69">
        <v>2030</v>
      </c>
      <c r="AN14" s="69">
        <v>2031</v>
      </c>
      <c r="AO14" s="69">
        <v>2032</v>
      </c>
      <c r="AP14" s="69">
        <v>2033</v>
      </c>
      <c r="AQ14" s="69">
        <v>2034</v>
      </c>
      <c r="AR14" s="69">
        <v>2035</v>
      </c>
      <c r="AS14" s="69">
        <v>2036</v>
      </c>
      <c r="AT14" s="69">
        <v>2037</v>
      </c>
      <c r="AU14" s="69">
        <v>2038</v>
      </c>
      <c r="AV14" s="69">
        <v>2039</v>
      </c>
      <c r="AW14" s="69">
        <v>2040</v>
      </c>
      <c r="AX14" s="69">
        <v>2041</v>
      </c>
      <c r="AY14" s="69">
        <v>2042</v>
      </c>
      <c r="AZ14" s="69">
        <v>2042</v>
      </c>
    </row>
    <row r="15" spans="1:52" ht="12" thickBot="1">
      <c r="A15" s="69" t="s">
        <v>349</v>
      </c>
    </row>
    <row r="16" spans="1:52" ht="12" thickBot="1">
      <c r="A16" s="202"/>
      <c r="B16" s="203" t="str">
        <f>B$2</f>
        <v xml:space="preserve">93/94 </v>
      </c>
      <c r="C16" s="203" t="str">
        <f t="shared" ref="C16:AZ16" si="8">C$2</f>
        <v xml:space="preserve">94/95 </v>
      </c>
      <c r="D16" s="203" t="str">
        <f t="shared" si="8"/>
        <v xml:space="preserve">95/96 </v>
      </c>
      <c r="E16" s="203" t="str">
        <f t="shared" si="8"/>
        <v xml:space="preserve">96/97 </v>
      </c>
      <c r="F16" s="203" t="str">
        <f t="shared" si="8"/>
        <v xml:space="preserve">97/98 </v>
      </c>
      <c r="G16" s="203" t="str">
        <f t="shared" si="8"/>
        <v xml:space="preserve">98/99 </v>
      </c>
      <c r="H16" s="203" t="str">
        <f t="shared" si="8"/>
        <v xml:space="preserve">99/00 </v>
      </c>
      <c r="I16" s="203" t="str">
        <f t="shared" si="8"/>
        <v xml:space="preserve">00/01 </v>
      </c>
      <c r="J16" s="203" t="str">
        <f t="shared" si="8"/>
        <v xml:space="preserve">01/02 </v>
      </c>
      <c r="K16" s="203" t="str">
        <f t="shared" si="8"/>
        <v xml:space="preserve">02/03 </v>
      </c>
      <c r="L16" s="203" t="str">
        <f t="shared" si="8"/>
        <v xml:space="preserve">03/04 </v>
      </c>
      <c r="M16" s="203" t="str">
        <f t="shared" si="8"/>
        <v xml:space="preserve">04/05 </v>
      </c>
      <c r="N16" s="203" t="str">
        <f t="shared" si="8"/>
        <v xml:space="preserve">05/06 </v>
      </c>
      <c r="O16" s="203" t="str">
        <f t="shared" si="8"/>
        <v xml:space="preserve">06/07 </v>
      </c>
      <c r="P16" s="203" t="str">
        <f t="shared" si="8"/>
        <v xml:space="preserve">07/08 </v>
      </c>
      <c r="Q16" s="203" t="str">
        <f t="shared" si="8"/>
        <v xml:space="preserve">08/09 </v>
      </c>
      <c r="R16" s="203" t="str">
        <f t="shared" si="8"/>
        <v xml:space="preserve">09/10 </v>
      </c>
      <c r="S16" s="203" t="str">
        <f t="shared" si="8"/>
        <v xml:space="preserve">10/11 </v>
      </c>
      <c r="T16" s="203" t="str">
        <f t="shared" si="8"/>
        <v xml:space="preserve">11/12 </v>
      </c>
      <c r="U16" s="203" t="str">
        <f t="shared" si="8"/>
        <v xml:space="preserve">12/13 </v>
      </c>
      <c r="V16" s="203" t="str">
        <f t="shared" si="8"/>
        <v xml:space="preserve">13/14 </v>
      </c>
      <c r="W16" s="203" t="str">
        <f t="shared" si="8"/>
        <v xml:space="preserve">14/15 </v>
      </c>
      <c r="X16" s="203" t="str">
        <f t="shared" si="8"/>
        <v xml:space="preserve">15/16 </v>
      </c>
      <c r="Y16" s="203" t="str">
        <f t="shared" si="8"/>
        <v xml:space="preserve">16/17 </v>
      </c>
      <c r="Z16" s="203" t="str">
        <f t="shared" si="8"/>
        <v xml:space="preserve">17/18 </v>
      </c>
      <c r="AA16" s="203" t="str">
        <f t="shared" si="8"/>
        <v xml:space="preserve">18/19 </v>
      </c>
      <c r="AB16" s="203" t="str">
        <f t="shared" si="8"/>
        <v xml:space="preserve">19/20 </v>
      </c>
      <c r="AC16" s="203" t="str">
        <f t="shared" si="8"/>
        <v xml:space="preserve">20/21 </v>
      </c>
      <c r="AD16" s="203" t="str">
        <f t="shared" si="8"/>
        <v>21/22</v>
      </c>
      <c r="AE16" s="203" t="str">
        <f t="shared" si="8"/>
        <v>22/23</v>
      </c>
      <c r="AF16" s="203" t="str">
        <f t="shared" si="8"/>
        <v>23/24</v>
      </c>
      <c r="AG16" s="203" t="str">
        <f t="shared" si="8"/>
        <v>24/25</v>
      </c>
      <c r="AH16" s="203" t="str">
        <f t="shared" si="8"/>
        <v>25/26</v>
      </c>
      <c r="AI16" s="203" t="str">
        <f t="shared" si="8"/>
        <v>26/27</v>
      </c>
      <c r="AJ16" s="203" t="str">
        <f t="shared" si="8"/>
        <v>27/28</v>
      </c>
      <c r="AK16" s="203" t="str">
        <f t="shared" si="8"/>
        <v>28/29</v>
      </c>
      <c r="AL16" s="203" t="str">
        <f t="shared" si="8"/>
        <v>29/30</v>
      </c>
      <c r="AM16" s="203" t="str">
        <f t="shared" si="8"/>
        <v>30/31</v>
      </c>
      <c r="AN16" s="203" t="str">
        <f t="shared" si="8"/>
        <v>31/32</v>
      </c>
      <c r="AO16" s="203" t="str">
        <f t="shared" si="8"/>
        <v>32/33</v>
      </c>
      <c r="AP16" s="203" t="str">
        <f t="shared" si="8"/>
        <v>33/34</v>
      </c>
      <c r="AQ16" s="203" t="str">
        <f t="shared" si="8"/>
        <v>34/35</v>
      </c>
      <c r="AR16" s="203" t="str">
        <f t="shared" si="8"/>
        <v>35/36</v>
      </c>
      <c r="AS16" s="203" t="str">
        <f t="shared" si="8"/>
        <v>36/37</v>
      </c>
      <c r="AT16" s="203" t="str">
        <f t="shared" si="8"/>
        <v>37/38</v>
      </c>
      <c r="AU16" s="203" t="str">
        <f t="shared" si="8"/>
        <v>38/39</v>
      </c>
      <c r="AV16" s="203" t="str">
        <f t="shared" si="8"/>
        <v>39/40</v>
      </c>
      <c r="AW16" s="203" t="str">
        <f t="shared" si="8"/>
        <v>40/41</v>
      </c>
      <c r="AX16" s="203" t="str">
        <f t="shared" si="8"/>
        <v>41/42</v>
      </c>
      <c r="AY16" s="203" t="str">
        <f t="shared" si="8"/>
        <v>42/43</v>
      </c>
      <c r="AZ16" s="203" t="str">
        <f t="shared" si="8"/>
        <v>43/44</v>
      </c>
    </row>
    <row r="17" spans="1:52">
      <c r="A17" s="69" t="s">
        <v>37</v>
      </c>
      <c r="B17" s="108">
        <v>81.02338489438479</v>
      </c>
      <c r="C17" s="108">
        <v>154.00444051013577</v>
      </c>
      <c r="D17" s="108">
        <v>145.04414361284617</v>
      </c>
      <c r="E17" s="108">
        <v>87.206580343875942</v>
      </c>
      <c r="F17" s="108">
        <v>155.52161083032047</v>
      </c>
      <c r="G17" s="108">
        <v>168.16451341602675</v>
      </c>
      <c r="H17" s="108">
        <v>170.42367916974678</v>
      </c>
      <c r="I17" s="108">
        <v>168.37223768831387</v>
      </c>
      <c r="J17" s="108">
        <v>202.24574910926464</v>
      </c>
      <c r="K17" s="108">
        <v>282.77351871445035</v>
      </c>
      <c r="L17" s="108">
        <v>446.6940350040046</v>
      </c>
      <c r="M17" s="108">
        <v>593.37599416176135</v>
      </c>
      <c r="N17" s="108">
        <v>789.2901934159637</v>
      </c>
      <c r="O17" s="108">
        <v>973.41918952390938</v>
      </c>
      <c r="P17" s="108">
        <v>1379.0582449206913</v>
      </c>
      <c r="Q17" s="108">
        <v>2030.042452318364</v>
      </c>
      <c r="R17" s="108">
        <v>2340.8257542855767</v>
      </c>
      <c r="S17" s="108">
        <v>2967.0868512519583</v>
      </c>
      <c r="T17" s="108">
        <v>2992.5335369907666</v>
      </c>
      <c r="U17" s="108">
        <v>2705.6435868338403</v>
      </c>
      <c r="V17" s="108">
        <v>2777.9636096815107</v>
      </c>
      <c r="W17" s="108">
        <v>3030.7136827111676</v>
      </c>
      <c r="X17" s="76">
        <f>'NASS Data'!$L13+'NASS Data'!$N13+'NASS Data'!$O13+'NASS Data'!$M13</f>
        <v>3952.0809999999997</v>
      </c>
      <c r="Y17" s="76">
        <f>'NASS Data'!$L25+'NASS Data'!$N25+'NASS Data'!$O25+'NASS Data'!$M25</f>
        <v>3932.3230000000003</v>
      </c>
      <c r="Z17" s="76">
        <f>'NASS Data'!$L37+'NASS Data'!$N37+'NASS Data'!$O37+'NASS Data'!$M37</f>
        <v>4011.4369999999999</v>
      </c>
      <c r="AA17" s="76">
        <f>'NASS Data'!$L49+'NASS Data'!$N49+'NASS Data'!$O49+'NASS Data'!$M49</f>
        <v>4032.2690000000002</v>
      </c>
      <c r="AB17" s="76">
        <f>'NASS Data'!$L61+'NASS Data'!$N61+'NASS Data'!$O61+'NASS Data'!$M61</f>
        <v>3692.2960000000003</v>
      </c>
      <c r="AC17" s="76">
        <f>'NASS Data'!$L73+'NASS Data'!$N73+'NASS Data'!$O73+'NASS Data'!$M73</f>
        <v>3442.7719999999999</v>
      </c>
      <c r="AD17" s="76">
        <f>'NASS Data'!$L85+'NASS Data'!$N85+'NASS Data'!$O85+'NASS Data'!$M85</f>
        <v>3665.723</v>
      </c>
      <c r="AE17" s="76">
        <f>'NASS Data'!$L97+'NASS Data'!$N97+'NASS Data'!$O97+'NASS Data'!$M97</f>
        <v>3643.21</v>
      </c>
      <c r="AF17" s="76">
        <f>'NASS Data'!$L109+'NASS Data'!$N109+'NASS Data'!$O109+'NASS Data'!$M109</f>
        <v>3767.4189999999999</v>
      </c>
      <c r="AG17" s="77">
        <f>'Ethanol Balance Sheet'!AG129*AG33/2.204622*2</f>
        <v>3552.9408096725551</v>
      </c>
      <c r="AH17" s="77">
        <f>'Ethanol Balance Sheet'!AH129*AH33/2.204622*2</f>
        <v>3384.5202552235096</v>
      </c>
      <c r="AI17" s="77">
        <f>'Ethanol Balance Sheet'!AI129*AI33/2.204622*2</f>
        <v>3362.2565939108194</v>
      </c>
      <c r="AJ17" s="77">
        <f>'Ethanol Balance Sheet'!AJ129*AJ33/2.204622*2</f>
        <v>3361.4729192974064</v>
      </c>
      <c r="AK17" s="77">
        <f>'Ethanol Balance Sheet'!AK129*AK33/2.204622*2</f>
        <v>3432.6818118220872</v>
      </c>
      <c r="AL17" s="77">
        <f>'Ethanol Balance Sheet'!AL129*AL33/2.204622*2</f>
        <v>3457.3757748843145</v>
      </c>
      <c r="AM17" s="77">
        <f>'Ethanol Balance Sheet'!AM129*AM33/2.204622*2</f>
        <v>3473.4245766738964</v>
      </c>
      <c r="AN17" s="77">
        <f>'Ethanol Balance Sheet'!AN129*AN33/2.204622*2</f>
        <v>3506.2639017526603</v>
      </c>
      <c r="AO17" s="77">
        <f>'Ethanol Balance Sheet'!AO129*AO33/2.204622*2</f>
        <v>3535.1122533898479</v>
      </c>
      <c r="AP17" s="77">
        <f>'Ethanol Balance Sheet'!AP129*AP33/2.204622*2</f>
        <v>3572.8390905176875</v>
      </c>
      <c r="AQ17" s="77">
        <f>'Ethanol Balance Sheet'!AQ129*AQ33/2.204622*2</f>
        <v>3602.0947786669058</v>
      </c>
      <c r="AR17" s="77">
        <f>'Ethanol Balance Sheet'!AR129*AR33/2.204622*2</f>
        <v>3629.9992977457596</v>
      </c>
      <c r="AS17" s="77">
        <f>'Ethanol Balance Sheet'!AS129*AS33/2.204622*2</f>
        <v>3662.1932795309799</v>
      </c>
      <c r="AT17" s="77">
        <f>'Ethanol Balance Sheet'!AT129*AT33/2.204622*2</f>
        <v>3695.1178909490782</v>
      </c>
      <c r="AU17" s="77">
        <f>'Ethanol Balance Sheet'!AU129*AU33/2.204622*2</f>
        <v>3727.9411264900432</v>
      </c>
      <c r="AV17" s="77">
        <f>'Ethanol Balance Sheet'!AV129*AV33/2.204622*2</f>
        <v>3760.1128804226578</v>
      </c>
      <c r="AW17" s="77">
        <f>'Ethanol Balance Sheet'!AW129*AW33/2.204622*2</f>
        <v>3792.5378259913718</v>
      </c>
      <c r="AX17" s="77">
        <f>'Ethanol Balance Sheet'!AX129*AX33/2.204622*2</f>
        <v>3825.8029561082581</v>
      </c>
      <c r="AY17" s="77">
        <f>'Ethanol Balance Sheet'!AY129*AY33/2.204622*2</f>
        <v>3931.8996220061103</v>
      </c>
      <c r="AZ17" s="79">
        <f>'Ethanol Balance Sheet'!AZ129*AZ33/2.204622</f>
        <v>1989.8650598113429</v>
      </c>
    </row>
    <row r="18" spans="1:52">
      <c r="A18" s="69" t="s">
        <v>38</v>
      </c>
      <c r="B18" s="108">
        <v>78.467071657500966</v>
      </c>
      <c r="C18" s="108">
        <v>118.31869612363278</v>
      </c>
      <c r="D18" s="108">
        <v>94.982968470861607</v>
      </c>
      <c r="E18" s="108">
        <v>106.91243768580702</v>
      </c>
      <c r="F18" s="108">
        <v>159.82679689321762</v>
      </c>
      <c r="G18" s="108">
        <v>83.257108919809212</v>
      </c>
      <c r="H18" s="108">
        <v>182.4948466242179</v>
      </c>
      <c r="I18" s="108">
        <v>162.94287233521044</v>
      </c>
      <c r="J18" s="108">
        <v>271.41642794992964</v>
      </c>
      <c r="K18" s="108">
        <v>299.52884376535019</v>
      </c>
      <c r="L18" s="108">
        <v>433.9187688769926</v>
      </c>
      <c r="M18" s="108">
        <v>578.98790747497583</v>
      </c>
      <c r="N18" s="108">
        <v>755.97318406308079</v>
      </c>
      <c r="O18" s="108">
        <v>926.19966544551914</v>
      </c>
      <c r="P18" s="108">
        <v>1458.4976842387168</v>
      </c>
      <c r="Q18" s="108">
        <v>2118.3131675959862</v>
      </c>
      <c r="R18" s="108">
        <v>2505.4779035046754</v>
      </c>
      <c r="S18" s="108">
        <v>3093.5396607105272</v>
      </c>
      <c r="T18" s="108">
        <v>3146.7420138460152</v>
      </c>
      <c r="U18" s="108">
        <v>2728.3044793696768</v>
      </c>
      <c r="V18" s="108">
        <v>3041.1060357925321</v>
      </c>
      <c r="W18" s="108">
        <v>3128.2002840698615</v>
      </c>
      <c r="X18" s="76">
        <f>'NASS Data'!$L14+'NASS Data'!$N14+'NASS Data'!$O14+'NASS Data'!$M14</f>
        <v>4098.6170000000002</v>
      </c>
      <c r="Y18" s="76">
        <f>'NASS Data'!$L26+'NASS Data'!$N26+'NASS Data'!$O26+'NASS Data'!$M26</f>
        <v>4039.9210000000003</v>
      </c>
      <c r="Z18" s="76">
        <f>'NASS Data'!$L38+'NASS Data'!$N38+'NASS Data'!$O38+'NASS Data'!$M38</f>
        <v>4189.3490000000002</v>
      </c>
      <c r="AA18" s="76">
        <f>'NASS Data'!$L50+'NASS Data'!$N50+'NASS Data'!$O50+'NASS Data'!$M50</f>
        <v>4162.1709999999994</v>
      </c>
      <c r="AB18" s="76">
        <f>'NASS Data'!$L62+'NASS Data'!$N62+'NASS Data'!$O62+'NASS Data'!$M62</f>
        <v>3914.8310000000001</v>
      </c>
      <c r="AC18" s="76">
        <f>'NASS Data'!$L74+'NASS Data'!$N74+'NASS Data'!$O74+'NASS Data'!$M74</f>
        <v>3619.4520000000002</v>
      </c>
      <c r="AD18" s="76">
        <f>'NASS Data'!$L86+'NASS Data'!$N86+'NASS Data'!$O86+'NASS Data'!$M86</f>
        <v>4028.8229999999999</v>
      </c>
      <c r="AE18" s="76">
        <f>'NASS Data'!$L98+'NASS Data'!$N98+'NASS Data'!$O98+'NASS Data'!$M98</f>
        <v>4022.3389999999999</v>
      </c>
      <c r="AF18" s="76">
        <f>'NASS Data'!$L110+'NASS Data'!$N110+'NASS Data'!$O110+'NASS Data'!$M110</f>
        <v>4052.6239999999998</v>
      </c>
      <c r="AG18" s="77">
        <f>'Ethanol Balance Sheet'!AG130*AG34/2.204622*2</f>
        <v>3950.6549365617702</v>
      </c>
      <c r="AH18" s="77">
        <f>'Ethanol Balance Sheet'!AH130*AH34/2.204622*2</f>
        <v>3962.641797168269</v>
      </c>
      <c r="AI18" s="77">
        <f>'Ethanol Balance Sheet'!AI130*AI34/2.204622*2</f>
        <v>3979.1528502386227</v>
      </c>
      <c r="AJ18" s="77">
        <f>'Ethanol Balance Sheet'!AJ130*AJ34/2.204622*2</f>
        <v>4012.7854623612616</v>
      </c>
      <c r="AK18" s="77">
        <f>'Ethanol Balance Sheet'!AK130*AK34/2.204622*2</f>
        <v>4065.565061934336</v>
      </c>
      <c r="AL18" s="77">
        <f>'Ethanol Balance Sheet'!AL130*AL34/2.204622*2</f>
        <v>4071.9413964452283</v>
      </c>
      <c r="AM18" s="77">
        <f>'Ethanol Balance Sheet'!AM130*AM34/2.204622*2</f>
        <v>4105.0441549236148</v>
      </c>
      <c r="AN18" s="77">
        <f>'Ethanol Balance Sheet'!AN130*AN34/2.204622*2</f>
        <v>4150.3632670819807</v>
      </c>
      <c r="AO18" s="77">
        <f>'Ethanol Balance Sheet'!AO130*AO34/2.204622*2</f>
        <v>4185.5918323725127</v>
      </c>
      <c r="AP18" s="77">
        <f>'Ethanol Balance Sheet'!AP130*AP34/2.204622*2</f>
        <v>4222.0666212638844</v>
      </c>
      <c r="AQ18" s="77">
        <f>'Ethanol Balance Sheet'!AQ130*AQ34/2.204622*2</f>
        <v>4253.0463439409459</v>
      </c>
      <c r="AR18" s="77">
        <f>'Ethanol Balance Sheet'!AR130*AR34/2.204622*2</f>
        <v>4289.5769152007852</v>
      </c>
      <c r="AS18" s="77">
        <f>'Ethanol Balance Sheet'!AS130*AS34/2.204622*2</f>
        <v>4328.2030786136565</v>
      </c>
      <c r="AT18" s="77">
        <f>'Ethanol Balance Sheet'!AT130*AT34/2.204622*2</f>
        <v>4364.9629575405179</v>
      </c>
      <c r="AU18" s="77">
        <f>'Ethanol Balance Sheet'!AU130*AU34/2.204622*2</f>
        <v>4401.8472530254285</v>
      </c>
      <c r="AV18" s="77">
        <f>'Ethanol Balance Sheet'!AV130*AV34/2.204622*2</f>
        <v>4438.9338285910435</v>
      </c>
      <c r="AW18" s="77">
        <f>'Ethanol Balance Sheet'!AW130*AW34/2.204622*2</f>
        <v>4477.0349222803725</v>
      </c>
      <c r="AX18" s="77">
        <f>'Ethanol Balance Sheet'!AX130*AX34/2.204622*2</f>
        <v>4515.6585503679244</v>
      </c>
      <c r="AY18" s="77">
        <f>'Ethanol Balance Sheet'!AY130*AY34/2.204622*2</f>
        <v>4794.9093276641524</v>
      </c>
      <c r="AZ18" s="79">
        <f>'Ethanol Balance Sheet'!AZ130*AZ34/2.204622</f>
        <v>2440.8547296151105</v>
      </c>
    </row>
    <row r="19" spans="1:52">
      <c r="A19" s="69" t="s">
        <v>39</v>
      </c>
      <c r="B19" s="108">
        <v>75.831630409053844</v>
      </c>
      <c r="C19" s="108">
        <v>152.76163980409726</v>
      </c>
      <c r="D19" s="108">
        <v>78.884701370027386</v>
      </c>
      <c r="E19" s="108">
        <v>102.50722900949221</v>
      </c>
      <c r="F19" s="108">
        <v>114.09351499422731</v>
      </c>
      <c r="G19" s="108">
        <v>134.54303027130601</v>
      </c>
      <c r="H19" s="108">
        <v>169.67062446336615</v>
      </c>
      <c r="I19" s="108">
        <v>227.93504229358754</v>
      </c>
      <c r="J19" s="108">
        <v>241.44885341119956</v>
      </c>
      <c r="K19" s="108">
        <v>419.88447613832767</v>
      </c>
      <c r="L19" s="108">
        <v>493.66269902860631</v>
      </c>
      <c r="M19" s="108">
        <v>679.36218742239453</v>
      </c>
      <c r="N19" s="108">
        <v>784.68350696954872</v>
      </c>
      <c r="O19" s="108">
        <v>980.8666778148114</v>
      </c>
      <c r="P19" s="108">
        <v>1498.2497996204158</v>
      </c>
      <c r="Q19" s="108">
        <v>2105.9310540744386</v>
      </c>
      <c r="R19" s="108">
        <v>2622.4806734919343</v>
      </c>
      <c r="S19" s="108">
        <v>3097.0286892466097</v>
      </c>
      <c r="T19" s="108">
        <v>3191.5392952003162</v>
      </c>
      <c r="U19" s="108">
        <v>2725.1649245949047</v>
      </c>
      <c r="V19" s="108">
        <v>3031.6301570317828</v>
      </c>
      <c r="W19" s="108">
        <v>3180.5267146325614</v>
      </c>
      <c r="X19" s="76">
        <f>'NASS Data'!$L15+'NASS Data'!$N15+'NASS Data'!$O15+'NASS Data'!$M15</f>
        <v>4000.4770000000003</v>
      </c>
      <c r="Y19" s="76">
        <f>'NASS Data'!$L27+'NASS Data'!$N27+'NASS Data'!$O27+'NASS Data'!$M27</f>
        <v>4089.2109999999998</v>
      </c>
      <c r="Z19" s="76">
        <f>'NASS Data'!$L39+'NASS Data'!$N39+'NASS Data'!$O39+'NASS Data'!$M39</f>
        <v>4279.2060000000001</v>
      </c>
      <c r="AA19" s="76">
        <f>'NASS Data'!$L51+'NASS Data'!$N51+'NASS Data'!$O51+'NASS Data'!$M51</f>
        <v>4094.0299999999997</v>
      </c>
      <c r="AB19" s="76">
        <f>'NASS Data'!$L63+'NASS Data'!$N63+'NASS Data'!$O63+'NASS Data'!$M63</f>
        <v>4003.2789999999995</v>
      </c>
      <c r="AC19" s="76">
        <f>'NASS Data'!$L75+'NASS Data'!$N75+'NASS Data'!$O75+'NASS Data'!$M75</f>
        <v>3665.8199999999997</v>
      </c>
      <c r="AD19" s="76">
        <f>'NASS Data'!$L87+'NASS Data'!$N87+'NASS Data'!$O87+'NASS Data'!$M87</f>
        <v>4221.268</v>
      </c>
      <c r="AE19" s="76">
        <f>'NASS Data'!$L99+'NASS Data'!$N99+'NASS Data'!$O99+'NASS Data'!$M99</f>
        <v>4178.7420000000002</v>
      </c>
      <c r="AF19" s="76">
        <f>'NASS Data'!$L111+'NASS Data'!$N111+'NASS Data'!$O111+'NASS Data'!$M111</f>
        <v>4017.2200000000003</v>
      </c>
      <c r="AG19" s="77">
        <f>'Ethanol Balance Sheet'!AG131*AG35/2.204622*2</f>
        <v>4113.9999569570209</v>
      </c>
      <c r="AH19" s="77">
        <f>'Ethanol Balance Sheet'!AH131*AH35/2.204622*2</f>
        <v>4038.3719649043164</v>
      </c>
      <c r="AI19" s="77">
        <f>'Ethanol Balance Sheet'!AI131*AI35/2.204622*2</f>
        <v>4058.9261687012022</v>
      </c>
      <c r="AJ19" s="77">
        <f>'Ethanol Balance Sheet'!AJ131*AJ35/2.204622*2</f>
        <v>4027.3104336124984</v>
      </c>
      <c r="AK19" s="77">
        <f>'Ethanol Balance Sheet'!AK131*AK35/2.204622*2</f>
        <v>4034.8011037211095</v>
      </c>
      <c r="AL19" s="77">
        <f>'Ethanol Balance Sheet'!AL131*AL35/2.204622*2</f>
        <v>4055.2876112615577</v>
      </c>
      <c r="AM19" s="77">
        <f>'Ethanol Balance Sheet'!AM131*AM35/2.204622*2</f>
        <v>4123.8686292062621</v>
      </c>
      <c r="AN19" s="77">
        <f>'Ethanol Balance Sheet'!AN131*AN35/2.204622*2</f>
        <v>4161.7816673981497</v>
      </c>
      <c r="AO19" s="77">
        <f>'Ethanol Balance Sheet'!AO131*AO35/2.204622*2</f>
        <v>4185.854363846428</v>
      </c>
      <c r="AP19" s="77">
        <f>'Ethanol Balance Sheet'!AP131*AP35/2.204622*2</f>
        <v>4220.0533497034539</v>
      </c>
      <c r="AQ19" s="77">
        <f>'Ethanol Balance Sheet'!AQ131*AQ35/2.204622*2</f>
        <v>4256.0177693133064</v>
      </c>
      <c r="AR19" s="77">
        <f>'Ethanol Balance Sheet'!AR131*AR35/2.204622*2</f>
        <v>4296.8420165809657</v>
      </c>
      <c r="AS19" s="77">
        <f>'Ethanol Balance Sheet'!AS131*AS35/2.204622*2</f>
        <v>4331.8897429506778</v>
      </c>
      <c r="AT19" s="77">
        <f>'Ethanol Balance Sheet'!AT131*AT35/2.204622*2</f>
        <v>4368.3428429457681</v>
      </c>
      <c r="AU19" s="77">
        <f>'Ethanol Balance Sheet'!AU131*AU35/2.204622*2</f>
        <v>4405.4288082103803</v>
      </c>
      <c r="AV19" s="77">
        <f>'Ethanol Balance Sheet'!AV131*AV35/2.204622*2</f>
        <v>4443.7385681022424</v>
      </c>
      <c r="AW19" s="77">
        <f>'Ethanol Balance Sheet'!AW131*AW35/2.204622*2</f>
        <v>4482.1634454554151</v>
      </c>
      <c r="AX19" s="77">
        <f>'Ethanol Balance Sheet'!AX131*AX35/2.204622*2</f>
        <v>4520.2817673786667</v>
      </c>
      <c r="AY19" s="77">
        <f>'Ethanol Balance Sheet'!AY131*AY35/2.204622*2</f>
        <v>4775.5491093500032</v>
      </c>
      <c r="AZ19" s="79">
        <f>'Ethanol Balance Sheet'!AZ131*AZ35/2.204622</f>
        <v>2428.9307932962565</v>
      </c>
    </row>
    <row r="20" spans="1:52">
      <c r="A20" s="69" t="s">
        <v>40</v>
      </c>
      <c r="B20" s="108">
        <v>68.957833295499839</v>
      </c>
      <c r="C20" s="108">
        <v>127.82004088228587</v>
      </c>
      <c r="D20" s="108">
        <v>89.889270650648541</v>
      </c>
      <c r="E20" s="108">
        <v>122.00015215790867</v>
      </c>
      <c r="F20" s="108">
        <v>176.47286796337261</v>
      </c>
      <c r="G20" s="108">
        <v>202.18860557454565</v>
      </c>
      <c r="H20" s="108">
        <v>221.22876690256277</v>
      </c>
      <c r="I20" s="108">
        <v>211.50455217853266</v>
      </c>
      <c r="J20" s="108">
        <v>238.23893781548983</v>
      </c>
      <c r="K20" s="108">
        <v>369.42158597064338</v>
      </c>
      <c r="L20" s="108">
        <v>559.30590331137387</v>
      </c>
      <c r="M20" s="108">
        <v>646.47969719088951</v>
      </c>
      <c r="N20" s="108">
        <v>792.61888943607357</v>
      </c>
      <c r="O20" s="108">
        <v>972.86387281239683</v>
      </c>
      <c r="P20" s="108">
        <v>1550.8621375513885</v>
      </c>
      <c r="Q20" s="108">
        <v>2136.1223137999937</v>
      </c>
      <c r="R20" s="108">
        <v>2736.1087932085907</v>
      </c>
      <c r="S20" s="108">
        <v>3198.6901179433157</v>
      </c>
      <c r="T20" s="108">
        <v>3354.3246536439401</v>
      </c>
      <c r="U20" s="108">
        <v>2768.5034872072001</v>
      </c>
      <c r="V20" s="108">
        <v>3310.6719865591358</v>
      </c>
      <c r="W20" s="108">
        <v>3353.3155948427134</v>
      </c>
      <c r="X20" s="76">
        <f>'NASS Data'!$L16+'NASS Data'!$N16+'NASS Data'!$O16+'NASS Data'!$M16</f>
        <v>4206.0680000000002</v>
      </c>
      <c r="Y20" s="76">
        <f>'NASS Data'!$L28+'NASS Data'!$N28+'NASS Data'!$O28+'NASS Data'!$M28</f>
        <v>4401.5069999999996</v>
      </c>
      <c r="Z20" s="76">
        <f>'NASS Data'!$L40+'NASS Data'!$N40+'NASS Data'!$O40+'NASS Data'!$M40</f>
        <v>4353.2579999999998</v>
      </c>
      <c r="AA20" s="76">
        <f>'NASS Data'!$L52+'NASS Data'!$N52+'NASS Data'!$O52+'NASS Data'!$M52</f>
        <v>4150.326</v>
      </c>
      <c r="AB20" s="76">
        <f>'NASS Data'!$L64+'NASS Data'!$N64+'NASS Data'!$O64+'NASS Data'!$M64</f>
        <v>4193.4520000000002</v>
      </c>
      <c r="AC20" s="76">
        <f>'NASS Data'!$L76+'NASS Data'!$N76+'NASS Data'!$O76+'NASS Data'!$M76</f>
        <v>3681.9030000000002</v>
      </c>
      <c r="AD20" s="76">
        <f>'NASS Data'!$L88+'NASS Data'!$N88+'NASS Data'!$O88+'NASS Data'!$M88</f>
        <v>4425.18</v>
      </c>
      <c r="AE20" s="76">
        <f>'NASS Data'!$L100+'NASS Data'!$N100+'NASS Data'!$O100+'NASS Data'!$M100</f>
        <v>3936.931</v>
      </c>
      <c r="AF20" s="76">
        <f>'NASS Data'!$L112+'NASS Data'!$N112+'NASS Data'!$O112+'NASS Data'!$M112</f>
        <v>4219.2860000000001</v>
      </c>
      <c r="AG20" s="77">
        <f>'Ethanol Balance Sheet'!AG132*AG36/2.204622*2</f>
        <v>4110.3532971990007</v>
      </c>
      <c r="AH20" s="77">
        <f>'Ethanol Balance Sheet'!AH132*AH36/2.204622*2</f>
        <v>3957.6841658203634</v>
      </c>
      <c r="AI20" s="77">
        <f>'Ethanol Balance Sheet'!AI132*AI36/2.204622*2</f>
        <v>4076.4328436097931</v>
      </c>
      <c r="AJ20" s="77">
        <f>'Ethanol Balance Sheet'!AJ132*AJ36/2.204622*2</f>
        <v>4025.7678400115915</v>
      </c>
      <c r="AK20" s="77">
        <f>'Ethanol Balance Sheet'!AK132*AK36/2.204622*2</f>
        <v>4091.67636080585</v>
      </c>
      <c r="AL20" s="77">
        <f>'Ethanol Balance Sheet'!AL132*AL36/2.204622*2</f>
        <v>4110.5353845084674</v>
      </c>
      <c r="AM20" s="77">
        <f>'Ethanol Balance Sheet'!AM132*AM36/2.204622*2</f>
        <v>4139.4851012916679</v>
      </c>
      <c r="AN20" s="77">
        <f>'Ethanol Balance Sheet'!AN132*AN36/2.204622*2</f>
        <v>4191.8832982976119</v>
      </c>
      <c r="AO20" s="77">
        <f>'Ethanol Balance Sheet'!AO132*AO36/2.204622*2</f>
        <v>4216.5819383637145</v>
      </c>
      <c r="AP20" s="77">
        <f>'Ethanol Balance Sheet'!AP132*AP36/2.204622*2</f>
        <v>4256.677317458636</v>
      </c>
      <c r="AQ20" s="77">
        <f>'Ethanol Balance Sheet'!AQ132*AQ36/2.204622*2</f>
        <v>4288.9711325989083</v>
      </c>
      <c r="AR20" s="77">
        <f>'Ethanol Balance Sheet'!AR132*AR36/2.204622*2</f>
        <v>4325.9552715486807</v>
      </c>
      <c r="AS20" s="77">
        <f>'Ethanol Balance Sheet'!AS132*AS36/2.204622*2</f>
        <v>4364.279539283868</v>
      </c>
      <c r="AT20" s="77">
        <f>'Ethanol Balance Sheet'!AT132*AT36/2.204622*2</f>
        <v>4400.7891232974898</v>
      </c>
      <c r="AU20" s="77">
        <f>'Ethanol Balance Sheet'!AU132*AU36/2.204622*2</f>
        <v>4438.2697938626534</v>
      </c>
      <c r="AV20" s="77">
        <f>'Ethanol Balance Sheet'!AV132*AV36/2.204622*2</f>
        <v>4475.7801759178283</v>
      </c>
      <c r="AW20" s="77">
        <f>'Ethanol Balance Sheet'!AW132*AW36/2.204622*2</f>
        <v>4513.9912449718913</v>
      </c>
      <c r="AX20" s="77">
        <f>'Ethanol Balance Sheet'!AX132*AX36/2.204622*2</f>
        <v>4552.7974363586573</v>
      </c>
      <c r="AY20" s="77">
        <f>'Ethanol Balance Sheet'!AY132*AY36/2.204622*2</f>
        <v>4861.7439982046326</v>
      </c>
      <c r="AZ20" s="79">
        <f>'Ethanol Balance Sheet'!AZ132*AZ36/2.204622</f>
        <v>2477.4389904240256</v>
      </c>
    </row>
    <row r="21" spans="1:52">
      <c r="A21" s="69" t="s">
        <v>30</v>
      </c>
      <c r="B21" s="108">
        <v>117.24706787476092</v>
      </c>
      <c r="C21" s="108">
        <v>115.26942425147645</v>
      </c>
      <c r="D21" s="108">
        <v>84.929573458261984</v>
      </c>
      <c r="E21" s="108">
        <v>124.4707203561041</v>
      </c>
      <c r="F21" s="108">
        <v>189.6702183361221</v>
      </c>
      <c r="G21" s="108">
        <v>202.96515446894134</v>
      </c>
      <c r="H21" s="108">
        <v>179.91477151208619</v>
      </c>
      <c r="I21" s="108">
        <v>190.27335189729851</v>
      </c>
      <c r="J21" s="108">
        <v>263.19201122559252</v>
      </c>
      <c r="K21" s="108">
        <v>402.51272958962346</v>
      </c>
      <c r="L21" s="108">
        <v>536.02875816661117</v>
      </c>
      <c r="M21" s="108">
        <v>603.72001868532732</v>
      </c>
      <c r="N21" s="108">
        <v>778.95591637834821</v>
      </c>
      <c r="O21" s="108">
        <v>1027.0062920990983</v>
      </c>
      <c r="P21" s="108">
        <v>1691.5505334289319</v>
      </c>
      <c r="Q21" s="108">
        <v>2032.8498433269344</v>
      </c>
      <c r="R21" s="108">
        <v>2821.3950251249676</v>
      </c>
      <c r="S21" s="108">
        <v>3090.7905991984858</v>
      </c>
      <c r="T21" s="108">
        <v>3271.9174209124621</v>
      </c>
      <c r="U21" s="108">
        <v>2690.930652613948</v>
      </c>
      <c r="V21" s="108">
        <v>3157.1147960871094</v>
      </c>
      <c r="W21" s="76">
        <f>'NASS Data'!L5+'NASS Data'!M5+'NASS Data'!N5+'NASS Data'!O5</f>
        <v>4227.5200000000004</v>
      </c>
      <c r="X21" s="76">
        <f>'NASS Data'!$L17+'NASS Data'!$N17+'NASS Data'!$O17+'NASS Data'!$M17</f>
        <v>4056.1759999999999</v>
      </c>
      <c r="Y21" s="76">
        <f>'NASS Data'!$L29+'NASS Data'!$N29+'NASS Data'!$O29+'NASS Data'!$M29</f>
        <v>4342.1710000000003</v>
      </c>
      <c r="Z21" s="76">
        <f>'NASS Data'!$L41+'NASS Data'!$N41+'NASS Data'!$O41+'NASS Data'!$M41</f>
        <v>4348.7520000000004</v>
      </c>
      <c r="AA21" s="76">
        <f>'NASS Data'!$L53+'NASS Data'!$N53+'NASS Data'!$O53+'NASS Data'!$M53</f>
        <v>4019.5609999999997</v>
      </c>
      <c r="AB21" s="76">
        <f>'NASS Data'!$L65+'NASS Data'!$N65+'NASS Data'!$O65+'NASS Data'!$M65</f>
        <v>4172.2690000000002</v>
      </c>
      <c r="AC21" s="76">
        <f>'NASS Data'!$L77+'NASS Data'!$N77+'NASS Data'!$O77+'NASS Data'!$M77</f>
        <v>3554.4750000000004</v>
      </c>
      <c r="AD21" s="76">
        <f>'NASS Data'!$L89+'NASS Data'!$N89+'NASS Data'!$O89+'NASS Data'!$M89</f>
        <v>4247.0050000000001</v>
      </c>
      <c r="AE21" s="76">
        <f>'NASS Data'!$L101+'NASS Data'!$N101+'NASS Data'!$O101+'NASS Data'!$M101</f>
        <v>3934.1239999999998</v>
      </c>
      <c r="AF21" s="76">
        <f>'NASS Data'!$L113+'NASS Data'!$N113+'NASS Data'!$O113+'NASS Data'!$M113</f>
        <v>3907.1790000000001</v>
      </c>
      <c r="AG21" s="77">
        <f>'Ethanol Balance Sheet'!AG133*AG37/2.204622*2</f>
        <v>3925.326888891685</v>
      </c>
      <c r="AH21" s="77">
        <f>'Ethanol Balance Sheet'!AH133*AH37/2.204622*2</f>
        <v>3710.4930633256326</v>
      </c>
      <c r="AI21" s="77">
        <f>'Ethanol Balance Sheet'!AI133*AI37/2.204622*2</f>
        <v>3790.7343043777123</v>
      </c>
      <c r="AJ21" s="77">
        <f>'Ethanol Balance Sheet'!AJ133*AJ37/2.204622*2</f>
        <v>3804.538032032026</v>
      </c>
      <c r="AK21" s="77">
        <f>'Ethanol Balance Sheet'!AK133*AK37/2.204622*2</f>
        <v>3824.0095597252648</v>
      </c>
      <c r="AL21" s="77">
        <f>'Ethanol Balance Sheet'!AL133*AL37/2.204622*2</f>
        <v>3862.7660152435742</v>
      </c>
      <c r="AM21" s="77">
        <f>'Ethanol Balance Sheet'!AM133*AM37/2.204622*2</f>
        <v>3885.6396578391768</v>
      </c>
      <c r="AN21" s="77">
        <f>'Ethanol Balance Sheet'!AN133*AN37/2.204622*2</f>
        <v>3935.7938535366561</v>
      </c>
      <c r="AO21" s="77">
        <f>'Ethanol Balance Sheet'!AO133*AO37/2.204622*2</f>
        <v>3961.8749686006554</v>
      </c>
      <c r="AP21" s="77">
        <f>'Ethanol Balance Sheet'!AP133*AP37/2.204622*2</f>
        <v>3993.3643083276252</v>
      </c>
      <c r="AQ21" s="77">
        <f>'Ethanol Balance Sheet'!AQ133*AQ37/2.204622*2</f>
        <v>4025.3408255475811</v>
      </c>
      <c r="AR21" s="77">
        <f>'Ethanol Balance Sheet'!AR133*AR37/2.204622*2</f>
        <v>4060.7376861285866</v>
      </c>
      <c r="AS21" s="77">
        <f>'Ethanol Balance Sheet'!AS133*AS37/2.204622*2</f>
        <v>4095.8822135197829</v>
      </c>
      <c r="AT21" s="77">
        <f>'Ethanol Balance Sheet'!AT133*AT37/2.204622*2</f>
        <v>4131.0003299925975</v>
      </c>
      <c r="AU21" s="77">
        <f>'Ethanol Balance Sheet'!AU133*AU37/2.204622*2</f>
        <v>4164.5153826551505</v>
      </c>
      <c r="AV21" s="77">
        <f>'Ethanol Balance Sheet'!AV133*AV37/2.204622*2</f>
        <v>4199.8074001018986</v>
      </c>
      <c r="AW21" s="77">
        <f>'Ethanol Balance Sheet'!AW133*AW37/2.204622*2</f>
        <v>4235.490553163082</v>
      </c>
      <c r="AX21" s="77">
        <f>'Ethanol Balance Sheet'!AX133*AX37/2.204622*2</f>
        <v>4536.3221196300528</v>
      </c>
      <c r="AY21" s="77">
        <f>'Ethanol Balance Sheet'!AY133*AY37/2.204622*2</f>
        <v>4641.9080222964667</v>
      </c>
      <c r="AZ21" s="79">
        <f>'Ethanol Balance Sheet'!AZ133*AZ37/2.204622</f>
        <v>2372.6495265175386</v>
      </c>
    </row>
    <row r="22" spans="1:52">
      <c r="A22" s="69" t="s">
        <v>31</v>
      </c>
      <c r="B22" s="108">
        <v>59.142713976463128</v>
      </c>
      <c r="C22" s="108">
        <v>119.63144575254864</v>
      </c>
      <c r="D22" s="108">
        <v>70.985198488868392</v>
      </c>
      <c r="E22" s="108">
        <v>119.06401283141176</v>
      </c>
      <c r="F22" s="108">
        <v>128.76758349033682</v>
      </c>
      <c r="G22" s="108">
        <v>159.95105349602071</v>
      </c>
      <c r="H22" s="108">
        <v>186.14633439247584</v>
      </c>
      <c r="I22" s="108">
        <v>242.54740001504112</v>
      </c>
      <c r="J22" s="108">
        <v>243.61453949264308</v>
      </c>
      <c r="K22" s="108">
        <v>430.75540819619863</v>
      </c>
      <c r="L22" s="108">
        <v>578.12038178239277</v>
      </c>
      <c r="M22" s="108">
        <v>634.12830597163531</v>
      </c>
      <c r="N22" s="108">
        <v>844.4410357905615</v>
      </c>
      <c r="O22" s="108">
        <v>1113.4168029545451</v>
      </c>
      <c r="P22" s="108">
        <v>1682.678987295254</v>
      </c>
      <c r="Q22" s="108">
        <v>1878.5137958453959</v>
      </c>
      <c r="R22" s="108">
        <v>2650.3139504267997</v>
      </c>
      <c r="S22" s="108">
        <v>2813.4428792842523</v>
      </c>
      <c r="T22" s="108">
        <v>3056.576567369515</v>
      </c>
      <c r="U22" s="108">
        <v>2490.7858978996051</v>
      </c>
      <c r="V22" s="108">
        <v>2899.207876755685</v>
      </c>
      <c r="W22" s="76">
        <f>'NASS Data'!L6+'NASS Data'!M6+'NASS Data'!N6+'NASS Data'!O6</f>
        <v>3714.4339999999997</v>
      </c>
      <c r="X22" s="76">
        <f>'NASS Data'!$L18+'NASS Data'!$N18+'NASS Data'!$O18+'NASS Data'!$M18</f>
        <v>3813.9539999999997</v>
      </c>
      <c r="Y22" s="76">
        <f>'NASS Data'!$L30+'NASS Data'!$N30+'NASS Data'!$O30+'NASS Data'!$M30</f>
        <v>3896.1990000000001</v>
      </c>
      <c r="Z22" s="76">
        <f>'NASS Data'!$L42+'NASS Data'!$N42+'NASS Data'!$O42+'NASS Data'!$M42</f>
        <v>3917.4470000000001</v>
      </c>
      <c r="AA22" s="76">
        <f>'NASS Data'!$L54+'NASS Data'!$N54+'NASS Data'!$O54+'NASS Data'!$M54</f>
        <v>3669.7979999999998</v>
      </c>
      <c r="AB22" s="76">
        <f>'NASS Data'!$L66+'NASS Data'!$N66+'NASS Data'!$O66+'NASS Data'!$M66</f>
        <v>3829.8209999999999</v>
      </c>
      <c r="AC22" s="76">
        <f>'NASS Data'!$L78+'NASS Data'!$N78+'NASS Data'!$O78+'NASS Data'!$M78</f>
        <v>2932.308</v>
      </c>
      <c r="AD22" s="76">
        <f>'NASS Data'!$L90+'NASS Data'!$N90+'NASS Data'!$O90+'NASS Data'!$M90</f>
        <v>3783.192</v>
      </c>
      <c r="AE22" s="76">
        <f>'NASS Data'!$L102+'NASS Data'!$N102+'NASS Data'!$O102+'NASS Data'!$M102</f>
        <v>3521.9570000000003</v>
      </c>
      <c r="AF22" s="76">
        <f>'NASS Data'!$L114+'NASS Data'!$N114+'NASS Data'!$O114+'NASS Data'!$M114</f>
        <v>3810.3909999999996</v>
      </c>
      <c r="AG22" s="77">
        <f>'Ethanol Balance Sheet'!AG134*AG38/2.204622*2</f>
        <v>3528.54645526884</v>
      </c>
      <c r="AH22" s="77">
        <f>'Ethanol Balance Sheet'!AH134*AH38/2.204622*2</f>
        <v>3375.7883621834167</v>
      </c>
      <c r="AI22" s="77">
        <f>'Ethanol Balance Sheet'!AI134*AI38/2.204622*2</f>
        <v>3510.0145378040561</v>
      </c>
      <c r="AJ22" s="77">
        <f>'Ethanol Balance Sheet'!AJ134*AJ38/2.204622*2</f>
        <v>3550.5696616897098</v>
      </c>
      <c r="AK22" s="77">
        <f>'Ethanol Balance Sheet'!AK134*AK38/2.204622*2</f>
        <v>3589.9664917844943</v>
      </c>
      <c r="AL22" s="77">
        <f>'Ethanol Balance Sheet'!AL134*AL38/2.204622*2</f>
        <v>3578.0476355186361</v>
      </c>
      <c r="AM22" s="77">
        <f>'Ethanol Balance Sheet'!AM134*AM38/2.204622*2</f>
        <v>3613.3625820585094</v>
      </c>
      <c r="AN22" s="77">
        <f>'Ethanol Balance Sheet'!AN134*AN38/2.204622*2</f>
        <v>3654.087633753014</v>
      </c>
      <c r="AO22" s="77">
        <f>'Ethanol Balance Sheet'!AO134*AO38/2.204622*2</f>
        <v>3685.8674970345405</v>
      </c>
      <c r="AP22" s="77">
        <f>'Ethanol Balance Sheet'!AP134*AP38/2.204622*2</f>
        <v>3714.6557901514093</v>
      </c>
      <c r="AQ22" s="77">
        <f>'Ethanol Balance Sheet'!AQ134*AQ38/2.204622*2</f>
        <v>3739.1793524757381</v>
      </c>
      <c r="AR22" s="77">
        <f>'Ethanol Balance Sheet'!AR134*AR38/2.204622*2</f>
        <v>3773.0802233899262</v>
      </c>
      <c r="AS22" s="77">
        <f>'Ethanol Balance Sheet'!AS134*AS38/2.204622*2</f>
        <v>3805.1780012178838</v>
      </c>
      <c r="AT22" s="77">
        <f>'Ethanol Balance Sheet'!AT134*AT38/2.204622*2</f>
        <v>3836.7905626529882</v>
      </c>
      <c r="AU22" s="77">
        <f>'Ethanol Balance Sheet'!AU134*AU38/2.204622*2</f>
        <v>3867.8482373188217</v>
      </c>
      <c r="AV22" s="77">
        <f>'Ethanol Balance Sheet'!AV134*AV38/2.204622*2</f>
        <v>3899.5837197724099</v>
      </c>
      <c r="AW22" s="77">
        <f>'Ethanol Balance Sheet'!AW134*AW38/2.204622*2</f>
        <v>3932.4201169327321</v>
      </c>
      <c r="AX22" s="77">
        <f>'Ethanol Balance Sheet'!AX134*AX38/2.204622*2</f>
        <v>4251.666641381933</v>
      </c>
      <c r="AY22" s="77">
        <f>'Ethanol Balance Sheet'!AY134*AY38/2.204622*2</f>
        <v>4304.900020040981</v>
      </c>
      <c r="AZ22" s="79">
        <f>'Ethanol Balance Sheet'!AZ134*AZ38/2.204622</f>
        <v>2199.7423838792561</v>
      </c>
    </row>
    <row r="23" spans="1:52">
      <c r="A23" s="69" t="s">
        <v>32</v>
      </c>
      <c r="B23" s="108">
        <v>92.632984647788035</v>
      </c>
      <c r="C23" s="108">
        <v>117.79281144368476</v>
      </c>
      <c r="D23" s="108">
        <v>84.639196703386844</v>
      </c>
      <c r="E23" s="108">
        <v>85.945082052422364</v>
      </c>
      <c r="F23" s="108">
        <v>135.64489373483443</v>
      </c>
      <c r="G23" s="108">
        <v>195.85472210850932</v>
      </c>
      <c r="H23" s="108">
        <v>223.48403218984481</v>
      </c>
      <c r="I23" s="108">
        <v>260.98300703555185</v>
      </c>
      <c r="J23" s="108">
        <v>290.92623658712796</v>
      </c>
      <c r="K23" s="108">
        <v>470.88940847236478</v>
      </c>
      <c r="L23" s="108">
        <v>664.99368467022828</v>
      </c>
      <c r="M23" s="108">
        <v>697.52519865072065</v>
      </c>
      <c r="N23" s="108">
        <v>873.67045228727295</v>
      </c>
      <c r="O23" s="108">
        <v>1210.5529286488709</v>
      </c>
      <c r="P23" s="108">
        <v>1836.8296153261686</v>
      </c>
      <c r="Q23" s="108">
        <v>2069.6705113353573</v>
      </c>
      <c r="R23" s="108">
        <v>2962.7380171021218</v>
      </c>
      <c r="S23" s="108">
        <v>3167.0493123681845</v>
      </c>
      <c r="T23" s="108">
        <v>3100.0717463742703</v>
      </c>
      <c r="U23" s="108">
        <v>2818.9489459829088</v>
      </c>
      <c r="V23" s="108">
        <v>3169.2452289248827</v>
      </c>
      <c r="W23" s="76">
        <f>'NASS Data'!L7+'NASS Data'!M7+'NASS Data'!N7+'NASS Data'!O7</f>
        <v>4114.2510000000002</v>
      </c>
      <c r="X23" s="76">
        <f>'NASS Data'!$L19+'NASS Data'!$N19+'NASS Data'!$O19+'NASS Data'!$M19</f>
        <v>4080.8240000000001</v>
      </c>
      <c r="Y23" s="76">
        <f>'NASS Data'!$L31+'NASS Data'!$N31+'NASS Data'!$O31+'NASS Data'!$M31</f>
        <v>4271.2330000000002</v>
      </c>
      <c r="Z23" s="76">
        <f>'NASS Data'!$L43+'NASS Data'!$N43+'NASS Data'!$O43+'NASS Data'!$M43</f>
        <v>4282.6689999999999</v>
      </c>
      <c r="AA23" s="76">
        <f>'NASS Data'!$L55+'NASS Data'!$N55+'NASS Data'!$O55+'NASS Data'!$M55</f>
        <v>3937.6790000000001</v>
      </c>
      <c r="AB23" s="76">
        <f>'NASS Data'!$L67+'NASS Data'!$N67+'NASS Data'!$O67+'NASS Data'!$M67</f>
        <v>3657.9430000000002</v>
      </c>
      <c r="AC23" s="76">
        <f>'NASS Data'!$L79+'NASS Data'!$N79+'NASS Data'!$O79+'NASS Data'!$M79</f>
        <v>3677.5209999999997</v>
      </c>
      <c r="AD23" s="76">
        <f>'NASS Data'!$L91+'NASS Data'!$N91+'NASS Data'!$O91+'NASS Data'!$M91</f>
        <v>4195.54</v>
      </c>
      <c r="AE23" s="76">
        <f>'NASS Data'!$L103+'NASS Data'!$N103+'NASS Data'!$O103+'NASS Data'!$M103</f>
        <v>3897.3050000000003</v>
      </c>
      <c r="AF23" s="76">
        <f>'NASS Data'!$L115+'NASS Data'!$N115+'NASS Data'!$O115+'NASS Data'!$M115</f>
        <v>4009.34</v>
      </c>
      <c r="AG23" s="77">
        <f>'Ethanol Balance Sheet'!AG135*AG39/2.204622*2</f>
        <v>3810.4532441633664</v>
      </c>
      <c r="AH23" s="77">
        <f>'Ethanol Balance Sheet'!AH135*AH39/2.204622*2</f>
        <v>3815.3599272771526</v>
      </c>
      <c r="AI23" s="77">
        <f>'Ethanol Balance Sheet'!AI135*AI39/2.204622*2</f>
        <v>3832.7076985915187</v>
      </c>
      <c r="AJ23" s="77">
        <f>'Ethanol Balance Sheet'!AJ135*AJ39/2.204622*2</f>
        <v>3823.928959018835</v>
      </c>
      <c r="AK23" s="77">
        <f>'Ethanol Balance Sheet'!AK135*AK39/2.204622*2</f>
        <v>3841.1713546577021</v>
      </c>
      <c r="AL23" s="77">
        <f>'Ethanol Balance Sheet'!AL135*AL39/2.204622*2</f>
        <v>3889.4511314863639</v>
      </c>
      <c r="AM23" s="77">
        <f>'Ethanol Balance Sheet'!AM135*AM39/2.204622*2</f>
        <v>3941.9544058914998</v>
      </c>
      <c r="AN23" s="77">
        <f>'Ethanol Balance Sheet'!AN135*AN39/2.204622*2</f>
        <v>3961.3517781789228</v>
      </c>
      <c r="AO23" s="77">
        <f>'Ethanol Balance Sheet'!AO135*AO39/2.204622*2</f>
        <v>3990.2082708145267</v>
      </c>
      <c r="AP23" s="77">
        <f>'Ethanol Balance Sheet'!AP135*AP39/2.204622*2</f>
        <v>4024.3132754442304</v>
      </c>
      <c r="AQ23" s="77">
        <f>'Ethanol Balance Sheet'!AQ135*AQ39/2.204622*2</f>
        <v>4060.2797169234918</v>
      </c>
      <c r="AR23" s="77">
        <f>'Ethanol Balance Sheet'!AR135*AR39/2.204622*2</f>
        <v>4097.2329645925129</v>
      </c>
      <c r="AS23" s="77">
        <f>'Ethanol Balance Sheet'!AS135*AS39/2.204622*2</f>
        <v>4129.1848763341268</v>
      </c>
      <c r="AT23" s="77">
        <f>'Ethanol Balance Sheet'!AT135*AT39/2.204622*2</f>
        <v>4163.5733053249023</v>
      </c>
      <c r="AU23" s="77">
        <f>'Ethanol Balance Sheet'!AU135*AU39/2.204622*2</f>
        <v>4199.1251962262495</v>
      </c>
      <c r="AV23" s="77">
        <f>'Ethanol Balance Sheet'!AV135*AV39/2.204622*2</f>
        <v>4235.2897644586328</v>
      </c>
      <c r="AW23" s="77">
        <f>'Ethanol Balance Sheet'!AW135*AW39/2.204622*2</f>
        <v>4271.092967416178</v>
      </c>
      <c r="AX23" s="77">
        <f>'Ethanol Balance Sheet'!AX135*AX39/2.204622*2</f>
        <v>4554.1660993223095</v>
      </c>
      <c r="AY23" s="77">
        <f>'Ethanol Balance Sheet'!AY135*AY39/2.204622*2</f>
        <v>4596.4224839266599</v>
      </c>
      <c r="AZ23" s="79">
        <f>'Ethanol Balance Sheet'!AZ135*AZ39/2.204622</f>
        <v>2341.8597935993721</v>
      </c>
    </row>
    <row r="24" spans="1:52">
      <c r="A24" s="69" t="s">
        <v>33</v>
      </c>
      <c r="B24" s="108">
        <v>99.840673001470023</v>
      </c>
      <c r="C24" s="108">
        <v>135.81906822765998</v>
      </c>
      <c r="D24" s="108">
        <v>69.19149643642065</v>
      </c>
      <c r="E24" s="108">
        <v>139.88452302745856</v>
      </c>
      <c r="F24" s="108">
        <v>189.48502005763228</v>
      </c>
      <c r="G24" s="108">
        <v>224.73044547160737</v>
      </c>
      <c r="H24" s="108">
        <v>247.07813543215397</v>
      </c>
      <c r="I24" s="108">
        <v>230.59398630942897</v>
      </c>
      <c r="J24" s="108">
        <v>232.88311307945915</v>
      </c>
      <c r="K24" s="108">
        <v>496.3771193931625</v>
      </c>
      <c r="L24" s="108">
        <v>629.30697888472446</v>
      </c>
      <c r="M24" s="108">
        <v>607.07142949262175</v>
      </c>
      <c r="N24" s="108">
        <v>922.34489957896903</v>
      </c>
      <c r="O24" s="108">
        <v>1294.4987669467093</v>
      </c>
      <c r="P24" s="108">
        <v>1948.6006065127381</v>
      </c>
      <c r="Q24" s="108">
        <v>2126.3311107135369</v>
      </c>
      <c r="R24" s="108">
        <v>2818.5694354760981</v>
      </c>
      <c r="S24" s="108">
        <v>3043.131587007912</v>
      </c>
      <c r="T24" s="108">
        <v>3053.7585730257852</v>
      </c>
      <c r="U24" s="108">
        <v>2915.8849295082741</v>
      </c>
      <c r="V24" s="108">
        <v>3234.623856517735</v>
      </c>
      <c r="W24" s="76">
        <f>'NASS Data'!L8+'NASS Data'!M8+'NASS Data'!N8+'NASS Data'!O8</f>
        <v>3790.0069999999996</v>
      </c>
      <c r="X24" s="76">
        <f>'NASS Data'!$L20+'NASS Data'!$N20+'NASS Data'!$O20+'NASS Data'!$M20</f>
        <v>3786.4909999999995</v>
      </c>
      <c r="Y24" s="76">
        <f>'NASS Data'!$L32+'NASS Data'!$N32+'NASS Data'!$O32+'NASS Data'!$M32</f>
        <v>3923.5830000000001</v>
      </c>
      <c r="Z24" s="76">
        <f>'NASS Data'!$L44+'NASS Data'!$N44+'NASS Data'!$O44+'NASS Data'!$M44</f>
        <v>4084.864</v>
      </c>
      <c r="AA24" s="76">
        <f>'NASS Data'!$L56+'NASS Data'!$N56+'NASS Data'!$O56+'NASS Data'!$M56</f>
        <v>3951.0159999999996</v>
      </c>
      <c r="AB24" s="76">
        <f>'NASS Data'!$L68+'NASS Data'!$N68+'NASS Data'!$O68+'NASS Data'!$M68</f>
        <v>2158.1390000000001</v>
      </c>
      <c r="AC24" s="76">
        <f>'NASS Data'!$L80+'NASS Data'!$N80+'NASS Data'!$O80+'NASS Data'!$M80</f>
        <v>3562.9059999999999</v>
      </c>
      <c r="AD24" s="76">
        <f>'NASS Data'!$L92+'NASS Data'!$N92+'NASS Data'!$O92+'NASS Data'!$M92</f>
        <v>3871.9340000000002</v>
      </c>
      <c r="AE24" s="76">
        <f>'NASS Data'!$L104+'NASS Data'!$N104+'NASS Data'!$O104+'NASS Data'!$M104</f>
        <v>3754.3220000000001</v>
      </c>
      <c r="AF24" s="76">
        <f>'NASS Data'!$L116+'NASS Data'!$N116+'NASS Data'!$O116+'NASS Data'!$M116</f>
        <v>3828.5600000000004</v>
      </c>
      <c r="AG24" s="77">
        <f>'Ethanol Balance Sheet'!AG136*AG40/2.204622*2</f>
        <v>3498.4444296571219</v>
      </c>
      <c r="AH24" s="77">
        <f>'Ethanol Balance Sheet'!AH136*AH40/2.204622*2</f>
        <v>3746.4606584605517</v>
      </c>
      <c r="AI24" s="77">
        <f>'Ethanol Balance Sheet'!AI136*AI40/2.204622*2</f>
        <v>3757.6590970689804</v>
      </c>
      <c r="AJ24" s="77">
        <f>'Ethanol Balance Sheet'!AJ136*AJ40/2.204622*2</f>
        <v>3769.2245786911594</v>
      </c>
      <c r="AK24" s="77">
        <f>'Ethanol Balance Sheet'!AK136*AK40/2.204622*2</f>
        <v>3808.8920501256307</v>
      </c>
      <c r="AL24" s="77">
        <f>'Ethanol Balance Sheet'!AL136*AL40/2.204622*2</f>
        <v>3810.8539747997511</v>
      </c>
      <c r="AM24" s="77">
        <f>'Ethanol Balance Sheet'!AM136*AM40/2.204622*2</f>
        <v>3867.3252855886767</v>
      </c>
      <c r="AN24" s="77">
        <f>'Ethanol Balance Sheet'!AN136*AN40/2.204622*2</f>
        <v>3890.0588568839335</v>
      </c>
      <c r="AO24" s="77">
        <f>'Ethanol Balance Sheet'!AO136*AO40/2.204622*2</f>
        <v>3931.3516704812864</v>
      </c>
      <c r="AP24" s="77">
        <f>'Ethanol Balance Sheet'!AP136*AP40/2.204622*2</f>
        <v>3959.1015027262711</v>
      </c>
      <c r="AQ24" s="77">
        <f>'Ethanol Balance Sheet'!AQ136*AQ40/2.204622*2</f>
        <v>3990.048213659114</v>
      </c>
      <c r="AR24" s="77">
        <f>'Ethanol Balance Sheet'!AR136*AR40/2.204622*2</f>
        <v>4025.6762597067864</v>
      </c>
      <c r="AS24" s="77">
        <f>'Ethanol Balance Sheet'!AS136*AS40/2.204622*2</f>
        <v>4058.3365001783591</v>
      </c>
      <c r="AT24" s="77">
        <f>'Ethanol Balance Sheet'!AT136*AT40/2.204622*2</f>
        <v>4094.112506869345</v>
      </c>
      <c r="AU24" s="77">
        <f>'Ethanol Balance Sheet'!AU136*AU40/2.204622*2</f>
        <v>4128.1990364355588</v>
      </c>
      <c r="AV24" s="77">
        <f>'Ethanol Balance Sheet'!AV136*AV40/2.204622*2</f>
        <v>4162.0637753010069</v>
      </c>
      <c r="AW24" s="77">
        <f>'Ethanol Balance Sheet'!AW136*AW40/2.204622*2</f>
        <v>4197.6409054935302</v>
      </c>
      <c r="AX24" s="77">
        <f>'Ethanol Balance Sheet'!AX136*AX40/2.204622*2</f>
        <v>4456.4864707785791</v>
      </c>
      <c r="AY24" s="77">
        <f>'Ethanol Balance Sheet'!AY136*AY40/2.204622*2</f>
        <v>4482.2606107691981</v>
      </c>
      <c r="AZ24" s="79">
        <f>'Ethanol Balance Sheet'!AZ136*AZ40/2.204622</f>
        <v>2280.360632943773</v>
      </c>
    </row>
    <row r="25" spans="1:52">
      <c r="A25" s="69" t="s">
        <v>14</v>
      </c>
      <c r="B25" s="108">
        <v>75.783969584193599</v>
      </c>
      <c r="C25" s="108">
        <v>108.52956679884385</v>
      </c>
      <c r="D25" s="108">
        <v>66.95318727143767</v>
      </c>
      <c r="E25" s="108">
        <v>163.00490940831688</v>
      </c>
      <c r="F25" s="108">
        <v>148.26860078865576</v>
      </c>
      <c r="G25" s="108">
        <v>168.30608231289153</v>
      </c>
      <c r="H25" s="108">
        <v>240.88216307183242</v>
      </c>
      <c r="I25" s="108">
        <v>217.68168713857216</v>
      </c>
      <c r="J25" s="108">
        <v>257.45433952600217</v>
      </c>
      <c r="K25" s="108">
        <v>482.29467700940347</v>
      </c>
      <c r="L25" s="108">
        <v>680.80005326301091</v>
      </c>
      <c r="M25" s="108">
        <v>777.52438090025476</v>
      </c>
      <c r="N25" s="108">
        <v>838.78706124564587</v>
      </c>
      <c r="O25" s="108">
        <v>1291.4323164915645</v>
      </c>
      <c r="P25" s="108">
        <v>1994.3402186938447</v>
      </c>
      <c r="Q25" s="108">
        <v>2258.3629272155654</v>
      </c>
      <c r="R25" s="108">
        <v>2968.3343510960613</v>
      </c>
      <c r="S25" s="108">
        <v>3127.013016406293</v>
      </c>
      <c r="T25" s="108">
        <v>3133.1109340211656</v>
      </c>
      <c r="U25" s="108">
        <v>3051.0691047022488</v>
      </c>
      <c r="V25" s="108">
        <v>3306.0176887980469</v>
      </c>
      <c r="W25" s="76">
        <f>'NASS Data'!L9+'NASS Data'!M9+'NASS Data'!N9+'NASS Data'!O9</f>
        <v>4064.125</v>
      </c>
      <c r="X25" s="76">
        <f>'NASS Data'!$L21+'NASS Data'!$N21+'NASS Data'!$O21+'NASS Data'!$M21</f>
        <v>3916.3630000000003</v>
      </c>
      <c r="Y25" s="76">
        <f>'NASS Data'!$L33+'NASS Data'!$N33+'NASS Data'!$O33+'NASS Data'!$M33</f>
        <v>4164.2299999999996</v>
      </c>
      <c r="Z25" s="76">
        <f>'NASS Data'!$L45+'NASS Data'!$N45+'NASS Data'!$O45+'NASS Data'!$M45</f>
        <v>4225.6350000000002</v>
      </c>
      <c r="AA25" s="76">
        <f>'NASS Data'!$L57+'NASS Data'!$N57+'NASS Data'!$O57+'NASS Data'!$M57</f>
        <v>4144.2539999999999</v>
      </c>
      <c r="AB25" s="76">
        <f>'NASS Data'!$L69+'NASS Data'!$N69+'NASS Data'!$O69+'NASS Data'!$M69</f>
        <v>2377.7740000000003</v>
      </c>
      <c r="AC25" s="76">
        <f>'NASS Data'!$L81+'NASS Data'!$N81+'NASS Data'!$O81+'NASS Data'!$M81</f>
        <v>3752.3990000000003</v>
      </c>
      <c r="AD25" s="76">
        <f>'NASS Data'!$L93+'NASS Data'!$N93+'NASS Data'!$O93+'NASS Data'!$M93</f>
        <v>4016.694</v>
      </c>
      <c r="AE25" s="76">
        <f>'NASS Data'!$L105+'NASS Data'!$N105+'NASS Data'!$O105+'NASS Data'!$M105</f>
        <v>3889.4139999999998</v>
      </c>
      <c r="AF25" s="76">
        <f>'NASS Data'!$L117+'NASS Data'!$N117+'NASS Data'!$O117+'NASS Data'!$M117</f>
        <v>4015.1459999999997</v>
      </c>
      <c r="AG25" s="77">
        <f>'Ethanol Balance Sheet'!AG137*AG41/2.204622*2</f>
        <v>3663.1863741202046</v>
      </c>
      <c r="AH25" s="77">
        <f>'Ethanol Balance Sheet'!AH137*AH41/2.204622*2</f>
        <v>3875.6640139742412</v>
      </c>
      <c r="AI25" s="77">
        <f>'Ethanol Balance Sheet'!AI137*AI41/2.204622*2</f>
        <v>3922.4554012050758</v>
      </c>
      <c r="AJ25" s="77">
        <f>'Ethanol Balance Sheet'!AJ137*AJ41/2.204622*2</f>
        <v>3926.4282389440145</v>
      </c>
      <c r="AK25" s="77">
        <f>'Ethanol Balance Sheet'!AK137*AK41/2.204622*2</f>
        <v>3955.9735013820755</v>
      </c>
      <c r="AL25" s="77">
        <f>'Ethanol Balance Sheet'!AL137*AL41/2.204622*2</f>
        <v>3960.3872695348664</v>
      </c>
      <c r="AM25" s="77">
        <f>'Ethanol Balance Sheet'!AM137*AM41/2.204622*2</f>
        <v>4031.2927692038706</v>
      </c>
      <c r="AN25" s="77">
        <f>'Ethanol Balance Sheet'!AN137*AN41/2.204622*2</f>
        <v>4056.7951703076305</v>
      </c>
      <c r="AO25" s="77">
        <f>'Ethanol Balance Sheet'!AO137*AO41/2.204622*2</f>
        <v>4093.0309014698955</v>
      </c>
      <c r="AP25" s="77">
        <f>'Ethanol Balance Sheet'!AP137*AP41/2.204622*2</f>
        <v>4124.2581556871</v>
      </c>
      <c r="AQ25" s="77">
        <f>'Ethanol Balance Sheet'!AQ137*AQ41/2.204622*2</f>
        <v>4159.1973052275389</v>
      </c>
      <c r="AR25" s="77">
        <f>'Ethanol Balance Sheet'!AR137*AR41/2.204622*2</f>
        <v>4199.1365251799025</v>
      </c>
      <c r="AS25" s="77">
        <f>'Ethanol Balance Sheet'!AS137*AS41/2.204622*2</f>
        <v>4233.4377654521249</v>
      </c>
      <c r="AT25" s="77">
        <f>'Ethanol Balance Sheet'!AT137*AT41/2.204622*2</f>
        <v>4270.2033398780504</v>
      </c>
      <c r="AU25" s="77">
        <f>'Ethanol Balance Sheet'!AU137*AU41/2.204622*2</f>
        <v>4307.4061968746664</v>
      </c>
      <c r="AV25" s="77">
        <f>'Ethanol Balance Sheet'!AV137*AV41/2.204622*2</f>
        <v>4344.5555983164586</v>
      </c>
      <c r="AW25" s="77">
        <f>'Ethanol Balance Sheet'!AW137*AW41/2.204622*2</f>
        <v>4382.7596972222818</v>
      </c>
      <c r="AX25" s="77">
        <f>'Ethanol Balance Sheet'!AX137*AX41/2.204622*2</f>
        <v>4574.8178913842885</v>
      </c>
      <c r="AY25" s="77">
        <f>'Ethanol Balance Sheet'!AY137*AY41/2.204622*2</f>
        <v>4583.5372996542055</v>
      </c>
      <c r="AZ25" s="79">
        <f>'Ethanol Balance Sheet'!AZ137*AZ41/2.204622</f>
        <v>2323.4142324876602</v>
      </c>
    </row>
    <row r="26" spans="1:52">
      <c r="A26" s="69" t="s">
        <v>34</v>
      </c>
      <c r="B26" s="108">
        <v>78.979684234959151</v>
      </c>
      <c r="C26" s="108">
        <v>92.925566966559842</v>
      </c>
      <c r="D26" s="108">
        <v>68.562063730623208</v>
      </c>
      <c r="E26" s="108">
        <v>107.01623874361105</v>
      </c>
      <c r="F26" s="108">
        <v>187.06826883233998</v>
      </c>
      <c r="G26" s="108">
        <v>129.11114445117812</v>
      </c>
      <c r="H26" s="108">
        <v>195.60545751188087</v>
      </c>
      <c r="I26" s="108">
        <v>251.62067374539228</v>
      </c>
      <c r="J26" s="108">
        <v>282.78895970551628</v>
      </c>
      <c r="K26" s="108">
        <v>483.14245091840263</v>
      </c>
      <c r="L26" s="108">
        <v>594.11418644300193</v>
      </c>
      <c r="M26" s="108">
        <v>692.69215261477268</v>
      </c>
      <c r="N26" s="108">
        <v>979.60357544250212</v>
      </c>
      <c r="O26" s="108">
        <v>1339.1950518586584</v>
      </c>
      <c r="P26" s="108">
        <v>2004.7525393098188</v>
      </c>
      <c r="Q26" s="108">
        <v>2417.7874992328452</v>
      </c>
      <c r="R26" s="108">
        <v>2891.815701835988</v>
      </c>
      <c r="S26" s="108">
        <v>3068.2012071330928</v>
      </c>
      <c r="T26" s="108">
        <v>3055.7022366946039</v>
      </c>
      <c r="U26" s="108">
        <v>3034.8559851870987</v>
      </c>
      <c r="V26" s="108">
        <v>3326.3316393855712</v>
      </c>
      <c r="W26" s="76">
        <f>'NASS Data'!L10+'NASS Data'!M10+'NASS Data'!N10+'NASS Data'!O10</f>
        <v>4002.509</v>
      </c>
      <c r="X26" s="76">
        <f>'NASS Data'!$L22+'NASS Data'!$N22+'NASS Data'!$O22+'NASS Data'!$M22</f>
        <v>3867.7969999999996</v>
      </c>
      <c r="Y26" s="76">
        <f>'NASS Data'!$L34+'NASS Data'!$N34+'NASS Data'!$O34+'NASS Data'!$M34</f>
        <v>3972.3589999999999</v>
      </c>
      <c r="Z26" s="76">
        <f>'NASS Data'!$L46+'NASS Data'!$N46+'NASS Data'!$O46+'NASS Data'!$M46</f>
        <v>4106.3519999999999</v>
      </c>
      <c r="AA26" s="76">
        <f>'NASS Data'!$L58+'NASS Data'!$N58+'NASS Data'!$O58+'NASS Data'!$M58</f>
        <v>4014.826</v>
      </c>
      <c r="AB26" s="76">
        <f>'NASS Data'!$L70+'NASS Data'!$N70+'NASS Data'!$O70+'NASS Data'!$M70</f>
        <v>3066.0309999999999</v>
      </c>
      <c r="AC26" s="76">
        <f>'NASS Data'!$L82+'NASS Data'!$N82+'NASS Data'!$O82+'NASS Data'!$M82</f>
        <v>3821.8310000000001</v>
      </c>
      <c r="AD26" s="76">
        <f>'NASS Data'!$L94+'NASS Data'!$N94+'NASS Data'!$O94+'NASS Data'!$M94</f>
        <v>4043.3530000000001</v>
      </c>
      <c r="AE26" s="76">
        <f>'NASS Data'!$L106+'NASS Data'!$N106+'NASS Data'!$O106+'NASS Data'!$M106</f>
        <v>3895.6349999999993</v>
      </c>
      <c r="AF26" s="76">
        <f>'NASS Data'!$L118+'NASS Data'!$N118+'NASS Data'!$O118+'NASS Data'!$M118</f>
        <v>3650.779</v>
      </c>
      <c r="AG26" s="77">
        <f>'Ethanol Balance Sheet'!AG138*AG42/2.204622*2</f>
        <v>3690.628430683606</v>
      </c>
      <c r="AH26" s="77">
        <f>'Ethanol Balance Sheet'!AH138*AH42/2.204622*2</f>
        <v>3764.6721315074192</v>
      </c>
      <c r="AI26" s="77">
        <f>'Ethanol Balance Sheet'!AI138*AI42/2.204622*2</f>
        <v>3772.1746177457612</v>
      </c>
      <c r="AJ26" s="77">
        <f>'Ethanol Balance Sheet'!AJ138*AJ42/2.204622*2</f>
        <v>3776.7581615340723</v>
      </c>
      <c r="AK26" s="77">
        <f>'Ethanol Balance Sheet'!AK138*AK42/2.204622*2</f>
        <v>3777.0360491685242</v>
      </c>
      <c r="AL26" s="77">
        <f>'Ethanol Balance Sheet'!AL138*AL42/2.204622*2</f>
        <v>3843.1972295351725</v>
      </c>
      <c r="AM26" s="77">
        <f>'Ethanol Balance Sheet'!AM138*AM42/2.204622*2</f>
        <v>3889.1877743863429</v>
      </c>
      <c r="AN26" s="77">
        <f>'Ethanol Balance Sheet'!AN138*AN42/2.204622*2</f>
        <v>3908.4322155584282</v>
      </c>
      <c r="AO26" s="77">
        <f>'Ethanol Balance Sheet'!AO138*AO42/2.204622*2</f>
        <v>3943.2087827432497</v>
      </c>
      <c r="AP26" s="77">
        <f>'Ethanol Balance Sheet'!AP138*AP42/2.204622*2</f>
        <v>3975.4972826644052</v>
      </c>
      <c r="AQ26" s="77">
        <f>'Ethanol Balance Sheet'!AQ138*AQ42/2.204622*2</f>
        <v>4013.9557503438696</v>
      </c>
      <c r="AR26" s="77">
        <f>'Ethanol Balance Sheet'!AR138*AR42/2.204622*2</f>
        <v>4048.8270732966485</v>
      </c>
      <c r="AS26" s="77">
        <f>'Ethanol Balance Sheet'!AS138*AS42/2.204622*2</f>
        <v>4083.1873031268378</v>
      </c>
      <c r="AT26" s="77">
        <f>'Ethanol Balance Sheet'!AT138*AT42/2.204622*2</f>
        <v>4118.9839837759737</v>
      </c>
      <c r="AU26" s="77">
        <f>'Ethanol Balance Sheet'!AU138*AU42/2.204622*2</f>
        <v>4155.43488137036</v>
      </c>
      <c r="AV26" s="77">
        <f>'Ethanol Balance Sheet'!AV138*AV42/2.204622*2</f>
        <v>4192.1048732028503</v>
      </c>
      <c r="AW26" s="77">
        <f>'Ethanol Balance Sheet'!AW138*AW42/2.204622*2</f>
        <v>4228.7549008262522</v>
      </c>
      <c r="AX26" s="77">
        <f>'Ethanol Balance Sheet'!AX138*AX42/2.204622*2</f>
        <v>4355.9323463266228</v>
      </c>
      <c r="AY26" s="77">
        <f>'Ethanol Balance Sheet'!AY138*AY42/2.204622*2</f>
        <v>4312.3436654036386</v>
      </c>
      <c r="AZ26" s="79">
        <f>'Ethanol Balance Sheet'!AZ138*AZ42/2.204622</f>
        <v>2175.6213954656464</v>
      </c>
    </row>
    <row r="27" spans="1:52">
      <c r="A27" s="69" t="s">
        <v>35</v>
      </c>
      <c r="B27" s="108">
        <v>96.776821418874519</v>
      </c>
      <c r="C27" s="108">
        <v>72.068211064207702</v>
      </c>
      <c r="D27" s="108">
        <v>85.549975071852231</v>
      </c>
      <c r="E27" s="108">
        <v>228.71925368747753</v>
      </c>
      <c r="F27" s="108">
        <v>147.09158263234721</v>
      </c>
      <c r="G27" s="108">
        <v>181.94759488324965</v>
      </c>
      <c r="H27" s="108">
        <v>191.21192969678523</v>
      </c>
      <c r="I27" s="108">
        <v>263.81629335965488</v>
      </c>
      <c r="J27" s="108">
        <v>242.86518741838182</v>
      </c>
      <c r="K27" s="108">
        <v>447.76390599286009</v>
      </c>
      <c r="L27" s="108">
        <v>638.06887146826409</v>
      </c>
      <c r="M27" s="108">
        <v>782.28978713780214</v>
      </c>
      <c r="N27" s="108">
        <v>968.06941933979272</v>
      </c>
      <c r="O27" s="108">
        <v>1356.5359436326044</v>
      </c>
      <c r="P27" s="108">
        <v>2066.3062911696948</v>
      </c>
      <c r="Q27" s="108">
        <v>2646.9970199191257</v>
      </c>
      <c r="R27" s="108">
        <v>2997.0253667573238</v>
      </c>
      <c r="S27" s="108">
        <v>3158.9345720986948</v>
      </c>
      <c r="T27" s="108">
        <v>2876.3007999028764</v>
      </c>
      <c r="U27" s="108">
        <v>3034.4027625146655</v>
      </c>
      <c r="V27" s="108">
        <v>3406.3174889726165</v>
      </c>
      <c r="W27" s="76">
        <f>'NASS Data'!L11+'NASS Data'!M11+'NASS Data'!N11+'NASS Data'!O11</f>
        <v>4048.223</v>
      </c>
      <c r="X27" s="76">
        <f>'NASS Data'!$L23+'NASS Data'!$N23+'NASS Data'!$O23+'NASS Data'!$M23</f>
        <v>4040.1770000000001</v>
      </c>
      <c r="Y27" s="76">
        <f>'NASS Data'!$L35+'NASS Data'!$N35+'NASS Data'!$O35+'NASS Data'!$M35</f>
        <v>4159.53</v>
      </c>
      <c r="Z27" s="76">
        <f>'NASS Data'!$L47+'NASS Data'!$N47+'NASS Data'!$O47+'NASS Data'!$M47</f>
        <v>4250.6119999999992</v>
      </c>
      <c r="AA27" s="76">
        <f>'NASS Data'!$L59+'NASS Data'!$N59+'NASS Data'!$O59+'NASS Data'!$M59</f>
        <v>3942.0770000000002</v>
      </c>
      <c r="AB27" s="76">
        <f>'NASS Data'!$L71+'NASS Data'!$N71+'NASS Data'!$O71+'NASS Data'!$M71</f>
        <v>3427.5029999999997</v>
      </c>
      <c r="AC27" s="76">
        <f>'NASS Data'!$L83+'NASS Data'!$N83+'NASS Data'!$O83+'NASS Data'!$M83</f>
        <v>3833.3469999999998</v>
      </c>
      <c r="AD27" s="76">
        <f>'NASS Data'!$L95+'NASS Data'!$N95+'NASS Data'!$O95+'NASS Data'!$M95</f>
        <v>4043.0730000000003</v>
      </c>
      <c r="AE27" s="76">
        <f>'NASS Data'!$L107+'NASS Data'!$N107+'NASS Data'!$O107+'NASS Data'!$M107</f>
        <v>3935.4219999999996</v>
      </c>
      <c r="AF27" s="76">
        <f>'NASS Data'!$L119+'NASS Data'!$N119+'NASS Data'!$O119+'NASS Data'!$M119</f>
        <v>4011.2960000000003</v>
      </c>
      <c r="AG27" s="77">
        <f>'Ethanol Balance Sheet'!AG139*AG43/2.204622*2</f>
        <v>3605.682571787625</v>
      </c>
      <c r="AH27" s="77">
        <f>'Ethanol Balance Sheet'!AH139*AH43/2.204622*2</f>
        <v>3636.7626977642935</v>
      </c>
      <c r="AI27" s="77">
        <f>'Ethanol Balance Sheet'!AI139*AI43/2.204622*2</f>
        <v>3620.5266225499395</v>
      </c>
      <c r="AJ27" s="77">
        <f>'Ethanol Balance Sheet'!AJ139*AJ43/2.204622*2</f>
        <v>3695.6533678798555</v>
      </c>
      <c r="AK27" s="77">
        <f>'Ethanol Balance Sheet'!AK139*AK43/2.204622*2</f>
        <v>3727.3127151041299</v>
      </c>
      <c r="AL27" s="77">
        <f>'Ethanol Balance Sheet'!AL139*AL43/2.204622*2</f>
        <v>3744.490575556395</v>
      </c>
      <c r="AM27" s="77">
        <f>'Ethanol Balance Sheet'!AM139*AM43/2.204622*2</f>
        <v>3786.3852861557543</v>
      </c>
      <c r="AN27" s="77">
        <f>'Ethanol Balance Sheet'!AN139*AN43/2.204622*2</f>
        <v>3812.9425415770247</v>
      </c>
      <c r="AO27" s="77">
        <f>'Ethanol Balance Sheet'!AO139*AO43/2.204622*2</f>
        <v>3856.450841931302</v>
      </c>
      <c r="AP27" s="77">
        <f>'Ethanol Balance Sheet'!AP139*AP43/2.204622*2</f>
        <v>3887.6210897663518</v>
      </c>
      <c r="AQ27" s="77">
        <f>'Ethanol Balance Sheet'!AQ139*AQ43/2.204622*2</f>
        <v>3918.8824178646314</v>
      </c>
      <c r="AR27" s="77">
        <f>'Ethanol Balance Sheet'!AR139*AR43/2.204622*2</f>
        <v>3955.904718502682</v>
      </c>
      <c r="AS27" s="77">
        <f>'Ethanol Balance Sheet'!AS139*AS43/2.204622*2</f>
        <v>3991.1867158778605</v>
      </c>
      <c r="AT27" s="77">
        <f>'Ethanol Balance Sheet'!AT139*AT43/2.204622*2</f>
        <v>4027.9054691649271</v>
      </c>
      <c r="AU27" s="77">
        <f>'Ethanol Balance Sheet'!AU139*AU43/2.204622*2</f>
        <v>4063.0880568870598</v>
      </c>
      <c r="AV27" s="77">
        <f>'Ethanol Balance Sheet'!AV139*AV43/2.204622*2</f>
        <v>4099.123542108714</v>
      </c>
      <c r="AW27" s="77">
        <f>'Ethanol Balance Sheet'!AW139*AW43/2.204622*2</f>
        <v>4136.117482710375</v>
      </c>
      <c r="AX27" s="77">
        <f>'Ethanol Balance Sheet'!AX139*AX43/2.204622*2</f>
        <v>4162.5892733720202</v>
      </c>
      <c r="AY27" s="77">
        <f>'Ethanol Balance Sheet'!AY139*AY43/2.204622*2</f>
        <v>4352.3767921054441</v>
      </c>
      <c r="AZ27" s="79">
        <f>'Ethanol Balance Sheet'!AZ139*AZ43/2.204622</f>
        <v>2208.8899553389056</v>
      </c>
    </row>
    <row r="28" spans="1:52">
      <c r="A28" s="69" t="s">
        <v>36</v>
      </c>
      <c r="B28" s="108">
        <v>95.992460835659671</v>
      </c>
      <c r="C28" s="108">
        <v>111.86717591054362</v>
      </c>
      <c r="D28" s="108">
        <v>76.304445293210833</v>
      </c>
      <c r="E28" s="108">
        <v>105.07420192921474</v>
      </c>
      <c r="F28" s="108">
        <v>160.25192078272443</v>
      </c>
      <c r="G28" s="108">
        <v>152.30406277347004</v>
      </c>
      <c r="H28" s="108">
        <v>161.04115421408926</v>
      </c>
      <c r="I28" s="108">
        <v>242.50174583436944</v>
      </c>
      <c r="J28" s="108">
        <v>245.83608669909324</v>
      </c>
      <c r="K28" s="108">
        <v>524.80886427580344</v>
      </c>
      <c r="L28" s="108">
        <v>661.15166109475922</v>
      </c>
      <c r="M28" s="108">
        <v>828.13198966142738</v>
      </c>
      <c r="N28" s="108">
        <v>987.99328016284244</v>
      </c>
      <c r="O28" s="108">
        <v>1464.5652595076417</v>
      </c>
      <c r="P28" s="108">
        <v>2182.3825595552603</v>
      </c>
      <c r="Q28" s="108">
        <v>2600.8828758822924</v>
      </c>
      <c r="R28" s="108">
        <v>3059.6036647895539</v>
      </c>
      <c r="S28" s="108">
        <v>3165.6748136952515</v>
      </c>
      <c r="T28" s="108">
        <v>2955.1236454369018</v>
      </c>
      <c r="U28" s="108">
        <v>2961.3449113381989</v>
      </c>
      <c r="V28" s="108">
        <v>3290.0293625577069</v>
      </c>
      <c r="W28" s="76">
        <f>'NASS Data'!L12+'NASS Data'!M12+'NASS Data'!N12+'NASS Data'!O12</f>
        <v>4005.33</v>
      </c>
      <c r="X28" s="76">
        <f>'NASS Data'!$L24+'NASS Data'!$N24+'NASS Data'!$O24+'NASS Data'!$M24</f>
        <v>4085.3560000000002</v>
      </c>
      <c r="Y28" s="76">
        <f>'NASS Data'!$L36+'NASS Data'!$N36+'NASS Data'!$O36+'NASS Data'!$M36</f>
        <v>4318.4629999999997</v>
      </c>
      <c r="Z28" s="76">
        <f>'NASS Data'!$L48+'NASS Data'!$N48+'NASS Data'!$O48+'NASS Data'!$M48</f>
        <v>4295.942</v>
      </c>
      <c r="AA28" s="76">
        <f>'NASS Data'!$L60+'NASS Data'!$N60+'NASS Data'!$O60+'NASS Data'!$M60</f>
        <v>4042.5889999999999</v>
      </c>
      <c r="AB28" s="76">
        <f>'NASS Data'!$L72+'NASS Data'!$N72+'NASS Data'!$O72+'NASS Data'!$M72</f>
        <v>3448.3919999999998</v>
      </c>
      <c r="AC28" s="76">
        <f>'NASS Data'!$L84+'NASS Data'!$N84+'NASS Data'!$O84+'NASS Data'!$M84</f>
        <v>3688.4750000000004</v>
      </c>
      <c r="AD28" s="76">
        <f>'NASS Data'!$L96+'NASS Data'!$N96+'NASS Data'!$O96+'NASS Data'!$M96</f>
        <v>4070.5320000000002</v>
      </c>
      <c r="AE28" s="76">
        <f>'NASS Data'!$L108+'NASS Data'!$N108+'NASS Data'!$O108+'NASS Data'!$M108</f>
        <v>3903.7370000000001</v>
      </c>
      <c r="AF28" s="76">
        <f>'NASS Data'!$L120+'NASS Data'!$N120+'NASS Data'!$O120+'NASS Data'!$M120</f>
        <v>3992.7779999999998</v>
      </c>
      <c r="AG28" s="77">
        <f>'Ethanol Balance Sheet'!AG140*AG44/2.204622*2</f>
        <v>3659.6674658061797</v>
      </c>
      <c r="AH28" s="77">
        <f>'Ethanol Balance Sheet'!AH140*AH44/2.204622*2</f>
        <v>3787.6814819472452</v>
      </c>
      <c r="AI28" s="77">
        <f>'Ethanol Balance Sheet'!AI140*AI44/2.204622*2</f>
        <v>3744.7617467855171</v>
      </c>
      <c r="AJ28" s="77">
        <f>'Ethanol Balance Sheet'!AJ140*AJ44/2.204622*2</f>
        <v>3777.9501606946978</v>
      </c>
      <c r="AK28" s="77">
        <f>'Ethanol Balance Sheet'!AK140*AK44/2.204622*2</f>
        <v>3813.6296290256055</v>
      </c>
      <c r="AL28" s="77">
        <f>'Ethanol Balance Sheet'!AL140*AL44/2.204622*2</f>
        <v>3847.705549714673</v>
      </c>
      <c r="AM28" s="77">
        <f>'Ethanol Balance Sheet'!AM140*AM44/2.204622*2</f>
        <v>3895.1453121922937</v>
      </c>
      <c r="AN28" s="77">
        <f>'Ethanol Balance Sheet'!AN140*AN44/2.204622*2</f>
        <v>3909.5906820290415</v>
      </c>
      <c r="AO28" s="77">
        <f>'Ethanol Balance Sheet'!AO140*AO44/2.204622*2</f>
        <v>3952.6588460348553</v>
      </c>
      <c r="AP28" s="77">
        <f>'Ethanol Balance Sheet'!AP140*AP44/2.204622*2</f>
        <v>3984.6057856110556</v>
      </c>
      <c r="AQ28" s="77">
        <f>'Ethanol Balance Sheet'!AQ140*AQ44/2.204622*2</f>
        <v>4018.8124649386668</v>
      </c>
      <c r="AR28" s="77">
        <f>'Ethanol Balance Sheet'!AR140*AR44/2.204622*2</f>
        <v>4053.9789369192322</v>
      </c>
      <c r="AS28" s="77">
        <f>'Ethanol Balance Sheet'!AS140*AS44/2.204622*2</f>
        <v>4088.3715296739729</v>
      </c>
      <c r="AT28" s="77">
        <f>'Ethanol Balance Sheet'!AT140*AT44/2.204622*2</f>
        <v>4125.0405297409634</v>
      </c>
      <c r="AU28" s="77">
        <f>'Ethanol Balance Sheet'!AU140*AU44/2.204622*2</f>
        <v>4160.2584266596177</v>
      </c>
      <c r="AV28" s="77">
        <f>'Ethanol Balance Sheet'!AV140*AV44/2.204622*2</f>
        <v>4196.1862545097929</v>
      </c>
      <c r="AW28" s="77">
        <f>'Ethanol Balance Sheet'!AW140*AW44/2.204622*2</f>
        <v>4232.5879914240513</v>
      </c>
      <c r="AX28" s="77">
        <f>'Ethanol Balance Sheet'!AX140*AX44/2.204622*2</f>
        <v>4412.7881877394511</v>
      </c>
      <c r="AY28" s="77">
        <f>'Ethanol Balance Sheet'!AY140*AY44/2.204622*2</f>
        <v>4398.6865108731145</v>
      </c>
      <c r="AZ28" s="79">
        <f>'Ethanol Balance Sheet'!AZ140*AZ44/2.204622</f>
        <v>2226.8188064141582</v>
      </c>
    </row>
    <row r="29" spans="1:52" ht="12" thickBot="1">
      <c r="A29" s="69" t="s">
        <v>138</v>
      </c>
      <c r="B29" s="204">
        <f>SUM(B17:B28)</f>
        <v>1020.6762958306085</v>
      </c>
      <c r="C29" s="204">
        <f t="shared" ref="C29:AZ29" si="9">SUM(C17:C28)</f>
        <v>1426.8080877356767</v>
      </c>
      <c r="D29" s="204">
        <f t="shared" si="9"/>
        <v>1015.9162205584454</v>
      </c>
      <c r="E29" s="204">
        <f t="shared" si="9"/>
        <v>1491.8053412331008</v>
      </c>
      <c r="F29" s="204">
        <f t="shared" si="9"/>
        <v>1892.1628793361308</v>
      </c>
      <c r="G29" s="204">
        <f t="shared" si="9"/>
        <v>2003.3235181475557</v>
      </c>
      <c r="H29" s="204">
        <f t="shared" si="9"/>
        <v>2369.1818951810419</v>
      </c>
      <c r="I29" s="204">
        <f t="shared" si="9"/>
        <v>2670.7728498309539</v>
      </c>
      <c r="J29" s="204">
        <f t="shared" si="9"/>
        <v>3012.9104420197004</v>
      </c>
      <c r="K29" s="204">
        <f t="shared" si="9"/>
        <v>5110.15298843659</v>
      </c>
      <c r="L29" s="204">
        <f t="shared" si="9"/>
        <v>6916.1659819939705</v>
      </c>
      <c r="M29" s="204">
        <f t="shared" si="9"/>
        <v>8121.2890493645837</v>
      </c>
      <c r="N29" s="204">
        <f t="shared" si="9"/>
        <v>10316.431414110602</v>
      </c>
      <c r="O29" s="204">
        <f t="shared" si="9"/>
        <v>13950.552767736332</v>
      </c>
      <c r="P29" s="204">
        <f t="shared" si="9"/>
        <v>21294.109217622921</v>
      </c>
      <c r="Q29" s="204">
        <f t="shared" si="9"/>
        <v>26421.804571259836</v>
      </c>
      <c r="R29" s="204">
        <f t="shared" si="9"/>
        <v>33374.688637099694</v>
      </c>
      <c r="S29" s="204">
        <f t="shared" si="9"/>
        <v>36990.583306344583</v>
      </c>
      <c r="T29" s="204">
        <f t="shared" si="9"/>
        <v>37187.701423418614</v>
      </c>
      <c r="U29" s="204">
        <f t="shared" si="9"/>
        <v>33925.839667752567</v>
      </c>
      <c r="V29" s="204">
        <f t="shared" si="9"/>
        <v>37950.259727064316</v>
      </c>
      <c r="W29" s="222">
        <f t="shared" si="9"/>
        <v>44659.155276256308</v>
      </c>
      <c r="X29" s="222">
        <f t="shared" si="9"/>
        <v>47904.381000000001</v>
      </c>
      <c r="Y29" s="222">
        <f t="shared" si="9"/>
        <v>49510.729999999996</v>
      </c>
      <c r="Z29" s="222">
        <f>SUM(Z17:Z28)</f>
        <v>50345.523000000008</v>
      </c>
      <c r="AA29" s="222">
        <f t="shared" si="9"/>
        <v>48160.59599999999</v>
      </c>
      <c r="AB29" s="222">
        <f t="shared" si="9"/>
        <v>41941.729999999996</v>
      </c>
      <c r="AC29" s="222">
        <f t="shared" si="9"/>
        <v>43233.209000000003</v>
      </c>
      <c r="AD29" s="222">
        <f t="shared" si="9"/>
        <v>48612.317000000003</v>
      </c>
      <c r="AE29" s="222">
        <f t="shared" si="9"/>
        <v>46513.137999999999</v>
      </c>
      <c r="AF29" s="222">
        <f t="shared" si="9"/>
        <v>47282.018000000004</v>
      </c>
      <c r="AG29" s="223">
        <f t="shared" si="9"/>
        <v>45109.88486076898</v>
      </c>
      <c r="AH29" s="223">
        <f t="shared" si="9"/>
        <v>45056.100519556407</v>
      </c>
      <c r="AI29" s="223">
        <f t="shared" si="9"/>
        <v>45427.802482588995</v>
      </c>
      <c r="AJ29" s="223">
        <f t="shared" si="9"/>
        <v>45552.387815767128</v>
      </c>
      <c r="AK29" s="223">
        <f t="shared" si="9"/>
        <v>45962.715689256809</v>
      </c>
      <c r="AL29" s="223">
        <f t="shared" si="9"/>
        <v>46232.039548489003</v>
      </c>
      <c r="AM29" s="223">
        <f t="shared" si="9"/>
        <v>46752.115535411569</v>
      </c>
      <c r="AN29" s="223">
        <f t="shared" si="9"/>
        <v>47139.344866355052</v>
      </c>
      <c r="AO29" s="223">
        <f t="shared" si="9"/>
        <v>47537.792167082815</v>
      </c>
      <c r="AP29" s="223">
        <f t="shared" si="9"/>
        <v>47935.053569322117</v>
      </c>
      <c r="AQ29" s="223">
        <f t="shared" si="9"/>
        <v>48325.826071500698</v>
      </c>
      <c r="AR29" s="223">
        <f t="shared" si="9"/>
        <v>48756.947888792463</v>
      </c>
      <c r="AS29" s="223">
        <f t="shared" si="9"/>
        <v>49171.330545760138</v>
      </c>
      <c r="AT29" s="223">
        <f t="shared" si="9"/>
        <v>49596.822842132606</v>
      </c>
      <c r="AU29" s="223">
        <f t="shared" si="9"/>
        <v>50019.362396015982</v>
      </c>
      <c r="AV29" s="223">
        <f t="shared" si="9"/>
        <v>50447.280380805532</v>
      </c>
      <c r="AW29" s="223">
        <f t="shared" si="9"/>
        <v>50882.592053887529</v>
      </c>
      <c r="AX29" s="223">
        <f t="shared" si="9"/>
        <v>52719.309740148754</v>
      </c>
      <c r="AY29" s="223">
        <f t="shared" si="9"/>
        <v>54036.537462294611</v>
      </c>
      <c r="AZ29" s="223">
        <f t="shared" si="9"/>
        <v>27466.446299793042</v>
      </c>
    </row>
    <row r="30" spans="1:52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</row>
    <row r="31" spans="1:52" ht="12" thickBot="1">
      <c r="A31" s="69" t="s">
        <v>350</v>
      </c>
    </row>
    <row r="32" spans="1:52" ht="12" thickBot="1">
      <c r="A32" s="202"/>
      <c r="B32" s="203" t="str">
        <f>B$2</f>
        <v xml:space="preserve">93/94 </v>
      </c>
      <c r="C32" s="203" t="str">
        <f t="shared" ref="C32:AZ32" si="10">C$2</f>
        <v xml:space="preserve">94/95 </v>
      </c>
      <c r="D32" s="203" t="str">
        <f t="shared" si="10"/>
        <v xml:space="preserve">95/96 </v>
      </c>
      <c r="E32" s="203" t="str">
        <f t="shared" si="10"/>
        <v xml:space="preserve">96/97 </v>
      </c>
      <c r="F32" s="203" t="str">
        <f t="shared" si="10"/>
        <v xml:space="preserve">97/98 </v>
      </c>
      <c r="G32" s="203" t="str">
        <f t="shared" si="10"/>
        <v xml:space="preserve">98/99 </v>
      </c>
      <c r="H32" s="203" t="str">
        <f t="shared" si="10"/>
        <v xml:space="preserve">99/00 </v>
      </c>
      <c r="I32" s="203" t="str">
        <f t="shared" si="10"/>
        <v xml:space="preserve">00/01 </v>
      </c>
      <c r="J32" s="203" t="str">
        <f t="shared" si="10"/>
        <v xml:space="preserve">01/02 </v>
      </c>
      <c r="K32" s="203" t="str">
        <f t="shared" si="10"/>
        <v xml:space="preserve">02/03 </v>
      </c>
      <c r="L32" s="203" t="str">
        <f t="shared" si="10"/>
        <v xml:space="preserve">03/04 </v>
      </c>
      <c r="M32" s="203" t="str">
        <f t="shared" si="10"/>
        <v xml:space="preserve">04/05 </v>
      </c>
      <c r="N32" s="203" t="str">
        <f t="shared" si="10"/>
        <v xml:space="preserve">05/06 </v>
      </c>
      <c r="O32" s="203" t="str">
        <f t="shared" si="10"/>
        <v xml:space="preserve">06/07 </v>
      </c>
      <c r="P32" s="203" t="str">
        <f t="shared" si="10"/>
        <v xml:space="preserve">07/08 </v>
      </c>
      <c r="Q32" s="203" t="str">
        <f t="shared" si="10"/>
        <v xml:space="preserve">08/09 </v>
      </c>
      <c r="R32" s="203" t="str">
        <f t="shared" si="10"/>
        <v xml:space="preserve">09/10 </v>
      </c>
      <c r="S32" s="203" t="str">
        <f t="shared" si="10"/>
        <v xml:space="preserve">10/11 </v>
      </c>
      <c r="T32" s="203" t="str">
        <f t="shared" si="10"/>
        <v xml:space="preserve">11/12 </v>
      </c>
      <c r="U32" s="203" t="str">
        <f t="shared" si="10"/>
        <v xml:space="preserve">12/13 </v>
      </c>
      <c r="V32" s="203" t="str">
        <f t="shared" si="10"/>
        <v xml:space="preserve">13/14 </v>
      </c>
      <c r="W32" s="203" t="str">
        <f t="shared" si="10"/>
        <v xml:space="preserve">14/15 </v>
      </c>
      <c r="X32" s="203" t="str">
        <f t="shared" si="10"/>
        <v xml:space="preserve">15/16 </v>
      </c>
      <c r="Y32" s="203" t="str">
        <f t="shared" si="10"/>
        <v xml:space="preserve">16/17 </v>
      </c>
      <c r="Z32" s="203" t="str">
        <f t="shared" si="10"/>
        <v xml:space="preserve">17/18 </v>
      </c>
      <c r="AA32" s="203" t="str">
        <f t="shared" si="10"/>
        <v xml:space="preserve">18/19 </v>
      </c>
      <c r="AB32" s="203" t="str">
        <f t="shared" si="10"/>
        <v xml:space="preserve">19/20 </v>
      </c>
      <c r="AC32" s="203" t="str">
        <f t="shared" si="10"/>
        <v xml:space="preserve">20/21 </v>
      </c>
      <c r="AD32" s="203" t="str">
        <f t="shared" si="10"/>
        <v>21/22</v>
      </c>
      <c r="AE32" s="203" t="str">
        <f t="shared" si="10"/>
        <v>22/23</v>
      </c>
      <c r="AF32" s="203" t="str">
        <f t="shared" si="10"/>
        <v>23/24</v>
      </c>
      <c r="AG32" s="203" t="str">
        <f t="shared" si="10"/>
        <v>24/25</v>
      </c>
      <c r="AH32" s="203" t="str">
        <f t="shared" si="10"/>
        <v>25/26</v>
      </c>
      <c r="AI32" s="203" t="str">
        <f t="shared" si="10"/>
        <v>26/27</v>
      </c>
      <c r="AJ32" s="203" t="str">
        <f t="shared" si="10"/>
        <v>27/28</v>
      </c>
      <c r="AK32" s="203" t="str">
        <f t="shared" si="10"/>
        <v>28/29</v>
      </c>
      <c r="AL32" s="203" t="str">
        <f t="shared" si="10"/>
        <v>29/30</v>
      </c>
      <c r="AM32" s="203" t="str">
        <f t="shared" si="10"/>
        <v>30/31</v>
      </c>
      <c r="AN32" s="203" t="str">
        <f t="shared" si="10"/>
        <v>31/32</v>
      </c>
      <c r="AO32" s="203" t="str">
        <f t="shared" si="10"/>
        <v>32/33</v>
      </c>
      <c r="AP32" s="203" t="str">
        <f t="shared" si="10"/>
        <v>33/34</v>
      </c>
      <c r="AQ32" s="203" t="str">
        <f t="shared" si="10"/>
        <v>34/35</v>
      </c>
      <c r="AR32" s="203" t="str">
        <f t="shared" si="10"/>
        <v>35/36</v>
      </c>
      <c r="AS32" s="203" t="str">
        <f t="shared" si="10"/>
        <v>36/37</v>
      </c>
      <c r="AT32" s="203" t="str">
        <f t="shared" si="10"/>
        <v>37/38</v>
      </c>
      <c r="AU32" s="203" t="str">
        <f t="shared" si="10"/>
        <v>38/39</v>
      </c>
      <c r="AV32" s="203" t="str">
        <f t="shared" si="10"/>
        <v>39/40</v>
      </c>
      <c r="AW32" s="203" t="str">
        <f t="shared" si="10"/>
        <v>40/41</v>
      </c>
      <c r="AX32" s="203" t="str">
        <f t="shared" si="10"/>
        <v>41/42</v>
      </c>
      <c r="AY32" s="203" t="str">
        <f t="shared" si="10"/>
        <v>42/43</v>
      </c>
      <c r="AZ32" s="203" t="str">
        <f t="shared" si="10"/>
        <v>43/44</v>
      </c>
    </row>
    <row r="33" spans="1:52">
      <c r="A33" s="69" t="s">
        <v>37</v>
      </c>
      <c r="B33" s="207">
        <v>17.5</v>
      </c>
      <c r="C33" s="207">
        <v>17.5</v>
      </c>
      <c r="D33" s="207">
        <v>17.500000000000004</v>
      </c>
      <c r="E33" s="207">
        <v>17.500000000000004</v>
      </c>
      <c r="F33" s="207">
        <v>17.500000000000004</v>
      </c>
      <c r="G33" s="207">
        <v>17.500000000000004</v>
      </c>
      <c r="H33" s="207">
        <v>17.500000000000004</v>
      </c>
      <c r="I33" s="207">
        <v>17.5</v>
      </c>
      <c r="J33" s="207">
        <v>17.5</v>
      </c>
      <c r="K33" s="207">
        <v>17.5</v>
      </c>
      <c r="L33" s="207">
        <v>17.500000000000004</v>
      </c>
      <c r="M33" s="207">
        <v>17.5</v>
      </c>
      <c r="N33" s="207">
        <v>17.5</v>
      </c>
      <c r="O33" s="207">
        <v>17.500000000000004</v>
      </c>
      <c r="P33" s="207">
        <v>17.499999999999996</v>
      </c>
      <c r="Q33" s="207">
        <v>17.500000000000004</v>
      </c>
      <c r="R33" s="207">
        <v>17.5</v>
      </c>
      <c r="S33" s="207">
        <v>17.5</v>
      </c>
      <c r="T33" s="207">
        <v>17.5</v>
      </c>
      <c r="U33" s="207">
        <v>17.5</v>
      </c>
      <c r="V33" s="207">
        <v>17.5</v>
      </c>
      <c r="W33" s="207">
        <v>17.5</v>
      </c>
      <c r="X33" s="224">
        <f>X17/'NASS Data'!$E13</f>
        <v>10.340131551406563</v>
      </c>
      <c r="Y33" s="224">
        <f>Y17/'NASS Data'!$E13</f>
        <v>10.288437186034828</v>
      </c>
      <c r="Z33" s="224">
        <f>Z17/'NASS Data'!$E13</f>
        <v>10.495429190388478</v>
      </c>
      <c r="AA33" s="224">
        <f>AA17/'NASS Data'!$E13</f>
        <v>10.549933544038847</v>
      </c>
      <c r="AB33" s="224">
        <f>AB17/'NASS Data'!$E13</f>
        <v>9.6604362022772943</v>
      </c>
      <c r="AC33" s="224">
        <f>AC17/'NASS Data'!$E13</f>
        <v>9.0075874916275946</v>
      </c>
      <c r="AD33" s="224">
        <f>AD17/'NASS Data'!$E13</f>
        <v>9.5909112315807086</v>
      </c>
      <c r="AE33" s="224">
        <f>AE17/'NASS Data'!$E13</f>
        <v>9.5320087491627596</v>
      </c>
      <c r="AF33" s="224">
        <f>AF17/'NASS Data'!$E13</f>
        <v>9.8569862483255175</v>
      </c>
      <c r="AG33" s="109">
        <f>(SUM(AB33:AF33)-MIN(AB33:AF33)-MAX(AB33:AF33))/3</f>
        <v>9.5944520610069208</v>
      </c>
      <c r="AH33" s="109">
        <f t="shared" ref="AH33:AW44" si="11">(SUM(AC33:AG33)-MIN(AC33:AG33)-MAX(AC33:AG33))/3</f>
        <v>9.5724573472501273</v>
      </c>
      <c r="AI33" s="109">
        <f t="shared" si="11"/>
        <v>9.5859402132792511</v>
      </c>
      <c r="AJ33" s="109">
        <f t="shared" si="11"/>
        <v>9.584283207178764</v>
      </c>
      <c r="AK33" s="109">
        <f t="shared" si="11"/>
        <v>9.588225160488312</v>
      </c>
      <c r="AL33" s="109">
        <f t="shared" si="11"/>
        <v>9.5861495269821102</v>
      </c>
      <c r="AM33" s="109">
        <f t="shared" si="11"/>
        <v>9.5854576491467096</v>
      </c>
      <c r="AN33" s="109">
        <f t="shared" si="11"/>
        <v>9.5858491298026909</v>
      </c>
      <c r="AO33" s="109">
        <f t="shared" si="11"/>
        <v>9.5858187686438381</v>
      </c>
      <c r="AP33" s="109">
        <f t="shared" si="11"/>
        <v>9.5859391418095452</v>
      </c>
      <c r="AQ33" s="109">
        <f t="shared" si="11"/>
        <v>9.5858690134186926</v>
      </c>
      <c r="AR33" s="109">
        <f t="shared" si="11"/>
        <v>9.5858456372884078</v>
      </c>
      <c r="AS33" s="109">
        <f t="shared" si="11"/>
        <v>9.5858545935032637</v>
      </c>
      <c r="AT33" s="109">
        <f t="shared" si="11"/>
        <v>9.5858564147367868</v>
      </c>
      <c r="AU33" s="109">
        <f t="shared" si="11"/>
        <v>9.5858600072195799</v>
      </c>
      <c r="AV33" s="109">
        <f t="shared" si="11"/>
        <v>9.5858570051532102</v>
      </c>
      <c r="AW33" s="109">
        <f t="shared" si="11"/>
        <v>9.5858560044644197</v>
      </c>
      <c r="AX33" s="109">
        <f t="shared" ref="AX33:AZ44" si="12">(SUM(AS33:AW33)-MIN(AS33:AW33)-MAX(AS33:AW33))/3</f>
        <v>9.585856474784805</v>
      </c>
      <c r="AY33" s="109">
        <f t="shared" si="12"/>
        <v>9.5858566315582667</v>
      </c>
      <c r="AZ33" s="109">
        <f t="shared" si="12"/>
        <v>9.5858567038320928</v>
      </c>
    </row>
    <row r="34" spans="1:52">
      <c r="A34" s="69" t="s">
        <v>38</v>
      </c>
      <c r="B34" s="207">
        <v>17.500000000000004</v>
      </c>
      <c r="C34" s="207">
        <v>17.5</v>
      </c>
      <c r="D34" s="207">
        <v>17.500000000000004</v>
      </c>
      <c r="E34" s="207">
        <v>17.500000000000004</v>
      </c>
      <c r="F34" s="207">
        <v>17.5</v>
      </c>
      <c r="G34" s="207">
        <v>17.499999999999996</v>
      </c>
      <c r="H34" s="207">
        <v>17.5</v>
      </c>
      <c r="I34" s="207">
        <v>17.5</v>
      </c>
      <c r="J34" s="207">
        <v>17.5</v>
      </c>
      <c r="K34" s="207">
        <v>17.500000000000004</v>
      </c>
      <c r="L34" s="207">
        <v>17.5</v>
      </c>
      <c r="M34" s="207">
        <v>17.5</v>
      </c>
      <c r="N34" s="207">
        <v>17.5</v>
      </c>
      <c r="O34" s="207">
        <v>17.5</v>
      </c>
      <c r="P34" s="207">
        <v>17.5</v>
      </c>
      <c r="Q34" s="207">
        <v>17.5</v>
      </c>
      <c r="R34" s="207">
        <v>17.5</v>
      </c>
      <c r="S34" s="207">
        <v>17.5</v>
      </c>
      <c r="T34" s="207">
        <v>17.5</v>
      </c>
      <c r="U34" s="207">
        <v>17.5</v>
      </c>
      <c r="V34" s="207">
        <v>17.5</v>
      </c>
      <c r="W34" s="207">
        <v>17.500000000000004</v>
      </c>
      <c r="X34" s="224">
        <f>X18/'NASS Data'!$E14</f>
        <v>10.368423316080527</v>
      </c>
      <c r="Y34" s="224">
        <f>Y18/'NASS Data'!$E14</f>
        <v>10.219937869657828</v>
      </c>
      <c r="Z34" s="224">
        <f>Z18/'NASS Data'!$E14</f>
        <v>10.597951418929517</v>
      </c>
      <c r="AA34" s="224">
        <f>AA18/'NASS Data'!$E14</f>
        <v>10.529198225136478</v>
      </c>
      <c r="AB34" s="224">
        <f>AB18/'NASS Data'!$E14</f>
        <v>9.9034930609312468</v>
      </c>
      <c r="AC34" s="224">
        <f>AC18/'NASS Data'!$E14</f>
        <v>9.1562618581424644</v>
      </c>
      <c r="AD34" s="224">
        <f>AD18/'NASS Data'!$E14</f>
        <v>10.191862847775601</v>
      </c>
      <c r="AE34" s="224">
        <f>AE18/'NASS Data'!$E14</f>
        <v>10.175460032684203</v>
      </c>
      <c r="AF34" s="224">
        <f>AF18/'NASS Data'!$E14</f>
        <v>10.252073119519956</v>
      </c>
      <c r="AG34" s="109">
        <f t="shared" ref="AG34:AG44" si="13">(SUM(AB34:AF34)-MIN(AB34:AF34)-MAX(AB34:AF34))/3</f>
        <v>10.090271980463685</v>
      </c>
      <c r="AH34" s="109">
        <f t="shared" si="11"/>
        <v>10.152531620307832</v>
      </c>
      <c r="AI34" s="109">
        <f t="shared" si="11"/>
        <v>10.173284833589213</v>
      </c>
      <c r="AJ34" s="109">
        <f t="shared" si="11"/>
        <v>10.167092162193752</v>
      </c>
      <c r="AK34" s="109">
        <f t="shared" si="11"/>
        <v>10.164302872030268</v>
      </c>
      <c r="AL34" s="109">
        <f t="shared" si="11"/>
        <v>10.161308884843953</v>
      </c>
      <c r="AM34" s="109">
        <f t="shared" si="11"/>
        <v>10.164234639689324</v>
      </c>
      <c r="AN34" s="109">
        <f t="shared" si="11"/>
        <v>10.165209891304448</v>
      </c>
      <c r="AO34" s="109">
        <f t="shared" si="11"/>
        <v>10.164582467674679</v>
      </c>
      <c r="AP34" s="109">
        <f t="shared" si="11"/>
        <v>10.164373326464755</v>
      </c>
      <c r="AQ34" s="109">
        <f t="shared" si="11"/>
        <v>10.16439681127625</v>
      </c>
      <c r="AR34" s="109">
        <f t="shared" si="11"/>
        <v>10.164450868471894</v>
      </c>
      <c r="AS34" s="109">
        <f t="shared" si="11"/>
        <v>10.164476715807607</v>
      </c>
      <c r="AT34" s="109">
        <f t="shared" si="11"/>
        <v>10.16444146518525</v>
      </c>
      <c r="AU34" s="109">
        <f t="shared" si="11"/>
        <v>10.164429714977798</v>
      </c>
      <c r="AV34" s="109">
        <f t="shared" si="11"/>
        <v>10.164440682878315</v>
      </c>
      <c r="AW34" s="109">
        <f t="shared" si="11"/>
        <v>10.164444338845152</v>
      </c>
      <c r="AX34" s="109">
        <f t="shared" si="12"/>
        <v>10.164442162302905</v>
      </c>
      <c r="AY34" s="109">
        <f t="shared" si="12"/>
        <v>10.164441436788822</v>
      </c>
      <c r="AZ34" s="109">
        <f t="shared" si="12"/>
        <v>10.164441427323347</v>
      </c>
    </row>
    <row r="35" spans="1:52">
      <c r="A35" s="69" t="s">
        <v>39</v>
      </c>
      <c r="B35" s="207">
        <v>17.5</v>
      </c>
      <c r="C35" s="207">
        <v>17.5</v>
      </c>
      <c r="D35" s="207">
        <v>17.5</v>
      </c>
      <c r="E35" s="207">
        <v>17.5</v>
      </c>
      <c r="F35" s="207">
        <v>17.5</v>
      </c>
      <c r="G35" s="207">
        <v>17.5</v>
      </c>
      <c r="H35" s="207">
        <v>17.500000000000004</v>
      </c>
      <c r="I35" s="207">
        <v>17.5</v>
      </c>
      <c r="J35" s="207">
        <v>17.5</v>
      </c>
      <c r="K35" s="207">
        <v>17.5</v>
      </c>
      <c r="L35" s="207">
        <v>17.5</v>
      </c>
      <c r="M35" s="207">
        <v>17.500000000000004</v>
      </c>
      <c r="N35" s="207">
        <v>17.5</v>
      </c>
      <c r="O35" s="207">
        <v>17.500000000000004</v>
      </c>
      <c r="P35" s="207">
        <v>17.500000000000004</v>
      </c>
      <c r="Q35" s="207">
        <v>17.5</v>
      </c>
      <c r="R35" s="207">
        <v>17.5</v>
      </c>
      <c r="S35" s="207">
        <v>17.5</v>
      </c>
      <c r="T35" s="207">
        <v>17.499999999999996</v>
      </c>
      <c r="U35" s="207">
        <v>17.500000000000004</v>
      </c>
      <c r="V35" s="207">
        <v>17.500000000000004</v>
      </c>
      <c r="W35" s="207">
        <v>17.5</v>
      </c>
      <c r="X35" s="224">
        <f>X19/'NASS Data'!$E15</f>
        <v>10.316437024372256</v>
      </c>
      <c r="Y35" s="224">
        <f>Y19/'NASS Data'!$E15</f>
        <v>10.545264417435794</v>
      </c>
      <c r="Z35" s="224">
        <f>Z19/'NASS Data'!$E15</f>
        <v>11.035223852884519</v>
      </c>
      <c r="AA35" s="224">
        <f>AA19/'NASS Data'!$E15</f>
        <v>10.557691662991873</v>
      </c>
      <c r="AB35" s="224">
        <f>AB19/'NASS Data'!$E15</f>
        <v>10.323662826830883</v>
      </c>
      <c r="AC35" s="224">
        <f>AC19/'NASS Data'!$E15</f>
        <v>9.4534229724816061</v>
      </c>
      <c r="AD35" s="224">
        <f>AD19/'NASS Data'!$E15</f>
        <v>10.885813238020821</v>
      </c>
      <c r="AE35" s="224">
        <f>AE19/'NASS Data'!$E15</f>
        <v>10.77614711548132</v>
      </c>
      <c r="AF35" s="224">
        <f>AF19/'NASS Data'!$E15</f>
        <v>10.359613901804389</v>
      </c>
      <c r="AG35" s="109">
        <f t="shared" si="13"/>
        <v>10.48647461470553</v>
      </c>
      <c r="AH35" s="109">
        <f t="shared" si="11"/>
        <v>10.540745210663745</v>
      </c>
      <c r="AI35" s="109">
        <f t="shared" si="11"/>
        <v>10.601122313616864</v>
      </c>
      <c r="AJ35" s="109">
        <f t="shared" si="11"/>
        <v>10.542780712995379</v>
      </c>
      <c r="AK35" s="109">
        <f t="shared" si="11"/>
        <v>10.52333351278822</v>
      </c>
      <c r="AL35" s="109">
        <f t="shared" si="11"/>
        <v>10.535619812149116</v>
      </c>
      <c r="AM35" s="109">
        <f t="shared" si="11"/>
        <v>10.539715245269413</v>
      </c>
      <c r="AN35" s="109">
        <f t="shared" si="11"/>
        <v>10.539371923471302</v>
      </c>
      <c r="AO35" s="109">
        <f t="shared" si="11"/>
        <v>10.538235660296609</v>
      </c>
      <c r="AP35" s="109">
        <f t="shared" si="11"/>
        <v>10.537742465305675</v>
      </c>
      <c r="AQ35" s="109">
        <f t="shared" si="11"/>
        <v>10.538450016357862</v>
      </c>
      <c r="AR35" s="109">
        <f t="shared" si="11"/>
        <v>10.53868586670859</v>
      </c>
      <c r="AS35" s="109">
        <f t="shared" si="11"/>
        <v>10.53845718112102</v>
      </c>
      <c r="AT35" s="109">
        <f t="shared" si="11"/>
        <v>10.538380952591829</v>
      </c>
      <c r="AU35" s="109">
        <f t="shared" si="11"/>
        <v>10.538429383356904</v>
      </c>
      <c r="AV35" s="109">
        <f t="shared" si="11"/>
        <v>10.538445526945262</v>
      </c>
      <c r="AW35" s="109">
        <f t="shared" si="11"/>
        <v>10.538444030474395</v>
      </c>
      <c r="AX35" s="109">
        <f t="shared" si="12"/>
        <v>10.53843964692552</v>
      </c>
      <c r="AY35" s="109">
        <f t="shared" si="12"/>
        <v>10.53843768691894</v>
      </c>
      <c r="AZ35" s="109">
        <f t="shared" si="12"/>
        <v>10.538440454772951</v>
      </c>
    </row>
    <row r="36" spans="1:52">
      <c r="A36" s="69" t="s">
        <v>40</v>
      </c>
      <c r="B36" s="207">
        <v>17.5</v>
      </c>
      <c r="C36" s="207">
        <v>17.5</v>
      </c>
      <c r="D36" s="207">
        <v>17.5</v>
      </c>
      <c r="E36" s="207">
        <v>17.500000000000004</v>
      </c>
      <c r="F36" s="207">
        <v>17.5</v>
      </c>
      <c r="G36" s="207">
        <v>17.5</v>
      </c>
      <c r="H36" s="207">
        <v>17.500000000000004</v>
      </c>
      <c r="I36" s="207">
        <v>17.500000000000004</v>
      </c>
      <c r="J36" s="207">
        <v>17.5</v>
      </c>
      <c r="K36" s="207">
        <v>17.5</v>
      </c>
      <c r="L36" s="207">
        <v>17.500000000000007</v>
      </c>
      <c r="M36" s="207">
        <v>17.500000000000004</v>
      </c>
      <c r="N36" s="207">
        <v>17.5</v>
      </c>
      <c r="O36" s="207">
        <v>17.5</v>
      </c>
      <c r="P36" s="207">
        <v>17.499999999999993</v>
      </c>
      <c r="Q36" s="207">
        <v>17.5</v>
      </c>
      <c r="R36" s="207">
        <v>17.5</v>
      </c>
      <c r="S36" s="207">
        <v>17.5</v>
      </c>
      <c r="T36" s="207">
        <v>17.5</v>
      </c>
      <c r="U36" s="207">
        <v>17.5</v>
      </c>
      <c r="V36" s="207">
        <v>17.5</v>
      </c>
      <c r="W36" s="207">
        <v>17.5</v>
      </c>
      <c r="X36" s="224">
        <f>X20/'NASS Data'!$E16</f>
        <v>10.482621460365564</v>
      </c>
      <c r="Y36" s="224">
        <f>Y20/'NASS Data'!$E16</f>
        <v>10.969706561127698</v>
      </c>
      <c r="Z36" s="224">
        <f>Z20/'NASS Data'!$E16</f>
        <v>10.849457434665362</v>
      </c>
      <c r="AA36" s="224">
        <f>AA20/'NASS Data'!$E16</f>
        <v>10.343697818274258</v>
      </c>
      <c r="AB36" s="224">
        <f>AB20/'NASS Data'!$E16</f>
        <v>10.451179088928876</v>
      </c>
      <c r="AC36" s="224">
        <f>AC20/'NASS Data'!$E16</f>
        <v>9.1762651965646675</v>
      </c>
      <c r="AD36" s="224">
        <f>AD20/'NASS Data'!$E16</f>
        <v>11.028705868278994</v>
      </c>
      <c r="AE36" s="224">
        <f>AE20/'NASS Data'!$E16</f>
        <v>9.8118616695161514</v>
      </c>
      <c r="AF36" s="224">
        <f>AF20/'NASS Data'!$E16</f>
        <v>10.515564173242083</v>
      </c>
      <c r="AG36" s="109">
        <f t="shared" si="13"/>
        <v>10.259534977229036</v>
      </c>
      <c r="AH36" s="109">
        <f t="shared" si="11"/>
        <v>10.195653606662422</v>
      </c>
      <c r="AI36" s="109">
        <f t="shared" si="11"/>
        <v>10.32358425237785</v>
      </c>
      <c r="AJ36" s="109">
        <f t="shared" si="11"/>
        <v>10.259590945423099</v>
      </c>
      <c r="AK36" s="109">
        <f t="shared" si="11"/>
        <v>10.280903391676665</v>
      </c>
      <c r="AL36" s="109">
        <f t="shared" si="11"/>
        <v>10.266676438109601</v>
      </c>
      <c r="AM36" s="109">
        <f t="shared" si="11"/>
        <v>10.269056925069789</v>
      </c>
      <c r="AN36" s="109">
        <f t="shared" si="11"/>
        <v>10.272212251618685</v>
      </c>
      <c r="AO36" s="109">
        <f t="shared" si="11"/>
        <v>10.26931520493269</v>
      </c>
      <c r="AP36" s="109">
        <f t="shared" si="11"/>
        <v>10.270194793873721</v>
      </c>
      <c r="AQ36" s="109">
        <f t="shared" si="11"/>
        <v>10.269522307958733</v>
      </c>
      <c r="AR36" s="109">
        <f t="shared" si="11"/>
        <v>10.269677435588379</v>
      </c>
      <c r="AS36" s="109">
        <f t="shared" si="11"/>
        <v>10.269798179140279</v>
      </c>
      <c r="AT36" s="109">
        <f t="shared" si="11"/>
        <v>10.269665974229129</v>
      </c>
      <c r="AU36" s="109">
        <f t="shared" si="11"/>
        <v>10.269713862985929</v>
      </c>
      <c r="AV36" s="109">
        <f t="shared" si="11"/>
        <v>10.269685757601145</v>
      </c>
      <c r="AW36" s="109">
        <f t="shared" si="11"/>
        <v>10.269692352058485</v>
      </c>
      <c r="AX36" s="109">
        <f t="shared" si="12"/>
        <v>10.269697324215187</v>
      </c>
      <c r="AY36" s="109">
        <f t="shared" si="12"/>
        <v>10.269691811291606</v>
      </c>
      <c r="AZ36" s="109">
        <f t="shared" si="12"/>
        <v>10.269693829188427</v>
      </c>
    </row>
    <row r="37" spans="1:52">
      <c r="A37" s="69" t="s">
        <v>30</v>
      </c>
      <c r="B37" s="207">
        <v>17.499999999999996</v>
      </c>
      <c r="C37" s="207">
        <v>17.5</v>
      </c>
      <c r="D37" s="207">
        <v>17.500000000000007</v>
      </c>
      <c r="E37" s="207">
        <v>17.5</v>
      </c>
      <c r="F37" s="207">
        <v>17.5</v>
      </c>
      <c r="G37" s="207">
        <v>17.5</v>
      </c>
      <c r="H37" s="207">
        <v>17.5</v>
      </c>
      <c r="I37" s="207">
        <v>17.500000000000004</v>
      </c>
      <c r="J37" s="207">
        <v>17.500000000000004</v>
      </c>
      <c r="K37" s="207">
        <v>17.500000000000004</v>
      </c>
      <c r="L37" s="207">
        <v>17.5</v>
      </c>
      <c r="M37" s="207">
        <v>17.500000000000004</v>
      </c>
      <c r="N37" s="207">
        <v>17.5</v>
      </c>
      <c r="O37" s="207">
        <v>17.500000000000004</v>
      </c>
      <c r="P37" s="207">
        <v>17.5</v>
      </c>
      <c r="Q37" s="207">
        <v>17.499999999999996</v>
      </c>
      <c r="R37" s="207">
        <v>17.5</v>
      </c>
      <c r="S37" s="207">
        <v>17.499999999999996</v>
      </c>
      <c r="T37" s="207">
        <v>17.5</v>
      </c>
      <c r="U37" s="207">
        <v>17.499999999999996</v>
      </c>
      <c r="V37" s="207">
        <v>17.5</v>
      </c>
      <c r="W37" s="224">
        <f>W21/'NASS Data'!E5</f>
        <v>10.675366849575893</v>
      </c>
      <c r="X37" s="224">
        <f>X21/'NASS Data'!$E17</f>
        <v>10.216347461639984</v>
      </c>
      <c r="Y37" s="224">
        <f>Y21/'NASS Data'!$E17</f>
        <v>10.936687085041861</v>
      </c>
      <c r="Z37" s="224">
        <f>Z21/'NASS Data'!$E17</f>
        <v>10.953262742174356</v>
      </c>
      <c r="AA37" s="224">
        <f>AA21/'NASS Data'!$E17</f>
        <v>10.124124746869237</v>
      </c>
      <c r="AB37" s="224">
        <f>AB21/'NASS Data'!$E17</f>
        <v>10.508752531307616</v>
      </c>
      <c r="AC37" s="224">
        <f>AC21/'NASS Data'!$E17</f>
        <v>8.9527061063703322</v>
      </c>
      <c r="AD37" s="224">
        <f>AD21/'NASS Data'!$E17</f>
        <v>10.696991144201416</v>
      </c>
      <c r="AE37" s="224">
        <f>AE21/'NASS Data'!$E17</f>
        <v>9.9089333749760709</v>
      </c>
      <c r="AF37" s="224">
        <f>AF21/'NASS Data'!$E17</f>
        <v>9.8410666250239274</v>
      </c>
      <c r="AG37" s="109">
        <f t="shared" si="13"/>
        <v>10.086250843769204</v>
      </c>
      <c r="AH37" s="109">
        <f t="shared" si="11"/>
        <v>9.9454169479230696</v>
      </c>
      <c r="AI37" s="109">
        <f t="shared" si="11"/>
        <v>9.9802003888894468</v>
      </c>
      <c r="AJ37" s="109">
        <f t="shared" si="11"/>
        <v>9.9448502372628607</v>
      </c>
      <c r="AK37" s="109">
        <f t="shared" si="11"/>
        <v>9.9568225246917912</v>
      </c>
      <c r="AL37" s="109">
        <f t="shared" si="11"/>
        <v>9.9608132871681025</v>
      </c>
      <c r="AM37" s="109">
        <f t="shared" si="11"/>
        <v>9.9543509199276521</v>
      </c>
      <c r="AN37" s="109">
        <f t="shared" si="11"/>
        <v>9.9573289105958498</v>
      </c>
      <c r="AO37" s="109">
        <f t="shared" si="11"/>
        <v>9.9561674517384287</v>
      </c>
      <c r="AP37" s="109">
        <f t="shared" si="11"/>
        <v>9.9567729623420274</v>
      </c>
      <c r="AQ37" s="109">
        <f t="shared" si="11"/>
        <v>9.9567564415587686</v>
      </c>
      <c r="AR37" s="109">
        <f t="shared" si="11"/>
        <v>9.9565656185464118</v>
      </c>
      <c r="AS37" s="109">
        <f t="shared" si="11"/>
        <v>9.9566983408157359</v>
      </c>
      <c r="AT37" s="109">
        <f t="shared" si="11"/>
        <v>9.9566734669736388</v>
      </c>
      <c r="AU37" s="109">
        <f t="shared" si="11"/>
        <v>9.9567094164493799</v>
      </c>
      <c r="AV37" s="109">
        <f t="shared" si="11"/>
        <v>9.9566937414129182</v>
      </c>
      <c r="AW37" s="109">
        <f t="shared" si="11"/>
        <v>9.9566885164007655</v>
      </c>
      <c r="AX37" s="109">
        <f t="shared" si="12"/>
        <v>9.9566935328764732</v>
      </c>
      <c r="AY37" s="109">
        <f t="shared" si="12"/>
        <v>9.9566919302300523</v>
      </c>
      <c r="AZ37" s="109">
        <f t="shared" si="12"/>
        <v>9.9566930681731467</v>
      </c>
    </row>
    <row r="38" spans="1:52">
      <c r="A38" s="69" t="s">
        <v>31</v>
      </c>
      <c r="B38" s="207">
        <v>17.5</v>
      </c>
      <c r="C38" s="207">
        <v>17.5</v>
      </c>
      <c r="D38" s="207">
        <v>17.5</v>
      </c>
      <c r="E38" s="207">
        <v>17.5</v>
      </c>
      <c r="F38" s="207">
        <v>17.5</v>
      </c>
      <c r="G38" s="207">
        <v>17.499999999999996</v>
      </c>
      <c r="H38" s="207">
        <v>17.5</v>
      </c>
      <c r="I38" s="207">
        <v>17.500000000000004</v>
      </c>
      <c r="J38" s="207">
        <v>17.5</v>
      </c>
      <c r="K38" s="207">
        <v>17.5</v>
      </c>
      <c r="L38" s="207">
        <v>17.5</v>
      </c>
      <c r="M38" s="207">
        <v>17.5</v>
      </c>
      <c r="N38" s="207">
        <v>17.5</v>
      </c>
      <c r="O38" s="207">
        <v>17.5</v>
      </c>
      <c r="P38" s="207">
        <v>17.5</v>
      </c>
      <c r="Q38" s="207">
        <v>17.500000000000004</v>
      </c>
      <c r="R38" s="207">
        <v>17.5</v>
      </c>
      <c r="S38" s="207">
        <v>17.500000000000004</v>
      </c>
      <c r="T38" s="207">
        <v>17.5</v>
      </c>
      <c r="U38" s="207">
        <v>17.500000000000004</v>
      </c>
      <c r="V38" s="207">
        <v>17.5</v>
      </c>
      <c r="W38" s="224">
        <f>W22/'NASS Data'!E6</f>
        <v>10.499780926778662</v>
      </c>
      <c r="X38" s="224">
        <f>X22/'NASS Data'!$E18</f>
        <v>10.102386565306068</v>
      </c>
      <c r="Y38" s="224">
        <f>Y22/'NASS Data'!$E18</f>
        <v>10.320236802373323</v>
      </c>
      <c r="Z38" s="224">
        <f>Z22/'NASS Data'!$E18</f>
        <v>10.37651842237703</v>
      </c>
      <c r="AA38" s="224">
        <f>AA22/'NASS Data'!$E18</f>
        <v>9.7205467115196136</v>
      </c>
      <c r="AB38" s="224">
        <f>AB22/'NASS Data'!$E18</f>
        <v>10.14441501337642</v>
      </c>
      <c r="AC38" s="224">
        <f>AC22/'NASS Data'!$E18</f>
        <v>7.7670860593860098</v>
      </c>
      <c r="AD38" s="224">
        <f>AD22/'NASS Data'!$E18</f>
        <v>10.020904298996108</v>
      </c>
      <c r="AE38" s="224">
        <f>AE22/'NASS Data'!$E18</f>
        <v>9.3289460440229934</v>
      </c>
      <c r="AF38" s="224">
        <f>AF22/'NASS Data'!$E18</f>
        <v>10.092948904722803</v>
      </c>
      <c r="AG38" s="109">
        <f t="shared" si="13"/>
        <v>9.8142664159139681</v>
      </c>
      <c r="AH38" s="109">
        <f t="shared" si="11"/>
        <v>9.7213722529776891</v>
      </c>
      <c r="AI38" s="109">
        <f t="shared" si="11"/>
        <v>9.8521809892959222</v>
      </c>
      <c r="AJ38" s="109">
        <f t="shared" si="11"/>
        <v>9.7959398860625271</v>
      </c>
      <c r="AK38" s="109">
        <f t="shared" si="11"/>
        <v>9.8207957637574737</v>
      </c>
      <c r="AL38" s="109">
        <f t="shared" si="11"/>
        <v>9.8103340219113235</v>
      </c>
      <c r="AM38" s="109">
        <f t="shared" si="11"/>
        <v>9.809023223910442</v>
      </c>
      <c r="AN38" s="109">
        <f t="shared" si="11"/>
        <v>9.8133843365264131</v>
      </c>
      <c r="AO38" s="109">
        <f t="shared" si="11"/>
        <v>9.8109138607827262</v>
      </c>
      <c r="AP38" s="109">
        <f t="shared" si="11"/>
        <v>9.8115440730734864</v>
      </c>
      <c r="AQ38" s="109">
        <f t="shared" si="11"/>
        <v>9.8109306519225115</v>
      </c>
      <c r="AR38" s="109">
        <f t="shared" si="11"/>
        <v>9.8111295285929074</v>
      </c>
      <c r="AS38" s="109">
        <f t="shared" si="11"/>
        <v>9.8112014178629678</v>
      </c>
      <c r="AT38" s="109">
        <f t="shared" si="11"/>
        <v>9.8110871994594628</v>
      </c>
      <c r="AU38" s="109">
        <f t="shared" si="11"/>
        <v>9.8111393819717794</v>
      </c>
      <c r="AV38" s="109">
        <f t="shared" si="11"/>
        <v>9.8111187033413838</v>
      </c>
      <c r="AW38" s="109">
        <f t="shared" si="11"/>
        <v>9.8111292046353569</v>
      </c>
      <c r="AX38" s="109">
        <f t="shared" si="12"/>
        <v>9.8111290966495073</v>
      </c>
      <c r="AY38" s="109">
        <f t="shared" si="12"/>
        <v>9.8111256682087511</v>
      </c>
      <c r="AZ38" s="109">
        <f t="shared" si="12"/>
        <v>9.8111279898312063</v>
      </c>
    </row>
    <row r="39" spans="1:52">
      <c r="A39" s="69" t="s">
        <v>32</v>
      </c>
      <c r="B39" s="207">
        <v>17.500000000000004</v>
      </c>
      <c r="C39" s="207">
        <v>17.5</v>
      </c>
      <c r="D39" s="207">
        <v>17.500000000000004</v>
      </c>
      <c r="E39" s="207">
        <v>17.5</v>
      </c>
      <c r="F39" s="207">
        <v>17.500000000000004</v>
      </c>
      <c r="G39" s="207">
        <v>17.5</v>
      </c>
      <c r="H39" s="207">
        <v>17.5</v>
      </c>
      <c r="I39" s="207">
        <v>17.5</v>
      </c>
      <c r="J39" s="207">
        <v>17.500000000000004</v>
      </c>
      <c r="K39" s="207">
        <v>17.500000000000004</v>
      </c>
      <c r="L39" s="207">
        <v>17.5</v>
      </c>
      <c r="M39" s="207">
        <v>17.5</v>
      </c>
      <c r="N39" s="207">
        <v>17.5</v>
      </c>
      <c r="O39" s="207">
        <v>17.5</v>
      </c>
      <c r="P39" s="207">
        <v>17.500000000000004</v>
      </c>
      <c r="Q39" s="207">
        <v>17.499999999999993</v>
      </c>
      <c r="R39" s="207">
        <v>17.5</v>
      </c>
      <c r="S39" s="207">
        <v>17.5</v>
      </c>
      <c r="T39" s="207">
        <v>17.5</v>
      </c>
      <c r="U39" s="207">
        <v>17.5</v>
      </c>
      <c r="V39" s="207">
        <v>17.5</v>
      </c>
      <c r="W39" s="224">
        <f>W23/'NASS Data'!E7</f>
        <v>10.502611452610942</v>
      </c>
      <c r="X39" s="224">
        <f>X23/'NASS Data'!$E19</f>
        <v>10.439079295402104</v>
      </c>
      <c r="Y39" s="224">
        <f>Y23/'NASS Data'!$E19</f>
        <v>10.926160985168245</v>
      </c>
      <c r="Z39" s="224">
        <f>Z23/'NASS Data'!$E19</f>
        <v>10.95541520216516</v>
      </c>
      <c r="AA39" s="224">
        <f>AA23/'NASS Data'!$E19</f>
        <v>10.072902757099955</v>
      </c>
      <c r="AB39" s="224">
        <f>AB23/'NASS Data'!$E19</f>
        <v>9.3573153449060928</v>
      </c>
      <c r="AC39" s="224">
        <f>AC23/'NASS Data'!$E19</f>
        <v>9.4073974593137173</v>
      </c>
      <c r="AD39" s="224">
        <f>AD23/'NASS Data'!$E19</f>
        <v>10.73253214229071</v>
      </c>
      <c r="AE39" s="224">
        <f>AE23/'NASS Data'!$E19</f>
        <v>9.9696227853411727</v>
      </c>
      <c r="AF39" s="224">
        <f>AF23/'NASS Data'!$E19</f>
        <v>10.256217416440277</v>
      </c>
      <c r="AG39" s="109">
        <f t="shared" si="13"/>
        <v>9.8777458870317236</v>
      </c>
      <c r="AH39" s="109">
        <f t="shared" si="11"/>
        <v>10.034528696271058</v>
      </c>
      <c r="AI39" s="109">
        <f t="shared" si="11"/>
        <v>10.086789632684171</v>
      </c>
      <c r="AJ39" s="109">
        <f t="shared" si="11"/>
        <v>10.030313704765469</v>
      </c>
      <c r="AK39" s="109">
        <f t="shared" si="11"/>
        <v>10.050544011240234</v>
      </c>
      <c r="AL39" s="109">
        <f t="shared" si="11"/>
        <v>10.038462137425588</v>
      </c>
      <c r="AM39" s="109">
        <f t="shared" si="11"/>
        <v>10.041178281645628</v>
      </c>
      <c r="AN39" s="109">
        <f t="shared" si="11"/>
        <v>10.043394810103818</v>
      </c>
      <c r="AO39" s="109">
        <f t="shared" si="11"/>
        <v>10.041011743058347</v>
      </c>
      <c r="AP39" s="109">
        <f t="shared" si="11"/>
        <v>10.041861611602599</v>
      </c>
      <c r="AQ39" s="109">
        <f t="shared" si="11"/>
        <v>10.041350545435526</v>
      </c>
      <c r="AR39" s="109">
        <f t="shared" si="11"/>
        <v>10.041463479561251</v>
      </c>
      <c r="AS39" s="109">
        <f t="shared" si="11"/>
        <v>10.041558545533123</v>
      </c>
      <c r="AT39" s="109">
        <f t="shared" si="11"/>
        <v>10.041457523509967</v>
      </c>
      <c r="AU39" s="109">
        <f t="shared" si="11"/>
        <v>10.041493182868114</v>
      </c>
      <c r="AV39" s="109">
        <f t="shared" si="11"/>
        <v>10.041471395313112</v>
      </c>
      <c r="AW39" s="109">
        <f t="shared" si="11"/>
        <v>10.041476019247492</v>
      </c>
      <c r="AX39" s="109">
        <f t="shared" si="12"/>
        <v>10.041480199142905</v>
      </c>
      <c r="AY39" s="109">
        <f t="shared" si="12"/>
        <v>10.041475871234502</v>
      </c>
      <c r="AZ39" s="109">
        <f t="shared" si="12"/>
        <v>10.041477363208299</v>
      </c>
    </row>
    <row r="40" spans="1:52">
      <c r="A40" s="69" t="s">
        <v>33</v>
      </c>
      <c r="B40" s="207">
        <v>17.5</v>
      </c>
      <c r="C40" s="207">
        <v>17.5</v>
      </c>
      <c r="D40" s="207">
        <v>17.499999999999996</v>
      </c>
      <c r="E40" s="207">
        <v>17.500000000000007</v>
      </c>
      <c r="F40" s="207">
        <v>17.5</v>
      </c>
      <c r="G40" s="207">
        <v>17.5</v>
      </c>
      <c r="H40" s="207">
        <v>17.500000000000004</v>
      </c>
      <c r="I40" s="207">
        <v>17.499999999999996</v>
      </c>
      <c r="J40" s="207">
        <v>17.500000000000004</v>
      </c>
      <c r="K40" s="207">
        <v>17.5</v>
      </c>
      <c r="L40" s="207">
        <v>17.5</v>
      </c>
      <c r="M40" s="207">
        <v>17.5</v>
      </c>
      <c r="N40" s="207">
        <v>17.5</v>
      </c>
      <c r="O40" s="207">
        <v>17.5</v>
      </c>
      <c r="P40" s="207">
        <v>17.499999999999996</v>
      </c>
      <c r="Q40" s="207">
        <v>17.5</v>
      </c>
      <c r="R40" s="207">
        <v>17.500000000000004</v>
      </c>
      <c r="S40" s="207">
        <v>17.5</v>
      </c>
      <c r="T40" s="207">
        <v>17.499999999999996</v>
      </c>
      <c r="U40" s="207">
        <v>17.5</v>
      </c>
      <c r="V40" s="207">
        <v>17.5</v>
      </c>
      <c r="W40" s="224">
        <f>W24/'NASS Data'!E8</f>
        <v>10.382784334352431</v>
      </c>
      <c r="X40" s="224">
        <f>X24/'NASS Data'!$E20</f>
        <v>10.565251359548647</v>
      </c>
      <c r="Y40" s="224">
        <f>Y24/'NASS Data'!$E20</f>
        <v>10.947772125974145</v>
      </c>
      <c r="Z40" s="224">
        <f>Z24/'NASS Data'!$E20</f>
        <v>11.397786216729772</v>
      </c>
      <c r="AA40" s="224">
        <f>AA24/'NASS Data'!$E20</f>
        <v>11.024317016889373</v>
      </c>
      <c r="AB40" s="224">
        <f>AB24/'NASS Data'!$E20</f>
        <v>6.0217444076441655</v>
      </c>
      <c r="AC40" s="224">
        <f>AC24/'NASS Data'!$E20</f>
        <v>9.9413936175852626</v>
      </c>
      <c r="AD40" s="224">
        <f>AD24/'NASS Data'!$E20</f>
        <v>10.803658574015531</v>
      </c>
      <c r="AE40" s="224">
        <f>AE24/'NASS Data'!$E20</f>
        <v>10.47549185107885</v>
      </c>
      <c r="AF40" s="224">
        <f>AF24/'NASS Data'!$E20</f>
        <v>10.682634329545106</v>
      </c>
      <c r="AG40" s="109">
        <f t="shared" si="13"/>
        <v>10.366506599403076</v>
      </c>
      <c r="AH40" s="109">
        <f t="shared" si="11"/>
        <v>10.508210926675675</v>
      </c>
      <c r="AI40" s="109">
        <f t="shared" si="11"/>
        <v>10.555445702433211</v>
      </c>
      <c r="AJ40" s="109">
        <f t="shared" si="11"/>
        <v>10.513049493395913</v>
      </c>
      <c r="AK40" s="109">
        <f t="shared" si="11"/>
        <v>10.5255687075016</v>
      </c>
      <c r="AL40" s="109">
        <f t="shared" si="11"/>
        <v>10.515609709191063</v>
      </c>
      <c r="AM40" s="109">
        <f t="shared" si="11"/>
        <v>10.518075970029523</v>
      </c>
      <c r="AN40" s="109">
        <f t="shared" si="11"/>
        <v>10.519751462240727</v>
      </c>
      <c r="AO40" s="109">
        <f t="shared" si="11"/>
        <v>10.517812380487106</v>
      </c>
      <c r="AP40" s="109">
        <f t="shared" si="11"/>
        <v>10.518546604252455</v>
      </c>
      <c r="AQ40" s="109">
        <f t="shared" si="11"/>
        <v>10.518144984923028</v>
      </c>
      <c r="AR40" s="109">
        <f t="shared" si="11"/>
        <v>10.518255853068334</v>
      </c>
      <c r="AS40" s="109">
        <f t="shared" si="11"/>
        <v>10.518315814081271</v>
      </c>
      <c r="AT40" s="109">
        <f t="shared" si="11"/>
        <v>10.518238884024209</v>
      </c>
      <c r="AU40" s="109">
        <f t="shared" si="11"/>
        <v>10.518270183724603</v>
      </c>
      <c r="AV40" s="109">
        <f t="shared" si="11"/>
        <v>10.518254973605716</v>
      </c>
      <c r="AW40" s="109">
        <f t="shared" si="11"/>
        <v>10.518260336799552</v>
      </c>
      <c r="AX40" s="109">
        <f t="shared" si="12"/>
        <v>10.518261831376625</v>
      </c>
      <c r="AY40" s="109">
        <f t="shared" si="12"/>
        <v>10.51825904726063</v>
      </c>
      <c r="AZ40" s="109">
        <f t="shared" si="12"/>
        <v>10.518260405145602</v>
      </c>
    </row>
    <row r="41" spans="1:52">
      <c r="A41" s="69" t="s">
        <v>14</v>
      </c>
      <c r="B41" s="207">
        <v>17.499999999999996</v>
      </c>
      <c r="C41" s="207">
        <v>17.5</v>
      </c>
      <c r="D41" s="207">
        <v>17.5</v>
      </c>
      <c r="E41" s="207">
        <v>17.500000000000004</v>
      </c>
      <c r="F41" s="207">
        <v>17.5</v>
      </c>
      <c r="G41" s="207">
        <v>17.500000000000004</v>
      </c>
      <c r="H41" s="207">
        <v>17.5</v>
      </c>
      <c r="I41" s="207">
        <v>17.499999999999996</v>
      </c>
      <c r="J41" s="207">
        <v>17.5</v>
      </c>
      <c r="K41" s="207">
        <v>17.5</v>
      </c>
      <c r="L41" s="207">
        <v>17.500000000000004</v>
      </c>
      <c r="M41" s="207">
        <v>17.5</v>
      </c>
      <c r="N41" s="207">
        <v>17.5</v>
      </c>
      <c r="O41" s="207">
        <v>17.500000000000004</v>
      </c>
      <c r="P41" s="207">
        <v>17.5</v>
      </c>
      <c r="Q41" s="207">
        <v>17.5</v>
      </c>
      <c r="R41" s="207">
        <v>17.499999999999996</v>
      </c>
      <c r="S41" s="207">
        <v>17.500000000000004</v>
      </c>
      <c r="T41" s="207">
        <v>17.5</v>
      </c>
      <c r="U41" s="207">
        <v>17.5</v>
      </c>
      <c r="V41" s="207">
        <v>17.5</v>
      </c>
      <c r="W41" s="224">
        <f>W25/'NASS Data'!E9</f>
        <v>10.128332290791825</v>
      </c>
      <c r="X41" s="224">
        <f>X25/'NASS Data'!$E21</f>
        <v>10.320504171563798</v>
      </c>
      <c r="Y41" s="224">
        <f>Y25/'NASS Data'!$E21</f>
        <v>10.973689897068047</v>
      </c>
      <c r="Z41" s="224">
        <f>Z25/'NASS Data'!$E21</f>
        <v>11.13550598987019</v>
      </c>
      <c r="AA41" s="224">
        <f>AA25/'NASS Data'!$E21</f>
        <v>10.921048609390894</v>
      </c>
      <c r="AB41" s="224">
        <f>AB25/'NASS Data'!$E21</f>
        <v>6.2659734263744031</v>
      </c>
      <c r="AC41" s="224">
        <f>AC25/'NASS Data'!$E21</f>
        <v>9.8884218681648814</v>
      </c>
      <c r="AD41" s="224">
        <f>AD25/'NASS Data'!$E21</f>
        <v>10.584899097171348</v>
      </c>
      <c r="AE41" s="224">
        <f>AE25/'NASS Data'!$E21</f>
        <v>10.249487448415438</v>
      </c>
      <c r="AF41" s="224">
        <f>AF25/'NASS Data'!$E21</f>
        <v>10.5808197663081</v>
      </c>
      <c r="AG41" s="109">
        <f t="shared" si="13"/>
        <v>10.239576360962809</v>
      </c>
      <c r="AH41" s="109">
        <f t="shared" si="11"/>
        <v>10.356627858562112</v>
      </c>
      <c r="AI41" s="109">
        <f t="shared" si="11"/>
        <v>10.395645024428552</v>
      </c>
      <c r="AJ41" s="109">
        <f t="shared" si="11"/>
        <v>10.333920110468702</v>
      </c>
      <c r="AK41" s="109">
        <f t="shared" si="11"/>
        <v>10.362064331153125</v>
      </c>
      <c r="AL41" s="109">
        <f t="shared" si="11"/>
        <v>10.350870766727979</v>
      </c>
      <c r="AM41" s="109">
        <f t="shared" si="11"/>
        <v>10.356520985481069</v>
      </c>
      <c r="AN41" s="109">
        <f t="shared" si="11"/>
        <v>10.356485361120724</v>
      </c>
      <c r="AO41" s="109">
        <f t="shared" si="11"/>
        <v>10.354625704443256</v>
      </c>
      <c r="AP41" s="109">
        <f t="shared" si="11"/>
        <v>10.355877350348349</v>
      </c>
      <c r="AQ41" s="109">
        <f t="shared" si="11"/>
        <v>10.355662805304112</v>
      </c>
      <c r="AR41" s="109">
        <f t="shared" si="11"/>
        <v>10.356008505591063</v>
      </c>
      <c r="AS41" s="109">
        <f t="shared" si="11"/>
        <v>10.35584955374784</v>
      </c>
      <c r="AT41" s="109">
        <f t="shared" si="11"/>
        <v>10.355796569800098</v>
      </c>
      <c r="AU41" s="109">
        <f t="shared" si="11"/>
        <v>10.355841157965429</v>
      </c>
      <c r="AV41" s="109">
        <f t="shared" si="11"/>
        <v>10.355829093837789</v>
      </c>
      <c r="AW41" s="109">
        <f t="shared" si="11"/>
        <v>10.355839935183687</v>
      </c>
      <c r="AX41" s="109">
        <f t="shared" si="12"/>
        <v>10.355836728995635</v>
      </c>
      <c r="AY41" s="109">
        <f t="shared" si="12"/>
        <v>10.355835252672371</v>
      </c>
      <c r="AZ41" s="109">
        <f t="shared" si="12"/>
        <v>10.35583730561723</v>
      </c>
    </row>
    <row r="42" spans="1:52">
      <c r="A42" s="69" t="s">
        <v>34</v>
      </c>
      <c r="B42" s="207">
        <v>17.5</v>
      </c>
      <c r="C42" s="207">
        <v>17.5</v>
      </c>
      <c r="D42" s="207">
        <v>17.5</v>
      </c>
      <c r="E42" s="207">
        <v>17.5</v>
      </c>
      <c r="F42" s="207">
        <v>17.499999999999996</v>
      </c>
      <c r="G42" s="207">
        <v>17.499999999999996</v>
      </c>
      <c r="H42" s="207">
        <v>17.500000000000004</v>
      </c>
      <c r="I42" s="207">
        <v>17.5</v>
      </c>
      <c r="J42" s="207">
        <v>17.499999999999993</v>
      </c>
      <c r="K42" s="207">
        <v>17.5</v>
      </c>
      <c r="L42" s="207">
        <v>17.5</v>
      </c>
      <c r="M42" s="207">
        <v>17.5</v>
      </c>
      <c r="N42" s="207">
        <v>17.5</v>
      </c>
      <c r="O42" s="207">
        <v>17.499999999999996</v>
      </c>
      <c r="P42" s="207">
        <v>17.5</v>
      </c>
      <c r="Q42" s="207">
        <v>17.5</v>
      </c>
      <c r="R42" s="207">
        <v>17.5</v>
      </c>
      <c r="S42" s="207">
        <v>17.5</v>
      </c>
      <c r="T42" s="207">
        <v>17.500000000000004</v>
      </c>
      <c r="U42" s="207">
        <v>17.5</v>
      </c>
      <c r="V42" s="207">
        <v>17.5</v>
      </c>
      <c r="W42" s="224">
        <f>W26/'NASS Data'!E10</f>
        <v>10.114906596850171</v>
      </c>
      <c r="X42" s="224">
        <f>X26/'NASS Data'!$E22</f>
        <v>10.104042090194017</v>
      </c>
      <c r="Y42" s="224">
        <f>Y26/'NASS Data'!$E22</f>
        <v>10.377194701107896</v>
      </c>
      <c r="Z42" s="224">
        <f>Z26/'NASS Data'!$E22</f>
        <v>10.727231404634832</v>
      </c>
      <c r="AA42" s="224">
        <f>AA26/'NASS Data'!$E22</f>
        <v>10.488133397074689</v>
      </c>
      <c r="AB42" s="224">
        <f>AB26/'NASS Data'!$E22</f>
        <v>8.0095481417043484</v>
      </c>
      <c r="AC42" s="224">
        <f>AC26/'NASS Data'!$E22</f>
        <v>9.9839627792276318</v>
      </c>
      <c r="AD42" s="224">
        <f>AD26/'NASS Data'!$E22</f>
        <v>10.562655924680705</v>
      </c>
      <c r="AE42" s="224">
        <f>AE26/'NASS Data'!$E22</f>
        <v>10.176764708187365</v>
      </c>
      <c r="AF42" s="224">
        <f>AF26/'NASS Data'!$E22</f>
        <v>9.5371149721654032</v>
      </c>
      <c r="AG42" s="109">
        <f t="shared" si="13"/>
        <v>9.8992808198601328</v>
      </c>
      <c r="AH42" s="109">
        <f t="shared" si="11"/>
        <v>10.020002769091709</v>
      </c>
      <c r="AI42" s="109">
        <f t="shared" si="11"/>
        <v>10.032016099046402</v>
      </c>
      <c r="AJ42" s="109">
        <f t="shared" si="11"/>
        <v>9.9837665626660819</v>
      </c>
      <c r="AK42" s="109">
        <f t="shared" si="11"/>
        <v>9.9676833838726413</v>
      </c>
      <c r="AL42" s="109">
        <f t="shared" si="11"/>
        <v>9.9904842385434787</v>
      </c>
      <c r="AM42" s="109">
        <f t="shared" si="11"/>
        <v>9.998084523433759</v>
      </c>
      <c r="AN42" s="109">
        <f t="shared" si="11"/>
        <v>9.9907784415477749</v>
      </c>
      <c r="AO42" s="109">
        <f t="shared" si="11"/>
        <v>9.9883430809191136</v>
      </c>
      <c r="AP42" s="109">
        <f t="shared" si="11"/>
        <v>9.9898685870034569</v>
      </c>
      <c r="AQ42" s="109">
        <f t="shared" si="11"/>
        <v>9.9903770890315684</v>
      </c>
      <c r="AR42" s="109">
        <f t="shared" si="11"/>
        <v>9.9903413725276007</v>
      </c>
      <c r="AS42" s="109">
        <f t="shared" si="11"/>
        <v>9.9901956828542087</v>
      </c>
      <c r="AT42" s="109">
        <f t="shared" si="11"/>
        <v>9.9901352141284221</v>
      </c>
      <c r="AU42" s="109">
        <f t="shared" si="11"/>
        <v>9.9902240898367438</v>
      </c>
      <c r="AV42" s="109">
        <f t="shared" si="11"/>
        <v>9.9902537150728516</v>
      </c>
      <c r="AW42" s="109">
        <f t="shared" si="11"/>
        <v>9.990224495921268</v>
      </c>
      <c r="AX42" s="109">
        <f t="shared" si="12"/>
        <v>9.9902147562040735</v>
      </c>
      <c r="AY42" s="109">
        <f t="shared" si="12"/>
        <v>9.9902211139873618</v>
      </c>
      <c r="AZ42" s="109">
        <f t="shared" si="12"/>
        <v>9.9902232332484573</v>
      </c>
    </row>
    <row r="43" spans="1:52">
      <c r="A43" s="69" t="s">
        <v>35</v>
      </c>
      <c r="B43" s="207">
        <v>17.500000000000004</v>
      </c>
      <c r="C43" s="207">
        <v>17.500000000000004</v>
      </c>
      <c r="D43" s="207">
        <v>17.5</v>
      </c>
      <c r="E43" s="207">
        <v>17.5</v>
      </c>
      <c r="F43" s="207">
        <v>17.499999999999996</v>
      </c>
      <c r="G43" s="207">
        <v>17.500000000000004</v>
      </c>
      <c r="H43" s="207">
        <v>17.5</v>
      </c>
      <c r="I43" s="207">
        <v>17.5</v>
      </c>
      <c r="J43" s="207">
        <v>17.5</v>
      </c>
      <c r="K43" s="207">
        <v>17.5</v>
      </c>
      <c r="L43" s="207">
        <v>17.499999999999996</v>
      </c>
      <c r="M43" s="207">
        <v>17.5</v>
      </c>
      <c r="N43" s="207">
        <v>17.5</v>
      </c>
      <c r="O43" s="207">
        <v>17.500000000000004</v>
      </c>
      <c r="P43" s="207">
        <v>17.500000000000004</v>
      </c>
      <c r="Q43" s="207">
        <v>17.5</v>
      </c>
      <c r="R43" s="207">
        <v>17.500000000000004</v>
      </c>
      <c r="S43" s="207">
        <v>17.5</v>
      </c>
      <c r="T43" s="207">
        <v>17.5</v>
      </c>
      <c r="U43" s="207">
        <v>17.5</v>
      </c>
      <c r="V43" s="207">
        <v>17.500000000000004</v>
      </c>
      <c r="W43" s="224">
        <f>W27/'NASS Data'!E11</f>
        <v>10.084681246465697</v>
      </c>
      <c r="X43" s="224">
        <f>X27/'NASS Data'!$E23</f>
        <v>9.8901773299649456</v>
      </c>
      <c r="Y43" s="224">
        <f>Y27/'NASS Data'!$E23</f>
        <v>10.182348275659479</v>
      </c>
      <c r="Z43" s="224">
        <f>Z27/'NASS Data'!$E23</f>
        <v>10.405313044670306</v>
      </c>
      <c r="AA43" s="224">
        <f>AA27/'NASS Data'!$E23</f>
        <v>9.6500328026163764</v>
      </c>
      <c r="AB43" s="224">
        <f>AB27/'NASS Data'!$E23</f>
        <v>8.3903780623935127</v>
      </c>
      <c r="AC43" s="224">
        <f>AC27/'NASS Data'!$E23</f>
        <v>9.3838664982472615</v>
      </c>
      <c r="AD43" s="224">
        <f>AD27/'NASS Data'!$E23</f>
        <v>9.8972666118324426</v>
      </c>
      <c r="AE43" s="224">
        <f>AE27/'NASS Data'!$E23</f>
        <v>9.6337416524685171</v>
      </c>
      <c r="AF43" s="224">
        <f>AF27/'NASS Data'!$E23</f>
        <v>9.8194778998492058</v>
      </c>
      <c r="AG43" s="109">
        <f t="shared" si="13"/>
        <v>9.6123620168549948</v>
      </c>
      <c r="AH43" s="109">
        <f t="shared" si="11"/>
        <v>9.6885271897242387</v>
      </c>
      <c r="AI43" s="109">
        <f t="shared" si="11"/>
        <v>9.7139155806806539</v>
      </c>
      <c r="AJ43" s="109">
        <f t="shared" si="11"/>
        <v>9.6787281409578032</v>
      </c>
      <c r="AK43" s="109">
        <f t="shared" si="11"/>
        <v>9.6937236371208986</v>
      </c>
      <c r="AL43" s="109">
        <f t="shared" si="11"/>
        <v>9.6869929892676456</v>
      </c>
      <c r="AM43" s="109">
        <f t="shared" si="11"/>
        <v>9.6897479387042598</v>
      </c>
      <c r="AN43" s="109">
        <f t="shared" si="11"/>
        <v>9.6901548550309329</v>
      </c>
      <c r="AO43" s="109">
        <f t="shared" si="11"/>
        <v>9.6889652610009467</v>
      </c>
      <c r="AP43" s="109">
        <f t="shared" si="11"/>
        <v>9.689622684912047</v>
      </c>
      <c r="AQ43" s="109">
        <f t="shared" si="11"/>
        <v>9.689445294872419</v>
      </c>
      <c r="AR43" s="109">
        <f t="shared" si="11"/>
        <v>9.6896053061629086</v>
      </c>
      <c r="AS43" s="109">
        <f t="shared" si="11"/>
        <v>9.6895577619824582</v>
      </c>
      <c r="AT43" s="109">
        <f t="shared" si="11"/>
        <v>9.6895361210059292</v>
      </c>
      <c r="AU43" s="109">
        <f t="shared" si="11"/>
        <v>9.6895663963837659</v>
      </c>
      <c r="AV43" s="109">
        <f t="shared" si="11"/>
        <v>9.689553426457385</v>
      </c>
      <c r="AW43" s="109">
        <f t="shared" si="11"/>
        <v>9.6895591949412037</v>
      </c>
      <c r="AX43" s="109">
        <f t="shared" si="12"/>
        <v>9.6895567944603496</v>
      </c>
      <c r="AY43" s="109">
        <f t="shared" si="12"/>
        <v>9.6895564719529812</v>
      </c>
      <c r="AZ43" s="109">
        <f t="shared" si="12"/>
        <v>9.6895574871181775</v>
      </c>
    </row>
    <row r="44" spans="1:52">
      <c r="A44" s="69" t="s">
        <v>36</v>
      </c>
      <c r="B44" s="207">
        <v>17.5</v>
      </c>
      <c r="C44" s="207">
        <v>17.5</v>
      </c>
      <c r="D44" s="207">
        <v>17.5</v>
      </c>
      <c r="E44" s="207">
        <v>17.499999999999996</v>
      </c>
      <c r="F44" s="207">
        <v>17.5</v>
      </c>
      <c r="G44" s="207">
        <v>17.5</v>
      </c>
      <c r="H44" s="207">
        <v>17.500000000000004</v>
      </c>
      <c r="I44" s="207">
        <v>17.500000000000004</v>
      </c>
      <c r="J44" s="207">
        <v>17.5</v>
      </c>
      <c r="K44" s="207">
        <v>17.5</v>
      </c>
      <c r="L44" s="207">
        <v>17.5</v>
      </c>
      <c r="M44" s="207">
        <v>17.5</v>
      </c>
      <c r="N44" s="207">
        <v>17.5</v>
      </c>
      <c r="O44" s="207">
        <v>17.499999999999996</v>
      </c>
      <c r="P44" s="207">
        <v>17.5</v>
      </c>
      <c r="Q44" s="207">
        <v>17.5</v>
      </c>
      <c r="R44" s="207">
        <v>17.5</v>
      </c>
      <c r="S44" s="207">
        <v>17.5</v>
      </c>
      <c r="T44" s="207">
        <v>17.5</v>
      </c>
      <c r="U44" s="207">
        <v>17.5</v>
      </c>
      <c r="V44" s="207">
        <v>17.5</v>
      </c>
      <c r="W44" s="224">
        <f>W28/'NASS Data'!E12</f>
        <v>10.058032956491605</v>
      </c>
      <c r="X44" s="224">
        <f>X28/'NASS Data'!$E24</f>
        <v>9.9302295056464907</v>
      </c>
      <c r="Y44" s="224">
        <f>Y28/'NASS Data'!$E24</f>
        <v>10.496840104422395</v>
      </c>
      <c r="Z44" s="224">
        <f>Z28/'NASS Data'!$E24</f>
        <v>10.442098559573754</v>
      </c>
      <c r="AA44" s="224">
        <f>AA28/'NASS Data'!$E24</f>
        <v>9.8262762332100166</v>
      </c>
      <c r="AB44" s="224">
        <f>AB28/'NASS Data'!$E24</f>
        <v>8.3819681774208448</v>
      </c>
      <c r="AC44" s="224">
        <f>AC28/'NASS Data'!$E24</f>
        <v>8.9655352620039572</v>
      </c>
      <c r="AD44" s="224">
        <f>AD28/'NASS Data'!$E24</f>
        <v>9.8941969733061743</v>
      </c>
      <c r="AE44" s="224">
        <f>AE28/'NASS Data'!$E24</f>
        <v>9.4887702172549737</v>
      </c>
      <c r="AF44" s="224">
        <f>AF28/'NASS Data'!$E24</f>
        <v>9.7052011881207374</v>
      </c>
      <c r="AG44" s="109">
        <f t="shared" si="13"/>
        <v>9.3865022224598906</v>
      </c>
      <c r="AH44" s="109">
        <f t="shared" si="11"/>
        <v>9.5268245426118696</v>
      </c>
      <c r="AI44" s="109">
        <f t="shared" si="11"/>
        <v>9.5735986493291936</v>
      </c>
      <c r="AJ44" s="109">
        <f t="shared" si="11"/>
        <v>9.529731136398679</v>
      </c>
      <c r="AK44" s="109">
        <f t="shared" si="11"/>
        <v>9.543384776113248</v>
      </c>
      <c r="AL44" s="109">
        <f t="shared" si="11"/>
        <v>9.5333134850412673</v>
      </c>
      <c r="AM44" s="109">
        <f t="shared" si="11"/>
        <v>9.5354764658510671</v>
      </c>
      <c r="AN44" s="109">
        <f t="shared" si="11"/>
        <v>9.5373915756685292</v>
      </c>
      <c r="AO44" s="109">
        <f t="shared" si="11"/>
        <v>9.535393842186954</v>
      </c>
      <c r="AP44" s="109">
        <f t="shared" si="11"/>
        <v>9.5360872945688495</v>
      </c>
      <c r="AQ44" s="109">
        <f t="shared" si="11"/>
        <v>9.5356525342022902</v>
      </c>
      <c r="AR44" s="109">
        <f t="shared" si="11"/>
        <v>9.5357387648740701</v>
      </c>
      <c r="AS44" s="109">
        <f t="shared" si="11"/>
        <v>9.5358261978817378</v>
      </c>
      <c r="AT44" s="109">
        <f t="shared" si="11"/>
        <v>9.5357391656526982</v>
      </c>
      <c r="AU44" s="109">
        <f t="shared" si="11"/>
        <v>9.535768042802836</v>
      </c>
      <c r="AV44" s="109">
        <f t="shared" si="11"/>
        <v>9.5357486577765354</v>
      </c>
      <c r="AW44" s="109">
        <f t="shared" si="11"/>
        <v>9.5357519554106904</v>
      </c>
      <c r="AX44" s="109">
        <f t="shared" si="12"/>
        <v>9.5357562186633515</v>
      </c>
      <c r="AY44" s="109">
        <f t="shared" si="12"/>
        <v>9.5357522772835264</v>
      </c>
      <c r="AZ44" s="109">
        <f t="shared" si="12"/>
        <v>9.5357534837858555</v>
      </c>
    </row>
    <row r="45" spans="1:52" ht="12" thickBot="1">
      <c r="A45" s="69" t="s">
        <v>338</v>
      </c>
      <c r="B45" s="209">
        <v>0.43123287671232879</v>
      </c>
      <c r="C45" s="209">
        <v>0.4</v>
      </c>
      <c r="D45" s="209">
        <v>0.38043478260869568</v>
      </c>
      <c r="E45" s="210">
        <f>AVERAGE(E33:E44)</f>
        <v>17.500000000000004</v>
      </c>
      <c r="F45" s="210">
        <f t="shared" ref="F45:AZ45" si="14">AVERAGE(F33:F44)</f>
        <v>17.5</v>
      </c>
      <c r="G45" s="210">
        <f t="shared" si="14"/>
        <v>17.5</v>
      </c>
      <c r="H45" s="210">
        <f t="shared" si="14"/>
        <v>17.5</v>
      </c>
      <c r="I45" s="210">
        <f t="shared" si="14"/>
        <v>17.5</v>
      </c>
      <c r="J45" s="210">
        <f t="shared" si="14"/>
        <v>17.5</v>
      </c>
      <c r="K45" s="210">
        <f t="shared" si="14"/>
        <v>17.5</v>
      </c>
      <c r="L45" s="210">
        <f t="shared" si="14"/>
        <v>17.5</v>
      </c>
      <c r="M45" s="210">
        <f t="shared" si="14"/>
        <v>17.5</v>
      </c>
      <c r="N45" s="210">
        <f t="shared" si="14"/>
        <v>17.5</v>
      </c>
      <c r="O45" s="210">
        <f t="shared" si="14"/>
        <v>17.5</v>
      </c>
      <c r="P45" s="210">
        <f t="shared" si="14"/>
        <v>17.5</v>
      </c>
      <c r="Q45" s="210">
        <f t="shared" si="14"/>
        <v>17.5</v>
      </c>
      <c r="R45" s="210">
        <f t="shared" si="14"/>
        <v>17.5</v>
      </c>
      <c r="S45" s="210">
        <f t="shared" si="14"/>
        <v>17.5</v>
      </c>
      <c r="T45" s="210">
        <f t="shared" si="14"/>
        <v>17.5</v>
      </c>
      <c r="U45" s="210">
        <f t="shared" si="14"/>
        <v>17.5</v>
      </c>
      <c r="V45" s="210">
        <f t="shared" si="14"/>
        <v>17.5</v>
      </c>
      <c r="W45" s="213">
        <f t="shared" si="14"/>
        <v>12.703874721159771</v>
      </c>
      <c r="X45" s="213">
        <f t="shared" si="14"/>
        <v>10.256302594290913</v>
      </c>
      <c r="Y45" s="213">
        <f t="shared" si="14"/>
        <v>10.598689667589294</v>
      </c>
      <c r="Z45" s="213">
        <f t="shared" si="14"/>
        <v>10.780932789921939</v>
      </c>
      <c r="AA45" s="213">
        <f t="shared" si="14"/>
        <v>10.317325293759302</v>
      </c>
      <c r="AB45" s="213">
        <f t="shared" si="14"/>
        <v>8.9515721903413077</v>
      </c>
      <c r="AC45" s="213">
        <f t="shared" si="14"/>
        <v>9.2569922640929487</v>
      </c>
      <c r="AD45" s="213">
        <f t="shared" si="14"/>
        <v>10.407533162679213</v>
      </c>
      <c r="AE45" s="213">
        <f t="shared" si="14"/>
        <v>9.9606029707158186</v>
      </c>
      <c r="AF45" s="213">
        <f t="shared" si="14"/>
        <v>10.124976545422291</v>
      </c>
      <c r="AG45" s="123">
        <f t="shared" si="14"/>
        <v>9.9761020666384166</v>
      </c>
      <c r="AH45" s="123">
        <f t="shared" si="14"/>
        <v>10.021908247393462</v>
      </c>
      <c r="AI45" s="123">
        <f t="shared" si="14"/>
        <v>10.072810306637558</v>
      </c>
      <c r="AJ45" s="123">
        <f t="shared" si="14"/>
        <v>10.030337191647419</v>
      </c>
      <c r="AK45" s="123">
        <f t="shared" si="14"/>
        <v>10.03977933936954</v>
      </c>
      <c r="AL45" s="123">
        <f t="shared" si="14"/>
        <v>10.036386274780101</v>
      </c>
      <c r="AM45" s="123">
        <f t="shared" si="14"/>
        <v>10.038410230679887</v>
      </c>
      <c r="AN45" s="123">
        <f t="shared" si="14"/>
        <v>10.039276079085989</v>
      </c>
      <c r="AO45" s="123">
        <f t="shared" si="14"/>
        <v>10.037598785513723</v>
      </c>
      <c r="AP45" s="123">
        <f t="shared" si="14"/>
        <v>10.038202574629748</v>
      </c>
      <c r="AQ45" s="123">
        <f t="shared" si="14"/>
        <v>10.038046541355145</v>
      </c>
      <c r="AR45" s="123">
        <f t="shared" si="14"/>
        <v>10.038147353081818</v>
      </c>
      <c r="AS45" s="123">
        <f t="shared" si="14"/>
        <v>10.038149165360959</v>
      </c>
      <c r="AT45" s="123">
        <f t="shared" si="14"/>
        <v>10.038084079274785</v>
      </c>
      <c r="AU45" s="123">
        <f t="shared" si="14"/>
        <v>10.038120401711906</v>
      </c>
      <c r="AV45" s="123">
        <f t="shared" si="14"/>
        <v>10.038112723282969</v>
      </c>
      <c r="AW45" s="123">
        <f t="shared" si="14"/>
        <v>10.038113865365206</v>
      </c>
      <c r="AX45" s="123">
        <f t="shared" si="14"/>
        <v>10.038113730549776</v>
      </c>
      <c r="AY45" s="123">
        <f t="shared" si="14"/>
        <v>10.038112099948984</v>
      </c>
      <c r="AZ45" s="123">
        <f t="shared" si="14"/>
        <v>10.038113562603732</v>
      </c>
    </row>
    <row r="46" spans="1:52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/>
      <c r="AW46" s="199"/>
      <c r="AX46" s="199"/>
      <c r="AY46" s="199"/>
      <c r="AZ46" s="199"/>
    </row>
    <row r="47" spans="1:52" ht="12" thickBot="1">
      <c r="A47" s="69" t="s">
        <v>351</v>
      </c>
      <c r="J47" s="211"/>
    </row>
    <row r="48" spans="1:52" ht="12" thickBot="1">
      <c r="A48" s="202"/>
      <c r="B48" s="203" t="str">
        <f>B$2</f>
        <v xml:space="preserve">93/94 </v>
      </c>
      <c r="C48" s="203" t="str">
        <f t="shared" ref="C48:AZ48" si="15">C$2</f>
        <v xml:space="preserve">94/95 </v>
      </c>
      <c r="D48" s="203" t="str">
        <f t="shared" si="15"/>
        <v xml:space="preserve">95/96 </v>
      </c>
      <c r="E48" s="203" t="str">
        <f t="shared" si="15"/>
        <v xml:space="preserve">96/97 </v>
      </c>
      <c r="F48" s="203" t="str">
        <f t="shared" si="15"/>
        <v xml:space="preserve">97/98 </v>
      </c>
      <c r="G48" s="203" t="str">
        <f t="shared" si="15"/>
        <v xml:space="preserve">98/99 </v>
      </c>
      <c r="H48" s="203" t="str">
        <f t="shared" si="15"/>
        <v xml:space="preserve">99/00 </v>
      </c>
      <c r="I48" s="203" t="str">
        <f t="shared" si="15"/>
        <v xml:space="preserve">00/01 </v>
      </c>
      <c r="J48" s="203" t="str">
        <f t="shared" si="15"/>
        <v xml:space="preserve">01/02 </v>
      </c>
      <c r="K48" s="203" t="str">
        <f t="shared" si="15"/>
        <v xml:space="preserve">02/03 </v>
      </c>
      <c r="L48" s="203" t="str">
        <f t="shared" si="15"/>
        <v xml:space="preserve">03/04 </v>
      </c>
      <c r="M48" s="203" t="str">
        <f t="shared" si="15"/>
        <v xml:space="preserve">04/05 </v>
      </c>
      <c r="N48" s="203" t="str">
        <f t="shared" si="15"/>
        <v xml:space="preserve">05/06 </v>
      </c>
      <c r="O48" s="203" t="str">
        <f t="shared" si="15"/>
        <v xml:space="preserve">06/07 </v>
      </c>
      <c r="P48" s="203" t="str">
        <f t="shared" si="15"/>
        <v xml:space="preserve">07/08 </v>
      </c>
      <c r="Q48" s="203" t="str">
        <f t="shared" si="15"/>
        <v xml:space="preserve">08/09 </v>
      </c>
      <c r="R48" s="203" t="str">
        <f t="shared" si="15"/>
        <v xml:space="preserve">09/10 </v>
      </c>
      <c r="S48" s="203" t="str">
        <f t="shared" si="15"/>
        <v xml:space="preserve">10/11 </v>
      </c>
      <c r="T48" s="203" t="str">
        <f t="shared" si="15"/>
        <v xml:space="preserve">11/12 </v>
      </c>
      <c r="U48" s="203" t="str">
        <f t="shared" si="15"/>
        <v xml:space="preserve">12/13 </v>
      </c>
      <c r="V48" s="203" t="str">
        <f t="shared" si="15"/>
        <v xml:space="preserve">13/14 </v>
      </c>
      <c r="W48" s="203" t="str">
        <f t="shared" si="15"/>
        <v xml:space="preserve">14/15 </v>
      </c>
      <c r="X48" s="203" t="str">
        <f t="shared" si="15"/>
        <v xml:space="preserve">15/16 </v>
      </c>
      <c r="Y48" s="203" t="str">
        <f t="shared" si="15"/>
        <v xml:space="preserve">16/17 </v>
      </c>
      <c r="Z48" s="203" t="str">
        <f t="shared" si="15"/>
        <v xml:space="preserve">17/18 </v>
      </c>
      <c r="AA48" s="203" t="str">
        <f t="shared" si="15"/>
        <v xml:space="preserve">18/19 </v>
      </c>
      <c r="AB48" s="203" t="str">
        <f t="shared" si="15"/>
        <v xml:space="preserve">19/20 </v>
      </c>
      <c r="AC48" s="203" t="str">
        <f t="shared" si="15"/>
        <v xml:space="preserve">20/21 </v>
      </c>
      <c r="AD48" s="203" t="str">
        <f t="shared" si="15"/>
        <v>21/22</v>
      </c>
      <c r="AE48" s="203" t="str">
        <f t="shared" si="15"/>
        <v>22/23</v>
      </c>
      <c r="AF48" s="203" t="str">
        <f t="shared" si="15"/>
        <v>23/24</v>
      </c>
      <c r="AG48" s="203" t="str">
        <f t="shared" si="15"/>
        <v>24/25</v>
      </c>
      <c r="AH48" s="203" t="str">
        <f t="shared" si="15"/>
        <v>25/26</v>
      </c>
      <c r="AI48" s="203" t="str">
        <f t="shared" si="15"/>
        <v>26/27</v>
      </c>
      <c r="AJ48" s="203" t="str">
        <f t="shared" si="15"/>
        <v>27/28</v>
      </c>
      <c r="AK48" s="203" t="str">
        <f t="shared" si="15"/>
        <v>28/29</v>
      </c>
      <c r="AL48" s="203" t="str">
        <f t="shared" si="15"/>
        <v>29/30</v>
      </c>
      <c r="AM48" s="203" t="str">
        <f t="shared" si="15"/>
        <v>30/31</v>
      </c>
      <c r="AN48" s="203" t="str">
        <f t="shared" si="15"/>
        <v>31/32</v>
      </c>
      <c r="AO48" s="203" t="str">
        <f t="shared" si="15"/>
        <v>32/33</v>
      </c>
      <c r="AP48" s="203" t="str">
        <f t="shared" si="15"/>
        <v>33/34</v>
      </c>
      <c r="AQ48" s="203" t="str">
        <f t="shared" si="15"/>
        <v>34/35</v>
      </c>
      <c r="AR48" s="203" t="str">
        <f t="shared" si="15"/>
        <v>35/36</v>
      </c>
      <c r="AS48" s="203" t="str">
        <f t="shared" si="15"/>
        <v>36/37</v>
      </c>
      <c r="AT48" s="203" t="str">
        <f t="shared" si="15"/>
        <v>37/38</v>
      </c>
      <c r="AU48" s="203" t="str">
        <f t="shared" si="15"/>
        <v>38/39</v>
      </c>
      <c r="AV48" s="203" t="str">
        <f t="shared" si="15"/>
        <v>39/40</v>
      </c>
      <c r="AW48" s="203" t="str">
        <f t="shared" si="15"/>
        <v>40/41</v>
      </c>
      <c r="AX48" s="203" t="str">
        <f t="shared" si="15"/>
        <v>41/42</v>
      </c>
      <c r="AY48" s="203" t="str">
        <f t="shared" si="15"/>
        <v>42/43</v>
      </c>
      <c r="AZ48" s="203" t="str">
        <f t="shared" si="15"/>
        <v>43/44</v>
      </c>
    </row>
    <row r="49" spans="1:52">
      <c r="A49" s="69" t="s">
        <v>37</v>
      </c>
      <c r="B49" s="87">
        <v>4.3769999716015429</v>
      </c>
      <c r="C49" s="87">
        <v>3.6189999765195298</v>
      </c>
      <c r="D49" s="87">
        <v>4.6239999699989793</v>
      </c>
      <c r="E49" s="87">
        <v>13.844999910172117</v>
      </c>
      <c r="F49" s="87">
        <v>2.4989999837862129</v>
      </c>
      <c r="G49" s="87">
        <v>9.5239999382072398</v>
      </c>
      <c r="H49" s="87">
        <v>8.5789999443385039</v>
      </c>
      <c r="I49" s="87">
        <v>9.888999935839081</v>
      </c>
      <c r="J49" s="87">
        <v>7.7819999495095287</v>
      </c>
      <c r="K49" s="87">
        <v>8.2889999462200556</v>
      </c>
      <c r="L49" s="87">
        <v>8.1489999471283916</v>
      </c>
      <c r="M49" s="87">
        <v>9.191999940361292</v>
      </c>
      <c r="N49" s="87">
        <v>9.9979999351318778</v>
      </c>
      <c r="O49" s="87">
        <v>7.5819999508071509</v>
      </c>
      <c r="P49" s="87">
        <v>15.884999896936375</v>
      </c>
      <c r="Q49" s="87">
        <v>8.2309999465963664</v>
      </c>
      <c r="R49" s="87">
        <v>27.620999820791912</v>
      </c>
      <c r="S49" s="87">
        <v>31.175999797726682</v>
      </c>
      <c r="T49" s="87">
        <v>21.460999860758669</v>
      </c>
      <c r="U49" s="87">
        <v>33.148999784925643</v>
      </c>
      <c r="V49" s="87">
        <v>33.959999779663782</v>
      </c>
      <c r="W49" s="87">
        <v>33.360999783550163</v>
      </c>
      <c r="X49" s="87">
        <v>30.405999802722523</v>
      </c>
      <c r="Y49" s="87">
        <v>24.903999838420109</v>
      </c>
      <c r="Z49" s="87">
        <v>22.309000000000001</v>
      </c>
      <c r="AA49" s="217">
        <v>17.498000000000001</v>
      </c>
      <c r="AB49" s="217">
        <v>23.861999999999998</v>
      </c>
      <c r="AC49" s="217">
        <v>23.390999999999998</v>
      </c>
      <c r="AD49" s="217">
        <v>14.933999999999999</v>
      </c>
      <c r="AE49" s="217">
        <v>13.45</v>
      </c>
      <c r="AF49" s="217">
        <v>9.2560000000000002</v>
      </c>
      <c r="AG49" s="217">
        <v>6.3540000000000001</v>
      </c>
      <c r="AH49" s="77">
        <f t="shared" ref="AH49:AH59" si="16">(SUM(AB49:AF49)/SUM(AB$61:AF$61))*AH$61</f>
        <v>8.581057245122091</v>
      </c>
      <c r="AI49" s="77">
        <f t="shared" ref="AI49:AI59" si="17">(SUM(AC49:AG49)/SUM(AC$61:AG$61))*AI$61</f>
        <v>8.3820737935958629</v>
      </c>
      <c r="AJ49" s="77">
        <f t="shared" ref="AJ49:AY59" si="18">(SUM(AD49:AH49)/SUM(AD$61:AH$61))*AJ$61</f>
        <v>7.7040275198146198</v>
      </c>
      <c r="AK49" s="77">
        <f t="shared" si="18"/>
        <v>7.3060242880552506</v>
      </c>
      <c r="AL49" s="77">
        <f t="shared" si="18"/>
        <v>7.2288165403208291</v>
      </c>
      <c r="AM49" s="77">
        <f t="shared" si="18"/>
        <v>7.6654365693175643</v>
      </c>
      <c r="AN49" s="77">
        <f t="shared" si="18"/>
        <v>7.8403998773817305</v>
      </c>
      <c r="AO49" s="77">
        <f t="shared" si="18"/>
        <v>7.6572757422208255</v>
      </c>
      <c r="AP49" s="77">
        <f t="shared" si="18"/>
        <v>7.5489409589779983</v>
      </c>
      <c r="AQ49" s="77">
        <f t="shared" si="18"/>
        <v>7.5395906034592395</v>
      </c>
      <c r="AR49" s="77">
        <f t="shared" si="18"/>
        <v>7.5881739376437896</v>
      </c>
      <c r="AS49" s="77">
        <f t="shared" si="18"/>
        <v>7.6503287502714707</v>
      </c>
      <c r="AT49" s="77">
        <f t="shared" si="18"/>
        <v>7.6348762239367165</v>
      </c>
      <c r="AU49" s="77">
        <f t="shared" si="18"/>
        <v>7.5968619985146644</v>
      </c>
      <c r="AV49" s="77">
        <f t="shared" si="18"/>
        <v>7.5923820948578431</v>
      </c>
      <c r="AW49" s="77">
        <f t="shared" si="18"/>
        <v>7.6019663027651756</v>
      </c>
      <c r="AX49" s="77">
        <f t="shared" si="18"/>
        <v>7.6125246010448979</v>
      </c>
      <c r="AY49" s="77">
        <f t="shared" si="18"/>
        <v>7.6152830740691737</v>
      </c>
      <c r="AZ49" s="77">
        <f t="shared" ref="AY49:AZ59" si="19">(SUM(AT49:AX49)/SUM(AT$61:AX$61))*AZ$61</f>
        <v>7.6077222442238597</v>
      </c>
    </row>
    <row r="50" spans="1:52">
      <c r="A50" s="69" t="s">
        <v>38</v>
      </c>
      <c r="B50" s="87">
        <v>5.5949999636990242</v>
      </c>
      <c r="C50" s="87">
        <v>3.9079999746444662</v>
      </c>
      <c r="D50" s="87">
        <v>4.6949999695383235</v>
      </c>
      <c r="E50" s="87">
        <v>12.892999916348797</v>
      </c>
      <c r="F50" s="87">
        <v>8.6199999440724913</v>
      </c>
      <c r="G50" s="87">
        <v>20.616999866234636</v>
      </c>
      <c r="H50" s="87">
        <v>10.651999930888651</v>
      </c>
      <c r="I50" s="87">
        <v>10.993999928669719</v>
      </c>
      <c r="J50" s="87">
        <v>9.0939999409971275</v>
      </c>
      <c r="K50" s="87">
        <v>8.7839999430084426</v>
      </c>
      <c r="L50" s="87">
        <v>9.993999935157829</v>
      </c>
      <c r="M50" s="87">
        <v>9.179999940439151</v>
      </c>
      <c r="N50" s="87">
        <v>10.785999930019244</v>
      </c>
      <c r="O50" s="87">
        <v>8.5939999442411832</v>
      </c>
      <c r="P50" s="87">
        <v>14.652999904929725</v>
      </c>
      <c r="Q50" s="87">
        <v>7.1419999536619176</v>
      </c>
      <c r="R50" s="87">
        <v>30.051999805019314</v>
      </c>
      <c r="S50" s="87">
        <v>35.296999770989181</v>
      </c>
      <c r="T50" s="87">
        <v>20.830999864846181</v>
      </c>
      <c r="U50" s="87">
        <v>33.290999784004327</v>
      </c>
      <c r="V50" s="87">
        <v>35.365999770541499</v>
      </c>
      <c r="W50" s="87">
        <v>26.279999829492471</v>
      </c>
      <c r="X50" s="87">
        <v>30.867999799725023</v>
      </c>
      <c r="Y50" s="87">
        <v>24.645999840094042</v>
      </c>
      <c r="Z50" s="87">
        <v>31.739000000000001</v>
      </c>
      <c r="AA50" s="217">
        <v>28.966000000000001</v>
      </c>
      <c r="AB50" s="217">
        <v>24.463000000000001</v>
      </c>
      <c r="AC50" s="217">
        <v>19.7</v>
      </c>
      <c r="AD50" s="217">
        <v>12.188000000000001</v>
      </c>
      <c r="AE50" s="217">
        <v>20.855</v>
      </c>
      <c r="AF50" s="217">
        <v>14.747</v>
      </c>
      <c r="AG50" s="217">
        <v>8.6170000000000009</v>
      </c>
      <c r="AH50" s="77">
        <f t="shared" si="16"/>
        <v>9.2946880998517134</v>
      </c>
      <c r="AI50" s="77">
        <f t="shared" si="17"/>
        <v>9.4670103169726278</v>
      </c>
      <c r="AJ50" s="77">
        <f t="shared" si="18"/>
        <v>9.6275237677748127</v>
      </c>
      <c r="AK50" s="77">
        <f t="shared" si="18"/>
        <v>9.997983664451251</v>
      </c>
      <c r="AL50" s="77">
        <f t="shared" si="18"/>
        <v>9.2885040040560245</v>
      </c>
      <c r="AM50" s="77">
        <f t="shared" si="18"/>
        <v>9.4008411698100822</v>
      </c>
      <c r="AN50" s="77">
        <f t="shared" si="18"/>
        <v>9.5351419706212841</v>
      </c>
      <c r="AO50" s="77">
        <f t="shared" si="18"/>
        <v>9.5563725846129586</v>
      </c>
      <c r="AP50" s="77">
        <f t="shared" si="18"/>
        <v>9.5699989153426905</v>
      </c>
      <c r="AQ50" s="77">
        <f t="shared" si="18"/>
        <v>9.5557686787103204</v>
      </c>
      <c r="AR50" s="77">
        <f t="shared" si="18"/>
        <v>9.4701717288886069</v>
      </c>
      <c r="AS50" s="77">
        <f t="shared" si="18"/>
        <v>9.5236246638194668</v>
      </c>
      <c r="AT50" s="77">
        <f t="shared" si="18"/>
        <v>9.5374907756351703</v>
      </c>
      <c r="AU50" s="77">
        <f t="shared" si="18"/>
        <v>9.5351873142748094</v>
      </c>
      <c r="AV50" s="77">
        <f t="shared" si="18"/>
        <v>9.5314109524792503</v>
      </c>
      <c r="AW50" s="77">
        <f t="shared" si="18"/>
        <v>9.5244486322656741</v>
      </c>
      <c r="AX50" s="77">
        <f t="shared" si="18"/>
        <v>9.5195770870194618</v>
      </c>
      <c r="AY50" s="77">
        <f t="shared" si="19"/>
        <v>9.5304324676948742</v>
      </c>
      <c r="AZ50" s="77">
        <f t="shared" si="19"/>
        <v>9.5296229523348721</v>
      </c>
    </row>
    <row r="51" spans="1:52">
      <c r="A51" s="69" t="s">
        <v>39</v>
      </c>
      <c r="B51" s="87">
        <v>6.0919999604744337</v>
      </c>
      <c r="C51" s="87">
        <v>15.849999897163457</v>
      </c>
      <c r="D51" s="87">
        <v>9.2849999397578991</v>
      </c>
      <c r="E51" s="87">
        <v>14.949999903002759</v>
      </c>
      <c r="F51" s="87">
        <v>11.083999928085788</v>
      </c>
      <c r="G51" s="87">
        <v>10.947999928968171</v>
      </c>
      <c r="H51" s="87">
        <v>14.772999904151153</v>
      </c>
      <c r="I51" s="87">
        <v>11.567999924945543</v>
      </c>
      <c r="J51" s="87">
        <v>10.626999931050854</v>
      </c>
      <c r="K51" s="87">
        <v>9.0319999413993912</v>
      </c>
      <c r="L51" s="87">
        <v>7.8799999488736931</v>
      </c>
      <c r="M51" s="87">
        <v>10.853999929578054</v>
      </c>
      <c r="N51" s="87">
        <v>10.178999933957529</v>
      </c>
      <c r="O51" s="87">
        <v>14.523999905766692</v>
      </c>
      <c r="P51" s="87">
        <v>16.818999890876476</v>
      </c>
      <c r="Q51" s="87">
        <v>8.5519999445136818</v>
      </c>
      <c r="R51" s="87">
        <v>32.51699978902613</v>
      </c>
      <c r="S51" s="87">
        <v>42.383999725007946</v>
      </c>
      <c r="T51" s="87">
        <v>23.382999848288524</v>
      </c>
      <c r="U51" s="87">
        <v>31.256999797201146</v>
      </c>
      <c r="V51" s="87">
        <v>38.424999750694369</v>
      </c>
      <c r="W51" s="87">
        <v>28.061999817930658</v>
      </c>
      <c r="X51" s="87">
        <v>29.6549998075951</v>
      </c>
      <c r="Y51" s="87">
        <v>28.822999812993203</v>
      </c>
      <c r="Z51" s="87">
        <v>29.873999999999999</v>
      </c>
      <c r="AA51" s="217">
        <v>24.907</v>
      </c>
      <c r="AB51" s="217">
        <v>24.207999999999998</v>
      </c>
      <c r="AC51" s="217">
        <v>20.187999999999999</v>
      </c>
      <c r="AD51" s="217">
        <v>14.212999999999999</v>
      </c>
      <c r="AE51" s="217">
        <v>18.518000000000001</v>
      </c>
      <c r="AF51" s="217">
        <v>19.119</v>
      </c>
      <c r="AG51" s="217">
        <v>12.044</v>
      </c>
      <c r="AH51" s="77">
        <f t="shared" si="16"/>
        <v>9.7286282215732829</v>
      </c>
      <c r="AI51" s="77">
        <f t="shared" si="17"/>
        <v>10.459026915680456</v>
      </c>
      <c r="AJ51" s="77">
        <f t="shared" si="18"/>
        <v>10.788209915885636</v>
      </c>
      <c r="AK51" s="77">
        <f t="shared" si="18"/>
        <v>11.091424678974899</v>
      </c>
      <c r="AL51" s="77">
        <f t="shared" si="18"/>
        <v>11.152486212256361</v>
      </c>
      <c r="AM51" s="77">
        <f t="shared" si="18"/>
        <v>10.822257946422855</v>
      </c>
      <c r="AN51" s="77">
        <f t="shared" si="18"/>
        <v>10.643955188874129</v>
      </c>
      <c r="AO51" s="77">
        <f t="shared" si="18"/>
        <v>10.86268113384404</v>
      </c>
      <c r="AP51" s="77">
        <f t="shared" si="18"/>
        <v>10.899666788482776</v>
      </c>
      <c r="AQ51" s="77">
        <f t="shared" si="18"/>
        <v>10.914561032074458</v>
      </c>
      <c r="AR51" s="77">
        <f t="shared" si="18"/>
        <v>10.876209453976033</v>
      </c>
      <c r="AS51" s="77">
        <f t="shared" si="18"/>
        <v>10.828624417939652</v>
      </c>
      <c r="AT51" s="77">
        <f t="shared" si="18"/>
        <v>10.839414719450287</v>
      </c>
      <c r="AU51" s="77">
        <f t="shared" si="18"/>
        <v>10.876348565263392</v>
      </c>
      <c r="AV51" s="77">
        <f t="shared" si="18"/>
        <v>10.871695282384641</v>
      </c>
      <c r="AW51" s="77">
        <f t="shared" si="18"/>
        <v>10.867031637740766</v>
      </c>
      <c r="AX51" s="77">
        <f t="shared" si="18"/>
        <v>10.858458487802801</v>
      </c>
      <c r="AY51" s="77">
        <f t="shared" si="19"/>
        <v>10.856622924555747</v>
      </c>
      <c r="AZ51" s="77">
        <f t="shared" si="19"/>
        <v>10.862589738528378</v>
      </c>
    </row>
    <row r="52" spans="1:52">
      <c r="A52" s="69" t="s">
        <v>40</v>
      </c>
      <c r="B52" s="87">
        <v>5.3349999653859337</v>
      </c>
      <c r="C52" s="87">
        <v>8.3109999460773185</v>
      </c>
      <c r="D52" s="87">
        <v>4.6509999698238005</v>
      </c>
      <c r="E52" s="87">
        <v>8.8209999427683812</v>
      </c>
      <c r="F52" s="87">
        <v>5.0179999674426643</v>
      </c>
      <c r="G52" s="87">
        <v>13.43899991280629</v>
      </c>
      <c r="H52" s="87">
        <v>13.748999910794975</v>
      </c>
      <c r="I52" s="87">
        <v>10.475999932030561</v>
      </c>
      <c r="J52" s="87">
        <v>10.185999933912111</v>
      </c>
      <c r="K52" s="87">
        <v>9.1419999406856984</v>
      </c>
      <c r="L52" s="87">
        <v>9.5469999380580131</v>
      </c>
      <c r="M52" s="87">
        <v>10.04299993483991</v>
      </c>
      <c r="N52" s="87">
        <v>9.8809999358909835</v>
      </c>
      <c r="O52" s="87">
        <v>14.369999906765859</v>
      </c>
      <c r="P52" s="87">
        <v>14.747999904313353</v>
      </c>
      <c r="Q52" s="87">
        <v>13.106999914960342</v>
      </c>
      <c r="R52" s="87">
        <v>38.156999752433187</v>
      </c>
      <c r="S52" s="87">
        <v>43.18299971982394</v>
      </c>
      <c r="T52" s="87">
        <v>28.946999812188682</v>
      </c>
      <c r="U52" s="87">
        <v>27.104999824139774</v>
      </c>
      <c r="V52" s="87">
        <v>37.687999755476106</v>
      </c>
      <c r="W52" s="87">
        <v>29.886999806089854</v>
      </c>
      <c r="X52" s="87">
        <v>25.526999834378017</v>
      </c>
      <c r="Y52" s="87">
        <v>30.266999803624373</v>
      </c>
      <c r="Z52" s="87">
        <v>19.725000000000001</v>
      </c>
      <c r="AA52" s="217">
        <v>21.545999999999999</v>
      </c>
      <c r="AB52" s="217">
        <v>21.420999999999999</v>
      </c>
      <c r="AC52" s="217">
        <v>19.190000000000001</v>
      </c>
      <c r="AD52" s="217">
        <v>15.93</v>
      </c>
      <c r="AE52" s="217">
        <v>17.193000000000001</v>
      </c>
      <c r="AF52" s="217">
        <v>11.208</v>
      </c>
      <c r="AG52" s="77">
        <f t="shared" ref="AG52:AG59" si="20">(SUM(AA52:AE52)/SUM(AA$61:AE$61))*AG$61</f>
        <v>8.4055482970560274</v>
      </c>
      <c r="AH52" s="77">
        <f t="shared" si="16"/>
        <v>8.5860102071450015</v>
      </c>
      <c r="AI52" s="77">
        <f t="shared" si="17"/>
        <v>8.9470006016852501</v>
      </c>
      <c r="AJ52" s="77">
        <f t="shared" si="18"/>
        <v>8.9858328845783397</v>
      </c>
      <c r="AK52" s="77">
        <f t="shared" si="18"/>
        <v>8.6262305425467236</v>
      </c>
      <c r="AL52" s="77">
        <f t="shared" si="18"/>
        <v>8.2796952466396796</v>
      </c>
      <c r="AM52" s="77">
        <f t="shared" si="18"/>
        <v>8.7101245066022681</v>
      </c>
      <c r="AN52" s="77">
        <f t="shared" si="18"/>
        <v>8.6849538965189979</v>
      </c>
      <c r="AO52" s="77">
        <f t="shared" si="18"/>
        <v>8.7097767564104522</v>
      </c>
      <c r="AP52" s="77">
        <f t="shared" si="18"/>
        <v>8.6573674153772018</v>
      </c>
      <c r="AQ52" s="77">
        <f t="shared" si="18"/>
        <v>8.6021561897436243</v>
      </c>
      <c r="AR52" s="77">
        <f t="shared" si="18"/>
        <v>8.6083835643097206</v>
      </c>
      <c r="AS52" s="77">
        <f t="shared" si="18"/>
        <v>8.6728757529305085</v>
      </c>
      <c r="AT52" s="77">
        <f t="shared" si="18"/>
        <v>8.652527564471999</v>
      </c>
      <c r="AU52" s="77">
        <f t="shared" si="18"/>
        <v>8.6501119357543033</v>
      </c>
      <c r="AV52" s="77">
        <f t="shared" si="18"/>
        <v>8.6386620973666126</v>
      </c>
      <c r="AW52" s="77">
        <f t="shared" si="18"/>
        <v>8.6372110014420294</v>
      </c>
      <c r="AX52" s="77">
        <f t="shared" si="18"/>
        <v>8.6445121829666292</v>
      </c>
      <c r="AY52" s="77">
        <f t="shared" si="19"/>
        <v>8.6502776703930895</v>
      </c>
      <c r="AZ52" s="77">
        <f t="shared" si="19"/>
        <v>8.6446049564003147</v>
      </c>
    </row>
    <row r="53" spans="1:52">
      <c r="A53" s="69" t="s">
        <v>30</v>
      </c>
      <c r="B53" s="87">
        <v>7.7169999499312558</v>
      </c>
      <c r="C53" s="87">
        <v>4.6579999697783832</v>
      </c>
      <c r="D53" s="87">
        <v>4.2499999724255328</v>
      </c>
      <c r="E53" s="87">
        <v>11.345999926385906</v>
      </c>
      <c r="F53" s="87">
        <v>14.854999903619127</v>
      </c>
      <c r="G53" s="87">
        <v>9.3859999391026001</v>
      </c>
      <c r="H53" s="87">
        <v>12.611999918171957</v>
      </c>
      <c r="I53" s="87">
        <v>11.731999923881494</v>
      </c>
      <c r="J53" s="87">
        <v>10.597999931239011</v>
      </c>
      <c r="K53" s="87">
        <v>9.5069999383175379</v>
      </c>
      <c r="L53" s="87">
        <v>7.681999950158338</v>
      </c>
      <c r="M53" s="87">
        <v>9.1359999407246253</v>
      </c>
      <c r="N53" s="87">
        <v>9.481999938479742</v>
      </c>
      <c r="O53" s="87">
        <v>15.793999897526792</v>
      </c>
      <c r="P53" s="87">
        <v>12.866999916517489</v>
      </c>
      <c r="Q53" s="87">
        <v>11.473999925555427</v>
      </c>
      <c r="R53" s="87">
        <v>43.997999714536135</v>
      </c>
      <c r="S53" s="87">
        <v>48.476999685475882</v>
      </c>
      <c r="T53" s="87">
        <v>28.446999815432733</v>
      </c>
      <c r="U53" s="87">
        <v>35.726999768199292</v>
      </c>
      <c r="V53" s="87">
        <v>45.232999706523323</v>
      </c>
      <c r="W53" s="87">
        <v>40.924999734474099</v>
      </c>
      <c r="X53" s="87">
        <v>24.772999839270049</v>
      </c>
      <c r="Y53" s="87">
        <v>33.353999999999999</v>
      </c>
      <c r="Z53" s="87">
        <v>28.242999999999999</v>
      </c>
      <c r="AA53" s="217">
        <v>24.385999999999999</v>
      </c>
      <c r="AB53" s="217">
        <v>22.870999999999999</v>
      </c>
      <c r="AC53" s="217">
        <v>13.715</v>
      </c>
      <c r="AD53" s="217">
        <v>7.9530000000000003</v>
      </c>
      <c r="AE53" s="217">
        <v>18.757000000000001</v>
      </c>
      <c r="AF53" s="217">
        <v>14.561</v>
      </c>
      <c r="AG53" s="77">
        <f t="shared" si="20"/>
        <v>7.7352569876413382</v>
      </c>
      <c r="AH53" s="77">
        <f t="shared" si="16"/>
        <v>7.8698523309751165</v>
      </c>
      <c r="AI53" s="77">
        <f t="shared" si="17"/>
        <v>7.8019470875936774</v>
      </c>
      <c r="AJ53" s="77">
        <f t="shared" si="18"/>
        <v>8.3342774001688742</v>
      </c>
      <c r="AK53" s="77">
        <f t="shared" si="18"/>
        <v>9.0049205799671288</v>
      </c>
      <c r="AL53" s="77">
        <f t="shared" si="18"/>
        <v>8.3101958642040668</v>
      </c>
      <c r="AM53" s="77">
        <f t="shared" si="18"/>
        <v>8.1492508772692265</v>
      </c>
      <c r="AN53" s="77">
        <f t="shared" si="18"/>
        <v>8.2642386525817724</v>
      </c>
      <c r="AO53" s="77">
        <f t="shared" si="18"/>
        <v>8.3201183618405956</v>
      </c>
      <c r="AP53" s="77">
        <f t="shared" si="18"/>
        <v>8.4125766748382134</v>
      </c>
      <c r="AQ53" s="77">
        <f t="shared" si="18"/>
        <v>8.4097448671725576</v>
      </c>
      <c r="AR53" s="77">
        <f t="shared" si="18"/>
        <v>8.2912760861467767</v>
      </c>
      <c r="AS53" s="77">
        <f t="shared" si="18"/>
        <v>8.3111858867404731</v>
      </c>
      <c r="AT53" s="77">
        <f t="shared" si="18"/>
        <v>8.3395909285159835</v>
      </c>
      <c r="AU53" s="77">
        <f t="shared" si="18"/>
        <v>8.3489803753477236</v>
      </c>
      <c r="AV53" s="77">
        <f t="shared" si="18"/>
        <v>8.3528748886828001</v>
      </c>
      <c r="AW53" s="77">
        <f t="shared" si="18"/>
        <v>8.3401556287847018</v>
      </c>
      <c r="AX53" s="77">
        <f t="shared" si="18"/>
        <v>8.3287816330867503</v>
      </c>
      <c r="AY53" s="77">
        <f t="shared" si="19"/>
        <v>8.3385575416143354</v>
      </c>
      <c r="AZ53" s="77">
        <f t="shared" si="19"/>
        <v>8.3420766908835908</v>
      </c>
    </row>
    <row r="54" spans="1:52">
      <c r="A54" s="69" t="s">
        <v>31</v>
      </c>
      <c r="B54" s="87">
        <v>5.7979999623819376</v>
      </c>
      <c r="C54" s="87">
        <v>4.967999967767069</v>
      </c>
      <c r="D54" s="87">
        <v>10.392999932569072</v>
      </c>
      <c r="E54" s="87">
        <v>5.4959999643413484</v>
      </c>
      <c r="F54" s="87">
        <v>11.132999927767871</v>
      </c>
      <c r="G54" s="87">
        <v>10.429999932329013</v>
      </c>
      <c r="H54" s="87">
        <v>12.606999918204398</v>
      </c>
      <c r="I54" s="87">
        <v>9.6699999372599752</v>
      </c>
      <c r="J54" s="87">
        <v>9.7019999370523582</v>
      </c>
      <c r="K54" s="87">
        <v>9.0309999414058773</v>
      </c>
      <c r="L54" s="87">
        <v>8.7959999429305853</v>
      </c>
      <c r="M54" s="87">
        <v>9.1309999407570679</v>
      </c>
      <c r="N54" s="87">
        <v>8.8809999423790948</v>
      </c>
      <c r="O54" s="87">
        <v>15.418999899959834</v>
      </c>
      <c r="P54" s="87">
        <v>12.288999920267615</v>
      </c>
      <c r="Q54" s="87">
        <v>16.895999890376892</v>
      </c>
      <c r="R54" s="87">
        <v>36.049999766103632</v>
      </c>
      <c r="S54" s="87">
        <v>49.958999675860511</v>
      </c>
      <c r="T54" s="87">
        <v>27.5439998212915</v>
      </c>
      <c r="U54" s="87">
        <v>28.525999814920173</v>
      </c>
      <c r="V54" s="87">
        <v>34.902999773545496</v>
      </c>
      <c r="W54" s="87">
        <v>47.424999692301384</v>
      </c>
      <c r="X54" s="87">
        <v>29.914999805908185</v>
      </c>
      <c r="Y54" s="87">
        <v>27.553000000000001</v>
      </c>
      <c r="Z54" s="87">
        <v>23.138999999999999</v>
      </c>
      <c r="AA54" s="217">
        <v>22.959</v>
      </c>
      <c r="AB54" s="217">
        <v>21.931999999999999</v>
      </c>
      <c r="AC54" s="217">
        <v>11.612</v>
      </c>
      <c r="AD54" s="217">
        <v>8.3729999999999993</v>
      </c>
      <c r="AE54" s="217">
        <v>8.4339999999999993</v>
      </c>
      <c r="AF54" s="217">
        <v>9.9969999999999999</v>
      </c>
      <c r="AG54" s="77">
        <f t="shared" si="20"/>
        <v>6.4673671878377155</v>
      </c>
      <c r="AH54" s="77">
        <f t="shared" si="16"/>
        <v>6.1000275950741267</v>
      </c>
      <c r="AI54" s="77">
        <f t="shared" si="17"/>
        <v>5.583077775076279</v>
      </c>
      <c r="AJ54" s="77">
        <f t="shared" si="18"/>
        <v>5.7692435309555536</v>
      </c>
      <c r="AK54" s="77">
        <f t="shared" si="18"/>
        <v>5.8071913181362049</v>
      </c>
      <c r="AL54" s="77">
        <f t="shared" si="18"/>
        <v>6.087264519934255</v>
      </c>
      <c r="AM54" s="77">
        <f t="shared" si="18"/>
        <v>5.9453814814159758</v>
      </c>
      <c r="AN54" s="77">
        <f t="shared" si="18"/>
        <v>5.8693609478352835</v>
      </c>
      <c r="AO54" s="77">
        <f t="shared" si="18"/>
        <v>5.8384317251036535</v>
      </c>
      <c r="AP54" s="77">
        <f t="shared" si="18"/>
        <v>5.8956883596554546</v>
      </c>
      <c r="AQ54" s="77">
        <f t="shared" si="18"/>
        <v>5.9095259984850737</v>
      </c>
      <c r="AR54" s="77">
        <f t="shared" si="18"/>
        <v>5.9272254067889243</v>
      </c>
      <c r="AS54" s="77">
        <f t="shared" si="18"/>
        <v>5.8916777024990887</v>
      </c>
      <c r="AT54" s="77">
        <f t="shared" si="18"/>
        <v>5.8880464875736775</v>
      </c>
      <c r="AU54" s="77">
        <f t="shared" si="18"/>
        <v>5.8925098385064389</v>
      </c>
      <c r="AV54" s="77">
        <f t="shared" si="18"/>
        <v>5.902432791000443</v>
      </c>
      <c r="AW54" s="77">
        <f t="shared" si="18"/>
        <v>5.9017970867706406</v>
      </c>
      <c r="AX54" s="77">
        <f t="shared" si="18"/>
        <v>5.9003784452737147</v>
      </c>
      <c r="AY54" s="77">
        <f t="shared" si="19"/>
        <v>5.895292781270058</v>
      </c>
      <c r="AZ54" s="77">
        <f t="shared" si="19"/>
        <v>5.8970329298249835</v>
      </c>
    </row>
    <row r="55" spans="1:52">
      <c r="A55" s="69" t="s">
        <v>32</v>
      </c>
      <c r="B55" s="87">
        <v>6.8919999552839464</v>
      </c>
      <c r="C55" s="87">
        <v>5.1209999667743888</v>
      </c>
      <c r="D55" s="87">
        <v>6.8379999556343041</v>
      </c>
      <c r="E55" s="87">
        <v>15.246999901075789</v>
      </c>
      <c r="F55" s="87">
        <v>16.33699989400375</v>
      </c>
      <c r="G55" s="87">
        <v>11.752999923745243</v>
      </c>
      <c r="H55" s="87">
        <v>17.601999885796285</v>
      </c>
      <c r="I55" s="87">
        <v>11.090999928040372</v>
      </c>
      <c r="J55" s="87">
        <v>11.778999923576553</v>
      </c>
      <c r="K55" s="87">
        <v>9.0129999415226649</v>
      </c>
      <c r="L55" s="87">
        <v>9.7699999366111658</v>
      </c>
      <c r="M55" s="87">
        <v>10.054999934762055</v>
      </c>
      <c r="N55" s="87">
        <v>7.5549999509823289</v>
      </c>
      <c r="O55" s="87">
        <v>22.4389998544133</v>
      </c>
      <c r="P55" s="87">
        <v>11.985999922233514</v>
      </c>
      <c r="Q55" s="87">
        <v>23.083999850228469</v>
      </c>
      <c r="R55" s="87">
        <v>36.169999765325059</v>
      </c>
      <c r="S55" s="87">
        <v>50.660999671305859</v>
      </c>
      <c r="T55" s="87">
        <v>30.285999803501095</v>
      </c>
      <c r="U55" s="87">
        <v>29.803999806628372</v>
      </c>
      <c r="V55" s="87">
        <v>42.745999722659249</v>
      </c>
      <c r="W55" s="87">
        <v>38.922999747463294</v>
      </c>
      <c r="X55" s="87">
        <v>25.470999834741349</v>
      </c>
      <c r="Y55" s="87">
        <v>27.23</v>
      </c>
      <c r="Z55" s="87">
        <v>29.957000000000001</v>
      </c>
      <c r="AA55" s="217">
        <v>23.882999999999999</v>
      </c>
      <c r="AB55" s="217">
        <v>23.888000000000002</v>
      </c>
      <c r="AC55" s="217">
        <v>19.698</v>
      </c>
      <c r="AD55" s="217">
        <v>12.507999999999999</v>
      </c>
      <c r="AE55" s="217">
        <v>14.026</v>
      </c>
      <c r="AF55" s="217">
        <v>12.615</v>
      </c>
      <c r="AG55" s="77">
        <f>(SUM(AA55:AE55)/SUM(AA$61:AE$61))*AG$61</f>
        <v>8.2928920714542169</v>
      </c>
      <c r="AH55" s="77">
        <f t="shared" si="16"/>
        <v>8.3629247543987848</v>
      </c>
      <c r="AI55" s="77">
        <f t="shared" si="17"/>
        <v>8.3515846232394626</v>
      </c>
      <c r="AJ55" s="77">
        <f t="shared" si="18"/>
        <v>8.1772967466330915</v>
      </c>
      <c r="AK55" s="77">
        <f t="shared" si="18"/>
        <v>8.1990179049063006</v>
      </c>
      <c r="AL55" s="77">
        <f t="shared" si="18"/>
        <v>8.2199844206444226</v>
      </c>
      <c r="AM55" s="77">
        <f t="shared" si="18"/>
        <v>8.2767432201263702</v>
      </c>
      <c r="AN55" s="77">
        <f t="shared" si="18"/>
        <v>8.2621616899644117</v>
      </c>
      <c r="AO55" s="77">
        <f t="shared" si="18"/>
        <v>8.2449253831099298</v>
      </c>
      <c r="AP55" s="77">
        <f t="shared" si="18"/>
        <v>8.2270407964549204</v>
      </c>
      <c r="AQ55" s="77">
        <f t="shared" si="18"/>
        <v>8.2405665237502852</v>
      </c>
      <c r="AR55" s="77">
        <f t="shared" si="18"/>
        <v>8.2461711020600106</v>
      </c>
      <c r="AS55" s="77">
        <f t="shared" si="18"/>
        <v>8.250287522681182</v>
      </c>
      <c r="AT55" s="77">
        <f t="shared" si="18"/>
        <v>8.2441730990679112</v>
      </c>
      <c r="AU55" s="77">
        <f t="shared" si="18"/>
        <v>8.2417982656112656</v>
      </c>
      <c r="AV55" s="77">
        <f t="shared" si="18"/>
        <v>8.2416478088028615</v>
      </c>
      <c r="AW55" s="77">
        <f t="shared" si="18"/>
        <v>8.244599302634132</v>
      </c>
      <c r="AX55" s="77">
        <f t="shared" si="18"/>
        <v>8.2448155596446462</v>
      </c>
      <c r="AY55" s="77">
        <f t="shared" si="19"/>
        <v>8.244501199759469</v>
      </c>
      <c r="AZ55" s="77">
        <f t="shared" si="19"/>
        <v>8.243406807152164</v>
      </c>
    </row>
    <row r="56" spans="1:52">
      <c r="A56" s="69" t="s">
        <v>33</v>
      </c>
      <c r="B56" s="87">
        <v>5.3329999653989102</v>
      </c>
      <c r="C56" s="87">
        <v>11.22199992719043</v>
      </c>
      <c r="D56" s="87">
        <v>9.2839999397643869</v>
      </c>
      <c r="E56" s="87">
        <v>7.5209999512029251</v>
      </c>
      <c r="F56" s="87">
        <v>9.0219999414642711</v>
      </c>
      <c r="G56" s="87">
        <v>17.277999887898435</v>
      </c>
      <c r="H56" s="87">
        <v>10.7569999302074</v>
      </c>
      <c r="I56" s="87">
        <v>9.3279999394789108</v>
      </c>
      <c r="J56" s="87">
        <v>8.627999944020587</v>
      </c>
      <c r="K56" s="87">
        <v>8.737999943306896</v>
      </c>
      <c r="L56" s="87">
        <v>9.8219999362737838</v>
      </c>
      <c r="M56" s="87">
        <v>10.150999934139197</v>
      </c>
      <c r="N56" s="87">
        <v>8.2349999465704133</v>
      </c>
      <c r="O56" s="87">
        <v>20.651999866007554</v>
      </c>
      <c r="P56" s="87">
        <v>9.8479999361050918</v>
      </c>
      <c r="Q56" s="87">
        <v>32.533999788915828</v>
      </c>
      <c r="R56" s="87">
        <v>34.322999777308603</v>
      </c>
      <c r="S56" s="87">
        <v>28.187999817113155</v>
      </c>
      <c r="T56" s="87">
        <v>30.062999804947946</v>
      </c>
      <c r="U56" s="87">
        <v>30.058999804973904</v>
      </c>
      <c r="V56" s="87">
        <v>40.736999735693864</v>
      </c>
      <c r="W56" s="87">
        <v>33.950999779722181</v>
      </c>
      <c r="X56" s="87">
        <v>24.975999837952962</v>
      </c>
      <c r="Y56" s="87">
        <v>21.588999999999999</v>
      </c>
      <c r="Z56" s="217">
        <v>21.242999999999999</v>
      </c>
      <c r="AA56" s="217">
        <v>23.997</v>
      </c>
      <c r="AB56" s="217">
        <v>24.495999999999999</v>
      </c>
      <c r="AC56" s="217">
        <v>19.925000000000001</v>
      </c>
      <c r="AD56" s="217">
        <v>11.416</v>
      </c>
      <c r="AE56" s="217">
        <v>9.6829999999999998</v>
      </c>
      <c r="AF56" s="217">
        <v>14.087</v>
      </c>
      <c r="AG56" s="77">
        <f t="shared" si="20"/>
        <v>7.8971396610785529</v>
      </c>
      <c r="AH56" s="77">
        <f t="shared" si="16"/>
        <v>8.0467438317933677</v>
      </c>
      <c r="AI56" s="77">
        <f t="shared" si="17"/>
        <v>7.8376326517230073</v>
      </c>
      <c r="AJ56" s="77">
        <f t="shared" si="18"/>
        <v>7.4922605918902176</v>
      </c>
      <c r="AK56" s="77">
        <f t="shared" si="18"/>
        <v>7.5486505164977471</v>
      </c>
      <c r="AL56" s="77">
        <f t="shared" si="18"/>
        <v>8.1412081906914615</v>
      </c>
      <c r="AM56" s="77">
        <f t="shared" si="18"/>
        <v>7.7644854505965784</v>
      </c>
      <c r="AN56" s="77">
        <f t="shared" si="18"/>
        <v>7.8132991565191601</v>
      </c>
      <c r="AO56" s="77">
        <f t="shared" si="18"/>
        <v>7.7568474802798022</v>
      </c>
      <c r="AP56" s="77">
        <f t="shared" si="18"/>
        <v>7.7519807812390331</v>
      </c>
      <c r="AQ56" s="77">
        <f t="shared" si="18"/>
        <v>7.8048981589169495</v>
      </c>
      <c r="AR56" s="77">
        <f t="shared" si="18"/>
        <v>7.8455642118652067</v>
      </c>
      <c r="AS56" s="77">
        <f t="shared" si="18"/>
        <v>7.7783022055103039</v>
      </c>
      <c r="AT56" s="77">
        <f t="shared" si="18"/>
        <v>7.7945179577640298</v>
      </c>
      <c r="AU56" s="77">
        <f t="shared" si="18"/>
        <v>7.7875185675622589</v>
      </c>
      <c r="AV56" s="77">
        <f t="shared" si="18"/>
        <v>7.7950526630591046</v>
      </c>
      <c r="AW56" s="77">
        <f t="shared" si="18"/>
        <v>7.8021602203237492</v>
      </c>
      <c r="AX56" s="77">
        <f t="shared" si="18"/>
        <v>7.8001911211521806</v>
      </c>
      <c r="AY56" s="77">
        <f t="shared" si="19"/>
        <v>7.7915103228438891</v>
      </c>
      <c r="AZ56" s="77">
        <f t="shared" si="19"/>
        <v>7.7958881059722636</v>
      </c>
    </row>
    <row r="57" spans="1:52">
      <c r="A57" s="69" t="s">
        <v>14</v>
      </c>
      <c r="B57" s="87">
        <v>17.567999886016885</v>
      </c>
      <c r="C57" s="87">
        <v>17.236999888164448</v>
      </c>
      <c r="D57" s="87">
        <v>5.9789999612075908</v>
      </c>
      <c r="E57" s="87">
        <v>9.6239999375584286</v>
      </c>
      <c r="F57" s="87">
        <v>9.1109999408868312</v>
      </c>
      <c r="G57" s="87">
        <v>12.222999920695832</v>
      </c>
      <c r="H57" s="87">
        <v>13.318999913584863</v>
      </c>
      <c r="I57" s="87">
        <v>11.028999928442635</v>
      </c>
      <c r="J57" s="87">
        <v>9.3469999393556353</v>
      </c>
      <c r="K57" s="87">
        <v>9.2019999402964103</v>
      </c>
      <c r="L57" s="87">
        <v>7.8509999490618485</v>
      </c>
      <c r="M57" s="87">
        <v>8.3859999455907097</v>
      </c>
      <c r="N57" s="87">
        <v>9.1429999406792106</v>
      </c>
      <c r="O57" s="87">
        <v>20.091999869640894</v>
      </c>
      <c r="P57" s="87">
        <v>10.240999933555265</v>
      </c>
      <c r="Q57" s="87">
        <v>32.255999790719521</v>
      </c>
      <c r="R57" s="87">
        <v>32.254999790726011</v>
      </c>
      <c r="S57" s="87">
        <v>25.480999834676467</v>
      </c>
      <c r="T57" s="87">
        <v>31.701999794313938</v>
      </c>
      <c r="U57" s="87">
        <v>37.824999754587239</v>
      </c>
      <c r="V57" s="87">
        <v>44.601999710617314</v>
      </c>
      <c r="W57" s="87">
        <v>29.77399980682301</v>
      </c>
      <c r="X57" s="87">
        <v>25.510999834481826</v>
      </c>
      <c r="Y57" s="87">
        <v>19.541</v>
      </c>
      <c r="Z57" s="217">
        <v>27.204000000000001</v>
      </c>
      <c r="AA57" s="217">
        <v>25.312999999999999</v>
      </c>
      <c r="AB57" s="217">
        <v>18.574000000000002</v>
      </c>
      <c r="AC57" s="217">
        <v>17.634</v>
      </c>
      <c r="AD57" s="217">
        <v>13.324999999999999</v>
      </c>
      <c r="AE57" s="217">
        <v>14.359</v>
      </c>
      <c r="AF57" s="217">
        <v>12.13</v>
      </c>
      <c r="AG57" s="77">
        <f t="shared" si="20"/>
        <v>7.869615195622198</v>
      </c>
      <c r="AH57" s="77">
        <f t="shared" si="16"/>
        <v>7.6843689572599807</v>
      </c>
      <c r="AI57" s="77">
        <f t="shared" si="17"/>
        <v>8.1249101519834355</v>
      </c>
      <c r="AJ57" s="77">
        <f t="shared" si="18"/>
        <v>8.1132859569076352</v>
      </c>
      <c r="AK57" s="77">
        <f t="shared" si="18"/>
        <v>7.9639921491562005</v>
      </c>
      <c r="AL57" s="77">
        <f t="shared" si="18"/>
        <v>7.8830134628749047</v>
      </c>
      <c r="AM57" s="77">
        <f t="shared" si="18"/>
        <v>7.9512344821858898</v>
      </c>
      <c r="AN57" s="77">
        <f t="shared" si="18"/>
        <v>7.9539141356364311</v>
      </c>
      <c r="AO57" s="77">
        <f t="shared" si="18"/>
        <v>8.0072872406216131</v>
      </c>
      <c r="AP57" s="77">
        <f t="shared" si="18"/>
        <v>7.9730880373522117</v>
      </c>
      <c r="AQ57" s="77">
        <f t="shared" si="18"/>
        <v>7.9518882940950082</v>
      </c>
      <c r="AR57" s="77">
        <f t="shared" si="18"/>
        <v>7.9537074717342104</v>
      </c>
      <c r="AS57" s="77">
        <f t="shared" si="18"/>
        <v>7.967482437978231</v>
      </c>
      <c r="AT57" s="77">
        <f t="shared" si="18"/>
        <v>7.9679770358878947</v>
      </c>
      <c r="AU57" s="77">
        <f t="shared" si="18"/>
        <v>7.9706906963562556</v>
      </c>
      <c r="AV57" s="77">
        <f t="shared" si="18"/>
        <v>7.9628286554095107</v>
      </c>
      <c r="AW57" s="77">
        <f t="shared" si="18"/>
        <v>7.9623491872103198</v>
      </c>
      <c r="AX57" s="77">
        <f t="shared" si="18"/>
        <v>7.9645372594732216</v>
      </c>
      <c r="AY57" s="77">
        <f t="shared" si="19"/>
        <v>7.9662656025684422</v>
      </c>
      <c r="AZ57" s="77">
        <f t="shared" si="19"/>
        <v>7.9656765668674412</v>
      </c>
    </row>
    <row r="58" spans="1:52">
      <c r="A58" s="69" t="s">
        <v>34</v>
      </c>
      <c r="B58" s="87">
        <v>6.0529999607274698</v>
      </c>
      <c r="C58" s="87">
        <v>4.8479999685456434</v>
      </c>
      <c r="D58" s="87">
        <v>7.9589999483611322</v>
      </c>
      <c r="E58" s="87">
        <v>7.0339999543626348</v>
      </c>
      <c r="F58" s="87">
        <v>4.5169999706932069</v>
      </c>
      <c r="G58" s="87">
        <v>6.5929999572238911</v>
      </c>
      <c r="H58" s="87">
        <v>11.928999922603337</v>
      </c>
      <c r="I58" s="87">
        <v>11.306999926638941</v>
      </c>
      <c r="J58" s="87">
        <v>8.6809999436767171</v>
      </c>
      <c r="K58" s="87">
        <v>9.6789999372015831</v>
      </c>
      <c r="L58" s="87">
        <v>9.8589999360337242</v>
      </c>
      <c r="M58" s="87">
        <v>10.780999930051687</v>
      </c>
      <c r="N58" s="87">
        <v>11.948999922473574</v>
      </c>
      <c r="O58" s="87">
        <v>16.056999895820418</v>
      </c>
      <c r="P58" s="87">
        <v>10.326999932997287</v>
      </c>
      <c r="Q58" s="87">
        <v>33.178999784731005</v>
      </c>
      <c r="R58" s="87">
        <v>33.399999783297126</v>
      </c>
      <c r="S58" s="87">
        <v>24.290999842397319</v>
      </c>
      <c r="T58" s="87">
        <v>35.26199977121626</v>
      </c>
      <c r="U58" s="87">
        <v>41.119999733208914</v>
      </c>
      <c r="V58" s="87">
        <v>43.984999714620486</v>
      </c>
      <c r="W58" s="87">
        <v>49.642999677910751</v>
      </c>
      <c r="X58" s="87">
        <v>29.639999807692419</v>
      </c>
      <c r="Y58" s="87">
        <v>17.831</v>
      </c>
      <c r="Z58" s="217">
        <v>30.199000000000002</v>
      </c>
      <c r="AA58" s="217">
        <v>24.292999999999999</v>
      </c>
      <c r="AB58" s="217">
        <v>27.844000000000001</v>
      </c>
      <c r="AC58" s="217">
        <v>18.603999999999999</v>
      </c>
      <c r="AD58" s="217">
        <v>13.948</v>
      </c>
      <c r="AE58" s="217">
        <v>11.648</v>
      </c>
      <c r="AF58" s="217">
        <v>10.311</v>
      </c>
      <c r="AG58" s="77">
        <f t="shared" si="20"/>
        <v>8.4987962457334874</v>
      </c>
      <c r="AH58" s="77">
        <f t="shared" si="16"/>
        <v>8.3245140285068224</v>
      </c>
      <c r="AI58" s="77">
        <f t="shared" si="17"/>
        <v>7.8378387156070026</v>
      </c>
      <c r="AJ58" s="77">
        <f t="shared" si="18"/>
        <v>7.726777349706099</v>
      </c>
      <c r="AK58" s="77">
        <f t="shared" si="18"/>
        <v>7.4007989709790722</v>
      </c>
      <c r="AL58" s="77">
        <f t="shared" si="18"/>
        <v>7.6634677326788552</v>
      </c>
      <c r="AM58" s="77">
        <f t="shared" si="18"/>
        <v>7.9577450621064969</v>
      </c>
      <c r="AN58" s="77">
        <f t="shared" si="18"/>
        <v>7.7906793594955701</v>
      </c>
      <c r="AO58" s="77">
        <f t="shared" si="18"/>
        <v>7.7173255662155062</v>
      </c>
      <c r="AP58" s="77">
        <f t="shared" si="18"/>
        <v>7.7078936949932189</v>
      </c>
      <c r="AQ58" s="77">
        <f t="shared" si="18"/>
        <v>7.7060033382951003</v>
      </c>
      <c r="AR58" s="77">
        <f t="shared" si="18"/>
        <v>7.7674222830979289</v>
      </c>
      <c r="AS58" s="77">
        <f t="shared" si="18"/>
        <v>7.775929404221178</v>
      </c>
      <c r="AT58" s="77">
        <f t="shared" si="18"/>
        <v>7.7378648484194654</v>
      </c>
      <c r="AU58" s="77">
        <f t="shared" si="18"/>
        <v>7.7349148573645863</v>
      </c>
      <c r="AV58" s="77">
        <f t="shared" si="18"/>
        <v>7.7390227138053769</v>
      </c>
      <c r="AW58" s="77">
        <f t="shared" si="18"/>
        <v>7.7444269462796509</v>
      </c>
      <c r="AX58" s="77">
        <f t="shared" si="18"/>
        <v>7.7510308213817076</v>
      </c>
      <c r="AY58" s="77">
        <f t="shared" si="19"/>
        <v>7.7464317540180518</v>
      </c>
      <c r="AZ58" s="77">
        <f t="shared" si="19"/>
        <v>7.7414520374501565</v>
      </c>
    </row>
    <row r="59" spans="1:52">
      <c r="A59" s="69" t="s">
        <v>35</v>
      </c>
      <c r="B59" s="87">
        <v>14.139999908258124</v>
      </c>
      <c r="C59" s="87">
        <v>7.4959999513651274</v>
      </c>
      <c r="D59" s="87">
        <v>12.089999921558752</v>
      </c>
      <c r="E59" s="87">
        <v>12.339999919936723</v>
      </c>
      <c r="F59" s="87">
        <v>5.8279999621872944</v>
      </c>
      <c r="G59" s="87">
        <v>5.0869999669949841</v>
      </c>
      <c r="H59" s="87">
        <v>9.038999941353973</v>
      </c>
      <c r="I59" s="87">
        <v>10.726999930402044</v>
      </c>
      <c r="J59" s="87">
        <v>8.3769999456491036</v>
      </c>
      <c r="K59" s="87">
        <v>10.054999934762055</v>
      </c>
      <c r="L59" s="87">
        <v>7.9469999484389904</v>
      </c>
      <c r="M59" s="87">
        <v>10.329999932977822</v>
      </c>
      <c r="N59" s="87">
        <v>10.960999928883826</v>
      </c>
      <c r="O59" s="87">
        <v>19.164999875655376</v>
      </c>
      <c r="P59" s="87">
        <v>7.9769999482443472</v>
      </c>
      <c r="Q59" s="87">
        <v>36.182999765240716</v>
      </c>
      <c r="R59" s="87">
        <v>32.827999787008324</v>
      </c>
      <c r="S59" s="87">
        <v>22.146999856307829</v>
      </c>
      <c r="T59" s="87">
        <v>33.595999782025459</v>
      </c>
      <c r="U59" s="87">
        <v>44.280999712700002</v>
      </c>
      <c r="V59" s="87">
        <v>43.640999716852392</v>
      </c>
      <c r="W59" s="87">
        <v>35.466999769886193</v>
      </c>
      <c r="X59" s="87">
        <v>28.08599981777494</v>
      </c>
      <c r="Y59" s="87">
        <v>19.303000000000001</v>
      </c>
      <c r="Z59" s="217">
        <v>33.645000000000003</v>
      </c>
      <c r="AA59" s="217">
        <v>32.448</v>
      </c>
      <c r="AB59" s="217">
        <v>27.96</v>
      </c>
      <c r="AC59" s="217">
        <v>21.713000000000001</v>
      </c>
      <c r="AD59" s="217">
        <v>14.731999999999999</v>
      </c>
      <c r="AE59" s="217">
        <v>12.475</v>
      </c>
      <c r="AF59" s="217">
        <v>11.074</v>
      </c>
      <c r="AG59" s="77">
        <f t="shared" si="20"/>
        <v>9.6448549981165144</v>
      </c>
      <c r="AH59" s="77">
        <f t="shared" si="16"/>
        <v>8.8904657502676105</v>
      </c>
      <c r="AI59" s="77">
        <f t="shared" si="17"/>
        <v>8.6624326110519387</v>
      </c>
      <c r="AJ59" s="77">
        <f t="shared" si="18"/>
        <v>8.3255163485490407</v>
      </c>
      <c r="AK59" s="77">
        <f t="shared" si="18"/>
        <v>8.0558841655532269</v>
      </c>
      <c r="AL59" s="77">
        <f t="shared" si="18"/>
        <v>8.3631300234190533</v>
      </c>
      <c r="AM59" s="77">
        <f t="shared" si="18"/>
        <v>8.7158307747076673</v>
      </c>
      <c r="AN59" s="77">
        <f t="shared" si="18"/>
        <v>8.4594857797681744</v>
      </c>
      <c r="AO59" s="77">
        <f t="shared" si="18"/>
        <v>8.4245587846561847</v>
      </c>
      <c r="AP59" s="77">
        <f t="shared" si="18"/>
        <v>8.3839694183994329</v>
      </c>
      <c r="AQ59" s="77">
        <f t="shared" si="18"/>
        <v>8.4037779056208599</v>
      </c>
      <c r="AR59" s="77">
        <f t="shared" si="18"/>
        <v>8.4693949561901007</v>
      </c>
      <c r="AS59" s="77">
        <f t="shared" si="18"/>
        <v>8.4775245326304614</v>
      </c>
      <c r="AT59" s="77">
        <f t="shared" si="18"/>
        <v>8.4282373689269505</v>
      </c>
      <c r="AU59" s="77">
        <f t="shared" si="18"/>
        <v>8.4318451194994068</v>
      </c>
      <c r="AV59" s="77">
        <f t="shared" si="18"/>
        <v>8.4325808363535621</v>
      </c>
      <c r="AW59" s="77">
        <f t="shared" si="18"/>
        <v>8.4421559765735559</v>
      </c>
      <c r="AX59" s="77">
        <f t="shared" si="18"/>
        <v>8.4479165627200956</v>
      </c>
      <c r="AY59" s="77">
        <f t="shared" si="19"/>
        <v>8.4424687667967877</v>
      </c>
      <c r="AZ59" s="77">
        <f t="shared" si="19"/>
        <v>8.4365471728147146</v>
      </c>
    </row>
    <row r="60" spans="1:52">
      <c r="A60" s="69" t="s">
        <v>36</v>
      </c>
      <c r="B60" s="87">
        <v>3.3049999785567965</v>
      </c>
      <c r="C60" s="87">
        <v>16.670999891836718</v>
      </c>
      <c r="D60" s="87">
        <v>1.8959999876985434</v>
      </c>
      <c r="E60" s="87">
        <v>3.97899997418381</v>
      </c>
      <c r="F60" s="87">
        <v>8.0629999476863681</v>
      </c>
      <c r="G60" s="87">
        <v>6.3499999588005016</v>
      </c>
      <c r="H60" s="87">
        <v>10.969999928825432</v>
      </c>
      <c r="I60" s="87">
        <v>8.0459999477966679</v>
      </c>
      <c r="J60" s="87">
        <v>7.7019999500285756</v>
      </c>
      <c r="K60" s="87">
        <v>5.4079999649123005</v>
      </c>
      <c r="L60" s="87">
        <v>8.7829999430149286</v>
      </c>
      <c r="M60" s="87">
        <v>8.9219999421130822</v>
      </c>
      <c r="N60" s="87">
        <v>10.118999934346816</v>
      </c>
      <c r="O60" s="87">
        <v>15.960999896443276</v>
      </c>
      <c r="P60" s="87">
        <v>7.357999952260486</v>
      </c>
      <c r="Q60" s="87">
        <v>28.299999816386485</v>
      </c>
      <c r="R60" s="87">
        <v>31.291999796974061</v>
      </c>
      <c r="S60" s="87">
        <v>27.361999822472335</v>
      </c>
      <c r="T60" s="87">
        <v>39.034999746736624</v>
      </c>
      <c r="U60" s="87">
        <v>42.70199972294472</v>
      </c>
      <c r="V60" s="87">
        <v>35.1889997716899</v>
      </c>
      <c r="W60" s="87">
        <v>35.329999770775068</v>
      </c>
      <c r="X60" s="87">
        <v>33.541999782375811</v>
      </c>
      <c r="Y60" s="87">
        <v>20.972000000000001</v>
      </c>
      <c r="Z60" s="217">
        <v>30.588000000000001</v>
      </c>
      <c r="AA60" s="217">
        <v>31.209</v>
      </c>
      <c r="AB60" s="217">
        <v>23.87</v>
      </c>
      <c r="AC60" s="217">
        <v>16.111999999999998</v>
      </c>
      <c r="AD60" s="217">
        <v>12.981999999999999</v>
      </c>
      <c r="AE60" s="217">
        <v>13.361000000000001</v>
      </c>
      <c r="AF60" s="217">
        <v>18.07</v>
      </c>
      <c r="AG60" s="77">
        <f t="shared" ref="AG60:AM60" si="21">AG61-SUM(AG49:AG59)</f>
        <v>8.173529355459948</v>
      </c>
      <c r="AH60" s="77">
        <f t="shared" si="21"/>
        <v>8.5307189780321124</v>
      </c>
      <c r="AI60" s="77">
        <f t="shared" si="21"/>
        <v>8.545464755790988</v>
      </c>
      <c r="AJ60" s="77">
        <f t="shared" si="21"/>
        <v>8.9557479871360783</v>
      </c>
      <c r="AK60" s="77">
        <f t="shared" si="21"/>
        <v>8.9978812207760086</v>
      </c>
      <c r="AL60" s="77">
        <f t="shared" si="21"/>
        <v>9.3822337822800819</v>
      </c>
      <c r="AM60" s="77">
        <f t="shared" si="21"/>
        <v>8.6406684594390128</v>
      </c>
      <c r="AN60" s="77">
        <f t="shared" ref="AN60:AY60" si="22">AN61-SUM(AN49:AN59)</f>
        <v>8.882409344803051</v>
      </c>
      <c r="AO60" s="77">
        <f t="shared" si="22"/>
        <v>8.9043992410844481</v>
      </c>
      <c r="AP60" s="77">
        <f t="shared" si="22"/>
        <v>8.9717881588868522</v>
      </c>
      <c r="AQ60" s="77">
        <f t="shared" si="22"/>
        <v>8.9615184096765148</v>
      </c>
      <c r="AR60" s="77">
        <f t="shared" si="22"/>
        <v>8.956299797298712</v>
      </c>
      <c r="AS60" s="77">
        <f t="shared" si="22"/>
        <v>8.8721567227779872</v>
      </c>
      <c r="AT60" s="77">
        <f t="shared" si="22"/>
        <v>8.9352829903499185</v>
      </c>
      <c r="AU60" s="77">
        <f t="shared" si="22"/>
        <v>8.933232465944883</v>
      </c>
      <c r="AV60" s="77">
        <f t="shared" si="22"/>
        <v>8.9394092157979799</v>
      </c>
      <c r="AW60" s="77">
        <f t="shared" si="22"/>
        <v>8.9316980772096031</v>
      </c>
      <c r="AX60" s="77">
        <f t="shared" si="22"/>
        <v>8.9272762384339046</v>
      </c>
      <c r="AY60" s="77">
        <f t="shared" si="22"/>
        <v>8.9223558944160857</v>
      </c>
      <c r="AZ60" s="77">
        <f t="shared" ref="AZ60" si="23">AZ61-SUM(AZ49:AZ59)</f>
        <v>8.9333797975472606</v>
      </c>
    </row>
    <row r="61" spans="1:52" ht="12" thickBot="1">
      <c r="A61" s="69" t="s">
        <v>138</v>
      </c>
      <c r="B61" s="222">
        <f>SUM(B49:B60)</f>
        <v>88.204999427716245</v>
      </c>
      <c r="C61" s="222">
        <f>SUM(C49:C60)</f>
        <v>103.90899932582698</v>
      </c>
      <c r="D61" s="222">
        <f>SUM(D49:D60)</f>
        <v>81.943999468338333</v>
      </c>
      <c r="E61" s="222">
        <f t="shared" ref="E61:AF61" si="24">SUM(E49:E60)</f>
        <v>123.09599920133962</v>
      </c>
      <c r="F61" s="222">
        <f t="shared" si="24"/>
        <v>106.08699931169586</v>
      </c>
      <c r="G61" s="222">
        <f t="shared" si="24"/>
        <v>133.62799913300682</v>
      </c>
      <c r="H61" s="222">
        <f t="shared" si="24"/>
        <v>146.58799904892095</v>
      </c>
      <c r="I61" s="222">
        <f t="shared" si="24"/>
        <v>125.85699918342596</v>
      </c>
      <c r="J61" s="222">
        <f t="shared" si="24"/>
        <v>112.50299927006817</v>
      </c>
      <c r="K61" s="222">
        <f t="shared" si="24"/>
        <v>105.87999931303894</v>
      </c>
      <c r="L61" s="222">
        <f t="shared" si="24"/>
        <v>106.07999931174128</v>
      </c>
      <c r="M61" s="222">
        <f t="shared" si="24"/>
        <v>116.16099924633465</v>
      </c>
      <c r="N61" s="222">
        <f t="shared" si="24"/>
        <v>117.16899923979464</v>
      </c>
      <c r="O61" s="222">
        <f t="shared" si="24"/>
        <v>190.64899876304833</v>
      </c>
      <c r="P61" s="222">
        <f t="shared" si="24"/>
        <v>144.99799905923706</v>
      </c>
      <c r="Q61" s="222">
        <f t="shared" si="24"/>
        <v>250.93799837188666</v>
      </c>
      <c r="R61" s="222">
        <f t="shared" si="24"/>
        <v>408.66299734854948</v>
      </c>
      <c r="S61" s="222">
        <f t="shared" si="24"/>
        <v>428.60599721915713</v>
      </c>
      <c r="T61" s="222">
        <f t="shared" si="24"/>
        <v>350.55699772554755</v>
      </c>
      <c r="U61" s="222">
        <f t="shared" si="24"/>
        <v>414.84599730843354</v>
      </c>
      <c r="V61" s="222">
        <f t="shared" si="24"/>
        <v>476.47499690857774</v>
      </c>
      <c r="W61" s="222">
        <f t="shared" si="24"/>
        <v>429.02799721641912</v>
      </c>
      <c r="X61" s="222">
        <f t="shared" si="24"/>
        <v>338.36999780461821</v>
      </c>
      <c r="Y61" s="222">
        <f t="shared" si="24"/>
        <v>296.01299929513169</v>
      </c>
      <c r="Z61" s="222">
        <f t="shared" si="24"/>
        <v>327.86500000000001</v>
      </c>
      <c r="AA61" s="222">
        <f t="shared" si="24"/>
        <v>301.40499999999997</v>
      </c>
      <c r="AB61" s="222">
        <f t="shared" si="24"/>
        <v>285.38900000000001</v>
      </c>
      <c r="AC61" s="222">
        <f t="shared" si="24"/>
        <v>221.48199999999997</v>
      </c>
      <c r="AD61" s="222">
        <f t="shared" si="24"/>
        <v>152.50200000000001</v>
      </c>
      <c r="AE61" s="222">
        <f t="shared" si="24"/>
        <v>172.75899999999999</v>
      </c>
      <c r="AF61" s="222">
        <f t="shared" si="24"/>
        <v>157.17499999999998</v>
      </c>
      <c r="AG61" s="223">
        <f t="shared" ref="AG61:AZ61" si="25">AG6</f>
        <v>100</v>
      </c>
      <c r="AH61" s="223">
        <f t="shared" si="25"/>
        <v>100</v>
      </c>
      <c r="AI61" s="223">
        <f t="shared" si="25"/>
        <v>100</v>
      </c>
      <c r="AJ61" s="223">
        <f t="shared" si="25"/>
        <v>100</v>
      </c>
      <c r="AK61" s="223">
        <f t="shared" si="25"/>
        <v>100</v>
      </c>
      <c r="AL61" s="223">
        <f t="shared" si="25"/>
        <v>100</v>
      </c>
      <c r="AM61" s="223">
        <f t="shared" si="25"/>
        <v>100</v>
      </c>
      <c r="AN61" s="223">
        <f t="shared" si="25"/>
        <v>100</v>
      </c>
      <c r="AO61" s="223">
        <f t="shared" si="25"/>
        <v>100</v>
      </c>
      <c r="AP61" s="223">
        <f t="shared" si="25"/>
        <v>100</v>
      </c>
      <c r="AQ61" s="223">
        <f t="shared" si="25"/>
        <v>100</v>
      </c>
      <c r="AR61" s="223">
        <f t="shared" si="25"/>
        <v>100</v>
      </c>
      <c r="AS61" s="223">
        <f t="shared" si="25"/>
        <v>100</v>
      </c>
      <c r="AT61" s="223">
        <f t="shared" si="25"/>
        <v>100</v>
      </c>
      <c r="AU61" s="223">
        <f t="shared" si="25"/>
        <v>100</v>
      </c>
      <c r="AV61" s="223">
        <f t="shared" si="25"/>
        <v>100</v>
      </c>
      <c r="AW61" s="223">
        <f t="shared" si="25"/>
        <v>100</v>
      </c>
      <c r="AX61" s="223">
        <f t="shared" si="25"/>
        <v>100</v>
      </c>
      <c r="AY61" s="223">
        <f t="shared" si="25"/>
        <v>100</v>
      </c>
      <c r="AZ61" s="223">
        <f t="shared" si="25"/>
        <v>100</v>
      </c>
    </row>
    <row r="62" spans="1:52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  <c r="AK62" s="199"/>
      <c r="AL62" s="199"/>
      <c r="AM62" s="199"/>
      <c r="AN62" s="199"/>
      <c r="AO62" s="199"/>
      <c r="AP62" s="199"/>
      <c r="AQ62" s="199"/>
      <c r="AR62" s="199"/>
      <c r="AS62" s="199"/>
      <c r="AT62" s="199"/>
      <c r="AU62" s="199"/>
      <c r="AV62" s="199"/>
      <c r="AW62" s="199"/>
      <c r="AX62" s="199"/>
      <c r="AY62" s="199"/>
      <c r="AZ62" s="199"/>
    </row>
    <row r="63" spans="1:52" ht="12" thickBot="1">
      <c r="A63" s="69" t="s">
        <v>352</v>
      </c>
    </row>
    <row r="64" spans="1:52" ht="12" thickBot="1">
      <c r="A64" s="202"/>
      <c r="B64" s="203" t="str">
        <f>B$2</f>
        <v xml:space="preserve">93/94 </v>
      </c>
      <c r="C64" s="203" t="str">
        <f t="shared" ref="C64:AZ64" si="26">C$2</f>
        <v xml:space="preserve">94/95 </v>
      </c>
      <c r="D64" s="203" t="str">
        <f t="shared" si="26"/>
        <v xml:space="preserve">95/96 </v>
      </c>
      <c r="E64" s="203" t="str">
        <f t="shared" si="26"/>
        <v xml:space="preserve">96/97 </v>
      </c>
      <c r="F64" s="203" t="str">
        <f t="shared" si="26"/>
        <v xml:space="preserve">97/98 </v>
      </c>
      <c r="G64" s="203" t="str">
        <f t="shared" si="26"/>
        <v xml:space="preserve">98/99 </v>
      </c>
      <c r="H64" s="203" t="str">
        <f t="shared" si="26"/>
        <v xml:space="preserve">99/00 </v>
      </c>
      <c r="I64" s="203" t="str">
        <f t="shared" si="26"/>
        <v xml:space="preserve">00/01 </v>
      </c>
      <c r="J64" s="203" t="str">
        <f t="shared" si="26"/>
        <v xml:space="preserve">01/02 </v>
      </c>
      <c r="K64" s="203" t="str">
        <f t="shared" si="26"/>
        <v xml:space="preserve">02/03 </v>
      </c>
      <c r="L64" s="203" t="str">
        <f t="shared" si="26"/>
        <v xml:space="preserve">03/04 </v>
      </c>
      <c r="M64" s="203" t="str">
        <f t="shared" si="26"/>
        <v xml:space="preserve">04/05 </v>
      </c>
      <c r="N64" s="203" t="str">
        <f t="shared" si="26"/>
        <v xml:space="preserve">05/06 </v>
      </c>
      <c r="O64" s="203" t="str">
        <f t="shared" si="26"/>
        <v xml:space="preserve">06/07 </v>
      </c>
      <c r="P64" s="203" t="str">
        <f t="shared" si="26"/>
        <v xml:space="preserve">07/08 </v>
      </c>
      <c r="Q64" s="203" t="str">
        <f t="shared" si="26"/>
        <v xml:space="preserve">08/09 </v>
      </c>
      <c r="R64" s="203" t="str">
        <f t="shared" si="26"/>
        <v xml:space="preserve">09/10 </v>
      </c>
      <c r="S64" s="203" t="str">
        <f t="shared" si="26"/>
        <v xml:space="preserve">10/11 </v>
      </c>
      <c r="T64" s="203" t="str">
        <f t="shared" si="26"/>
        <v xml:space="preserve">11/12 </v>
      </c>
      <c r="U64" s="203" t="str">
        <f t="shared" si="26"/>
        <v xml:space="preserve">12/13 </v>
      </c>
      <c r="V64" s="203" t="str">
        <f t="shared" si="26"/>
        <v xml:space="preserve">13/14 </v>
      </c>
      <c r="W64" s="203" t="str">
        <f t="shared" si="26"/>
        <v xml:space="preserve">14/15 </v>
      </c>
      <c r="X64" s="203" t="str">
        <f t="shared" si="26"/>
        <v xml:space="preserve">15/16 </v>
      </c>
      <c r="Y64" s="203" t="str">
        <f t="shared" si="26"/>
        <v xml:space="preserve">16/17 </v>
      </c>
      <c r="Z64" s="203" t="str">
        <f t="shared" si="26"/>
        <v xml:space="preserve">17/18 </v>
      </c>
      <c r="AA64" s="203" t="str">
        <f t="shared" si="26"/>
        <v xml:space="preserve">18/19 </v>
      </c>
      <c r="AB64" s="203" t="str">
        <f t="shared" si="26"/>
        <v xml:space="preserve">19/20 </v>
      </c>
      <c r="AC64" s="203" t="str">
        <f t="shared" si="26"/>
        <v xml:space="preserve">20/21 </v>
      </c>
      <c r="AD64" s="203" t="str">
        <f t="shared" si="26"/>
        <v>21/22</v>
      </c>
      <c r="AE64" s="203" t="str">
        <f t="shared" si="26"/>
        <v>22/23</v>
      </c>
      <c r="AF64" s="203" t="str">
        <f t="shared" si="26"/>
        <v>23/24</v>
      </c>
      <c r="AG64" s="203" t="str">
        <f t="shared" si="26"/>
        <v>24/25</v>
      </c>
      <c r="AH64" s="203" t="str">
        <f t="shared" si="26"/>
        <v>25/26</v>
      </c>
      <c r="AI64" s="203" t="str">
        <f t="shared" si="26"/>
        <v>26/27</v>
      </c>
      <c r="AJ64" s="203" t="str">
        <f t="shared" si="26"/>
        <v>27/28</v>
      </c>
      <c r="AK64" s="203" t="str">
        <f t="shared" si="26"/>
        <v>28/29</v>
      </c>
      <c r="AL64" s="203" t="str">
        <f t="shared" si="26"/>
        <v>29/30</v>
      </c>
      <c r="AM64" s="203" t="str">
        <f t="shared" si="26"/>
        <v>30/31</v>
      </c>
      <c r="AN64" s="203" t="str">
        <f t="shared" si="26"/>
        <v>31/32</v>
      </c>
      <c r="AO64" s="203" t="str">
        <f t="shared" si="26"/>
        <v>32/33</v>
      </c>
      <c r="AP64" s="203" t="str">
        <f t="shared" si="26"/>
        <v>33/34</v>
      </c>
      <c r="AQ64" s="203" t="str">
        <f t="shared" si="26"/>
        <v>34/35</v>
      </c>
      <c r="AR64" s="203" t="str">
        <f t="shared" si="26"/>
        <v>35/36</v>
      </c>
      <c r="AS64" s="203" t="str">
        <f t="shared" si="26"/>
        <v>36/37</v>
      </c>
      <c r="AT64" s="203" t="str">
        <f t="shared" si="26"/>
        <v>37/38</v>
      </c>
      <c r="AU64" s="203" t="str">
        <f t="shared" si="26"/>
        <v>38/39</v>
      </c>
      <c r="AV64" s="203" t="str">
        <f t="shared" si="26"/>
        <v>39/40</v>
      </c>
      <c r="AW64" s="203" t="str">
        <f t="shared" si="26"/>
        <v>40/41</v>
      </c>
      <c r="AX64" s="203" t="str">
        <f t="shared" si="26"/>
        <v>41/42</v>
      </c>
      <c r="AY64" s="203" t="str">
        <f t="shared" si="26"/>
        <v>42/43</v>
      </c>
      <c r="AZ64" s="203" t="str">
        <f t="shared" si="26"/>
        <v>43/44</v>
      </c>
    </row>
    <row r="65" spans="1:52">
      <c r="A65" s="69" t="s">
        <v>37</v>
      </c>
      <c r="B65" s="87">
        <v>10.34899993285455</v>
      </c>
      <c r="C65" s="87">
        <v>50.17399967446557</v>
      </c>
      <c r="D65" s="87">
        <v>118.73899922960831</v>
      </c>
      <c r="E65" s="87">
        <v>22.573999853537408</v>
      </c>
      <c r="F65" s="87">
        <v>52.706999658031187</v>
      </c>
      <c r="G65" s="87">
        <v>57.369999627777133</v>
      </c>
      <c r="H65" s="87">
        <v>61.178999603063914</v>
      </c>
      <c r="I65" s="87">
        <v>49.099999681433793</v>
      </c>
      <c r="J65" s="87">
        <v>65.533999574808192</v>
      </c>
      <c r="K65" s="87">
        <v>71.579999535581081</v>
      </c>
      <c r="L65" s="87">
        <v>51.862999663507154</v>
      </c>
      <c r="M65" s="87">
        <v>78.310999491909627</v>
      </c>
      <c r="N65" s="87">
        <v>86.524999438616291</v>
      </c>
      <c r="O65" s="87">
        <v>120.71999921675535</v>
      </c>
      <c r="P65" s="87">
        <v>215.29599860313587</v>
      </c>
      <c r="Q65" s="87">
        <v>434.92899717813282</v>
      </c>
      <c r="R65" s="87">
        <v>587.05399619112916</v>
      </c>
      <c r="S65" s="87">
        <v>840.01999454985776</v>
      </c>
      <c r="T65" s="87">
        <v>686.25199554752146</v>
      </c>
      <c r="U65" s="87">
        <v>599.49399611041702</v>
      </c>
      <c r="V65" s="87">
        <v>785.82999490144846</v>
      </c>
      <c r="W65" s="87">
        <v>910.61899409180376</v>
      </c>
      <c r="X65" s="87">
        <v>1158.4469924838684</v>
      </c>
      <c r="Y65" s="87">
        <v>992.32599356167964</v>
      </c>
      <c r="Z65" s="87">
        <v>891.572</v>
      </c>
      <c r="AA65" s="217">
        <v>1025.4369999999999</v>
      </c>
      <c r="AB65" s="217">
        <v>1005.052</v>
      </c>
      <c r="AC65" s="217">
        <v>1122.347</v>
      </c>
      <c r="AD65" s="217">
        <v>902.65200000000004</v>
      </c>
      <c r="AE65" s="217">
        <v>905.78399999999999</v>
      </c>
      <c r="AF65" s="217">
        <v>1029.0550000000001</v>
      </c>
      <c r="AG65" s="217">
        <v>1012.119</v>
      </c>
      <c r="AH65" s="77">
        <f t="shared" ref="AG65:AH75" si="27">(SUM(AB65:AF65)/SUM(AB$77:AF$77))*AH$77</f>
        <v>1001.7783512222456</v>
      </c>
      <c r="AI65" s="77">
        <f t="shared" ref="AI65:AI75" si="28">(SUM(AC65:AG65)/SUM(AC$77:AG$77))*AI$77</f>
        <v>981.0346438451262</v>
      </c>
      <c r="AJ65" s="77">
        <f t="shared" ref="AJ65:AY75" si="29">(SUM(AD65:AH65)/SUM(AD$77:AH$77))*AJ$77</f>
        <v>962.42966797959775</v>
      </c>
      <c r="AK65" s="77">
        <f t="shared" si="29"/>
        <v>983.46070215268116</v>
      </c>
      <c r="AL65" s="77">
        <f t="shared" si="29"/>
        <v>978.15532694926378</v>
      </c>
      <c r="AM65" s="77">
        <f t="shared" si="29"/>
        <v>979.45817812327869</v>
      </c>
      <c r="AN65" s="77">
        <f t="shared" si="29"/>
        <v>981.37173842978291</v>
      </c>
      <c r="AO65" s="77">
        <f t="shared" si="29"/>
        <v>976.90770380998947</v>
      </c>
      <c r="AP65" s="77">
        <f t="shared" si="29"/>
        <v>976.97512272692063</v>
      </c>
      <c r="AQ65" s="77">
        <f t="shared" si="29"/>
        <v>979.87072989299918</v>
      </c>
      <c r="AR65" s="77">
        <f t="shared" si="29"/>
        <v>978.57361400784691</v>
      </c>
      <c r="AS65" s="77">
        <f t="shared" si="29"/>
        <v>978.9166945965942</v>
      </c>
      <c r="AT65" s="77">
        <f t="shared" si="29"/>
        <v>978.73978177350784</v>
      </c>
      <c r="AU65" s="77">
        <f t="shared" si="29"/>
        <v>978.24877300687012</v>
      </c>
      <c r="AV65" s="77">
        <f t="shared" si="29"/>
        <v>978.61518859957368</v>
      </c>
      <c r="AW65" s="77">
        <f t="shared" si="29"/>
        <v>978.86991865556354</v>
      </c>
      <c r="AX65" s="77">
        <f t="shared" si="29"/>
        <v>978.61881039687842</v>
      </c>
      <c r="AY65" s="77">
        <f t="shared" si="29"/>
        <v>978.6780713264219</v>
      </c>
      <c r="AZ65" s="77">
        <f t="shared" ref="AY65:AZ75" si="30">(SUM(AT65:AX65)/SUM(AT$77:AX$77))*AZ$77</f>
        <v>978.61849448647888</v>
      </c>
    </row>
    <row r="66" spans="1:52">
      <c r="A66" s="69" t="s">
        <v>38</v>
      </c>
      <c r="B66" s="87">
        <v>17.931999883655212</v>
      </c>
      <c r="C66" s="87">
        <v>66.844999566302292</v>
      </c>
      <c r="D66" s="87">
        <v>74.663999515571746</v>
      </c>
      <c r="E66" s="87">
        <v>55.719999638482513</v>
      </c>
      <c r="F66" s="87">
        <v>40.518999737108274</v>
      </c>
      <c r="G66" s="87">
        <v>69.149999551347193</v>
      </c>
      <c r="H66" s="87">
        <v>54.811999644373714</v>
      </c>
      <c r="I66" s="87">
        <v>86.568999438330806</v>
      </c>
      <c r="J66" s="87">
        <v>73.605999522436178</v>
      </c>
      <c r="K66" s="87">
        <v>80.233999479432995</v>
      </c>
      <c r="L66" s="87">
        <v>76.943999500778858</v>
      </c>
      <c r="M66" s="87">
        <v>61.006999604179867</v>
      </c>
      <c r="N66" s="87">
        <v>108.32399929718197</v>
      </c>
      <c r="O66" s="87">
        <v>116.76099924244178</v>
      </c>
      <c r="P66" s="87">
        <v>289.96899811864927</v>
      </c>
      <c r="Q66" s="87">
        <v>556.8389963871673</v>
      </c>
      <c r="R66" s="87">
        <v>654.58599575297399</v>
      </c>
      <c r="S66" s="87">
        <v>775.68699496725742</v>
      </c>
      <c r="T66" s="87">
        <v>604.01899608105816</v>
      </c>
      <c r="U66" s="87">
        <v>620.36899597497768</v>
      </c>
      <c r="V66" s="87">
        <v>931.17499395843424</v>
      </c>
      <c r="W66" s="87">
        <v>773.18199498351009</v>
      </c>
      <c r="X66" s="87">
        <v>1035.366993282425</v>
      </c>
      <c r="Y66" s="87">
        <v>965.33599373679374</v>
      </c>
      <c r="Z66" s="87">
        <v>1007.204</v>
      </c>
      <c r="AA66" s="217">
        <v>1009.417</v>
      </c>
      <c r="AB66" s="217">
        <v>767.57899999999995</v>
      </c>
      <c r="AC66" s="217">
        <v>977.54300000000001</v>
      </c>
      <c r="AD66" s="217">
        <v>1064.6869999999999</v>
      </c>
      <c r="AE66" s="217">
        <v>787.88800000000003</v>
      </c>
      <c r="AF66" s="217">
        <v>890.48099999999999</v>
      </c>
      <c r="AG66" s="217">
        <v>1114.3910000000001</v>
      </c>
      <c r="AH66" s="77">
        <f t="shared" si="27"/>
        <v>905.59097116591806</v>
      </c>
      <c r="AI66" s="77">
        <f t="shared" si="28"/>
        <v>954.00919449720641</v>
      </c>
      <c r="AJ66" s="77">
        <f t="shared" si="29"/>
        <v>944.90251476333117</v>
      </c>
      <c r="AK66" s="77">
        <f t="shared" si="29"/>
        <v>928.11885172116229</v>
      </c>
      <c r="AL66" s="77">
        <f t="shared" si="29"/>
        <v>943.42606742362761</v>
      </c>
      <c r="AM66" s="77">
        <f t="shared" si="29"/>
        <v>960.86151518344855</v>
      </c>
      <c r="AN66" s="77">
        <f t="shared" si="29"/>
        <v>935.20951991424909</v>
      </c>
      <c r="AO66" s="77">
        <f t="shared" si="29"/>
        <v>946.26362871775507</v>
      </c>
      <c r="AP66" s="77">
        <f t="shared" si="29"/>
        <v>942.50369380116388</v>
      </c>
      <c r="AQ66" s="77">
        <f t="shared" si="29"/>
        <v>942.77591659204847</v>
      </c>
      <c r="AR66" s="77">
        <f t="shared" si="29"/>
        <v>945.652885008049</v>
      </c>
      <c r="AS66" s="77">
        <f t="shared" si="29"/>
        <v>945.52285484173296</v>
      </c>
      <c r="AT66" s="77">
        <f t="shared" si="29"/>
        <v>942.48112880665315</v>
      </c>
      <c r="AU66" s="77">
        <f t="shared" si="29"/>
        <v>944.54379579214981</v>
      </c>
      <c r="AV66" s="77">
        <f t="shared" si="29"/>
        <v>943.78729580992945</v>
      </c>
      <c r="AW66" s="77">
        <f t="shared" si="29"/>
        <v>944.19531620812677</v>
      </c>
      <c r="AX66" s="77">
        <f t="shared" si="29"/>
        <v>944.39759205170287</v>
      </c>
      <c r="AY66" s="77">
        <f t="shared" si="30"/>
        <v>944.10607829171863</v>
      </c>
      <c r="AZ66" s="77">
        <f t="shared" si="30"/>
        <v>943.88102573371236</v>
      </c>
    </row>
    <row r="67" spans="1:52">
      <c r="A67" s="69" t="s">
        <v>39</v>
      </c>
      <c r="B67" s="87">
        <v>14.379999906700977</v>
      </c>
      <c r="C67" s="87">
        <v>63.432999588439728</v>
      </c>
      <c r="D67" s="87">
        <v>55.14799964219371</v>
      </c>
      <c r="E67" s="87">
        <v>52.656999658355595</v>
      </c>
      <c r="F67" s="87">
        <v>38.819999748131572</v>
      </c>
      <c r="G67" s="87">
        <v>78.178999492766053</v>
      </c>
      <c r="H67" s="87">
        <v>66.165999570707712</v>
      </c>
      <c r="I67" s="87">
        <v>92.149999402120656</v>
      </c>
      <c r="J67" s="87">
        <v>63.1289995904121</v>
      </c>
      <c r="K67" s="87">
        <v>58.261999621989737</v>
      </c>
      <c r="L67" s="87">
        <v>48.743999683743574</v>
      </c>
      <c r="M67" s="87">
        <v>87.039999435274908</v>
      </c>
      <c r="N67" s="87">
        <v>102.62099933418367</v>
      </c>
      <c r="O67" s="87">
        <v>108.02999929908948</v>
      </c>
      <c r="P67" s="87">
        <v>279.14499818887657</v>
      </c>
      <c r="Q67" s="87">
        <v>293.84799809348186</v>
      </c>
      <c r="R67" s="87">
        <v>535.16299652780356</v>
      </c>
      <c r="S67" s="87">
        <v>719.3529953327585</v>
      </c>
      <c r="T67" s="87">
        <v>540.05699649605071</v>
      </c>
      <c r="U67" s="87">
        <v>520.34699662393143</v>
      </c>
      <c r="V67" s="87">
        <v>1065.8709930845116</v>
      </c>
      <c r="W67" s="87">
        <v>629.91599591303566</v>
      </c>
      <c r="X67" s="87">
        <v>925.35899399616892</v>
      </c>
      <c r="Y67" s="87">
        <v>982.44599362578219</v>
      </c>
      <c r="Z67" s="87">
        <v>878.99800000000005</v>
      </c>
      <c r="AA67" s="217">
        <v>1013.744</v>
      </c>
      <c r="AB67" s="217">
        <v>911.851</v>
      </c>
      <c r="AC67" s="217">
        <v>912.93399999999997</v>
      </c>
      <c r="AD67" s="217">
        <v>1011.417</v>
      </c>
      <c r="AE67" s="217">
        <v>728.34100000000001</v>
      </c>
      <c r="AF67" s="217">
        <v>826.42399999999998</v>
      </c>
      <c r="AG67" s="217">
        <v>946.822</v>
      </c>
      <c r="AH67" s="77">
        <f t="shared" si="27"/>
        <v>885.97646302965211</v>
      </c>
      <c r="AI67" s="77">
        <f t="shared" si="28"/>
        <v>873.29767926605371</v>
      </c>
      <c r="AJ67" s="77">
        <f t="shared" si="29"/>
        <v>872.67994231295381</v>
      </c>
      <c r="AK67" s="77">
        <f t="shared" si="29"/>
        <v>850.017068738087</v>
      </c>
      <c r="AL67" s="77">
        <f t="shared" si="29"/>
        <v>864.14157103435775</v>
      </c>
      <c r="AM67" s="77">
        <f t="shared" si="29"/>
        <v>877.9545898705004</v>
      </c>
      <c r="AN67" s="77">
        <f t="shared" si="29"/>
        <v>869.22254487622081</v>
      </c>
      <c r="AO67" s="77">
        <f t="shared" si="29"/>
        <v>867.6181702443904</v>
      </c>
      <c r="AP67" s="77">
        <f t="shared" si="29"/>
        <v>866.80314336642402</v>
      </c>
      <c r="AQ67" s="77">
        <f t="shared" si="29"/>
        <v>865.79078895271118</v>
      </c>
      <c r="AR67" s="77">
        <f t="shared" si="29"/>
        <v>869.14800387837886</v>
      </c>
      <c r="AS67" s="77">
        <f t="shared" si="29"/>
        <v>869.47784746204945</v>
      </c>
      <c r="AT67" s="77">
        <f t="shared" si="29"/>
        <v>867.71653026362503</v>
      </c>
      <c r="AU67" s="77">
        <f t="shared" si="29"/>
        <v>867.7675907807909</v>
      </c>
      <c r="AV67" s="77">
        <f t="shared" si="29"/>
        <v>867.78726278463773</v>
      </c>
      <c r="AW67" s="77">
        <f t="shared" si="29"/>
        <v>867.98015226751102</v>
      </c>
      <c r="AX67" s="77">
        <f t="shared" si="29"/>
        <v>868.3794470338961</v>
      </c>
      <c r="AY67" s="77">
        <f t="shared" si="30"/>
        <v>868.14587671172285</v>
      </c>
      <c r="AZ67" s="77">
        <f t="shared" si="30"/>
        <v>867.92619662609218</v>
      </c>
    </row>
    <row r="68" spans="1:52">
      <c r="A68" s="69" t="s">
        <v>40</v>
      </c>
      <c r="B68" s="87">
        <v>9.6909999371237259</v>
      </c>
      <c r="C68" s="87">
        <v>42.253999725851401</v>
      </c>
      <c r="D68" s="87">
        <v>62.821999592403955</v>
      </c>
      <c r="E68" s="87">
        <v>60.28499960886429</v>
      </c>
      <c r="F68" s="87">
        <v>57.06699962974303</v>
      </c>
      <c r="G68" s="87">
        <v>46.204999700216881</v>
      </c>
      <c r="H68" s="87">
        <v>63.403999588627876</v>
      </c>
      <c r="I68" s="87">
        <v>52.593999658764346</v>
      </c>
      <c r="J68" s="87">
        <v>93.108999395898564</v>
      </c>
      <c r="K68" s="87">
        <v>71.551999535762747</v>
      </c>
      <c r="L68" s="87">
        <v>93.80099939140878</v>
      </c>
      <c r="M68" s="87">
        <v>94.834999384700097</v>
      </c>
      <c r="N68" s="87">
        <v>125.54599918544375</v>
      </c>
      <c r="O68" s="87">
        <v>101.82299933936117</v>
      </c>
      <c r="P68" s="87">
        <v>241.29399843445796</v>
      </c>
      <c r="Q68" s="87">
        <v>351.77699771763213</v>
      </c>
      <c r="R68" s="87">
        <v>542.68999647896749</v>
      </c>
      <c r="S68" s="87">
        <v>710.2349953919171</v>
      </c>
      <c r="T68" s="87">
        <v>603.95199608149301</v>
      </c>
      <c r="U68" s="87">
        <v>530.04899656098371</v>
      </c>
      <c r="V68" s="87">
        <v>975.19699367281464</v>
      </c>
      <c r="W68" s="87">
        <v>723.62799530502184</v>
      </c>
      <c r="X68" s="87">
        <v>986.08399360217845</v>
      </c>
      <c r="Y68" s="87">
        <v>844.20899452267906</v>
      </c>
      <c r="Z68" s="87">
        <v>975.26800000000003</v>
      </c>
      <c r="AA68" s="217">
        <v>873.08</v>
      </c>
      <c r="AB68" s="217">
        <v>758.52599999999995</v>
      </c>
      <c r="AC68" s="217">
        <v>863.18700000000001</v>
      </c>
      <c r="AD68" s="217">
        <v>914.51499999999999</v>
      </c>
      <c r="AE68" s="217">
        <v>845.40200000000004</v>
      </c>
      <c r="AF68" s="217">
        <v>1016.704</v>
      </c>
      <c r="AG68" s="77">
        <f t="shared" si="27"/>
        <v>905.97422047335294</v>
      </c>
      <c r="AH68" s="77">
        <f t="shared" si="27"/>
        <v>887.46292116134362</v>
      </c>
      <c r="AI68" s="77">
        <f t="shared" si="28"/>
        <v>896.94457165650942</v>
      </c>
      <c r="AJ68" s="77">
        <f t="shared" si="29"/>
        <v>906.61872880014403</v>
      </c>
      <c r="AK68" s="77">
        <f t="shared" si="29"/>
        <v>908.19487711186014</v>
      </c>
      <c r="AL68" s="77">
        <f t="shared" si="29"/>
        <v>905.04261515994085</v>
      </c>
      <c r="AM68" s="77">
        <f t="shared" si="29"/>
        <v>893.10039367464537</v>
      </c>
      <c r="AN68" s="77">
        <f t="shared" si="29"/>
        <v>900.85274277795952</v>
      </c>
      <c r="AO68" s="77">
        <f t="shared" si="29"/>
        <v>901.98023728061992</v>
      </c>
      <c r="AP68" s="77">
        <f t="shared" si="29"/>
        <v>902.76187150490978</v>
      </c>
      <c r="AQ68" s="77">
        <f t="shared" si="29"/>
        <v>901.83417320100534</v>
      </c>
      <c r="AR68" s="77">
        <f t="shared" si="29"/>
        <v>900.74757207961522</v>
      </c>
      <c r="AS68" s="77">
        <f t="shared" si="29"/>
        <v>900.10588368782805</v>
      </c>
      <c r="AT68" s="77">
        <f t="shared" si="29"/>
        <v>901.6353193688218</v>
      </c>
      <c r="AU68" s="77">
        <f t="shared" si="29"/>
        <v>901.48594755079557</v>
      </c>
      <c r="AV68" s="77">
        <f t="shared" si="29"/>
        <v>901.41696396843611</v>
      </c>
      <c r="AW68" s="77">
        <f t="shared" si="29"/>
        <v>901.1617791776132</v>
      </c>
      <c r="AX68" s="77">
        <f t="shared" si="29"/>
        <v>901.07833733109953</v>
      </c>
      <c r="AY68" s="77">
        <f t="shared" si="30"/>
        <v>901.16117875069892</v>
      </c>
      <c r="AZ68" s="77">
        <f t="shared" si="30"/>
        <v>901.35566947935331</v>
      </c>
    </row>
    <row r="69" spans="1:52">
      <c r="A69" s="69" t="s">
        <v>30</v>
      </c>
      <c r="B69" s="87">
        <v>18.716999878562046</v>
      </c>
      <c r="C69" s="87">
        <v>31.244999797279</v>
      </c>
      <c r="D69" s="87">
        <v>65.000999578266359</v>
      </c>
      <c r="E69" s="87">
        <v>62.143999596802885</v>
      </c>
      <c r="F69" s="87">
        <v>71.222999537897337</v>
      </c>
      <c r="G69" s="87">
        <v>57.374999627744693</v>
      </c>
      <c r="H69" s="87">
        <v>44.35799971220041</v>
      </c>
      <c r="I69" s="87">
        <v>63.731999586499768</v>
      </c>
      <c r="J69" s="87">
        <v>69.627999548245882</v>
      </c>
      <c r="K69" s="87">
        <v>95.416999380924011</v>
      </c>
      <c r="L69" s="87">
        <v>49.662999677780995</v>
      </c>
      <c r="M69" s="87">
        <v>42.115999726746757</v>
      </c>
      <c r="N69" s="87">
        <v>83.467999458450436</v>
      </c>
      <c r="O69" s="87">
        <v>141.80999907992114</v>
      </c>
      <c r="P69" s="87">
        <v>285.0769981503891</v>
      </c>
      <c r="Q69" s="87">
        <v>299.97999805369665</v>
      </c>
      <c r="R69" s="87">
        <v>550.19699643026138</v>
      </c>
      <c r="S69" s="87">
        <v>706.16199541834328</v>
      </c>
      <c r="T69" s="87">
        <v>605.3129960726626</v>
      </c>
      <c r="U69" s="87">
        <v>583.74199621261766</v>
      </c>
      <c r="V69" s="87">
        <v>912.24899408122815</v>
      </c>
      <c r="W69" s="87">
        <v>700.91899545236038</v>
      </c>
      <c r="X69" s="87">
        <v>797.60899482502498</v>
      </c>
      <c r="Y69" s="87">
        <v>936.447</v>
      </c>
      <c r="Z69" s="87">
        <v>891.09299999999996</v>
      </c>
      <c r="AA69" s="217">
        <v>843.76900000000001</v>
      </c>
      <c r="AB69" s="217">
        <v>970.74400000000003</v>
      </c>
      <c r="AC69" s="217">
        <v>902.05399999999997</v>
      </c>
      <c r="AD69" s="217">
        <v>1087.2840000000001</v>
      </c>
      <c r="AE69" s="217">
        <v>766.63499999999999</v>
      </c>
      <c r="AF69" s="217">
        <v>903.14599999999996</v>
      </c>
      <c r="AG69" s="77">
        <f t="shared" si="27"/>
        <v>973.21380094868346</v>
      </c>
      <c r="AH69" s="77">
        <f t="shared" si="27"/>
        <v>934.17911021691907</v>
      </c>
      <c r="AI69" s="77">
        <f t="shared" si="28"/>
        <v>914.02217669034314</v>
      </c>
      <c r="AJ69" s="77">
        <f t="shared" si="29"/>
        <v>925.3459739245402</v>
      </c>
      <c r="AK69" s="77">
        <f t="shared" si="29"/>
        <v>895.96755356134361</v>
      </c>
      <c r="AL69" s="77">
        <f t="shared" si="29"/>
        <v>912.14426504027949</v>
      </c>
      <c r="AM69" s="77">
        <f t="shared" si="29"/>
        <v>920.36470348186037</v>
      </c>
      <c r="AN69" s="77">
        <f t="shared" si="29"/>
        <v>916.33181588668504</v>
      </c>
      <c r="AO69" s="77">
        <f t="shared" si="29"/>
        <v>913.56893453967325</v>
      </c>
      <c r="AP69" s="77">
        <f t="shared" si="29"/>
        <v>914.03086237894161</v>
      </c>
      <c r="AQ69" s="77">
        <f t="shared" si="29"/>
        <v>911.67545450196826</v>
      </c>
      <c r="AR69" s="77">
        <f t="shared" si="29"/>
        <v>915.28811626548793</v>
      </c>
      <c r="AS69" s="77">
        <f t="shared" si="29"/>
        <v>915.19435415782573</v>
      </c>
      <c r="AT69" s="77">
        <f t="shared" si="29"/>
        <v>914.17903671455122</v>
      </c>
      <c r="AU69" s="77">
        <f t="shared" si="29"/>
        <v>913.95154436877931</v>
      </c>
      <c r="AV69" s="77">
        <f t="shared" si="29"/>
        <v>914.07356480375495</v>
      </c>
      <c r="AW69" s="77">
        <f t="shared" si="29"/>
        <v>914.05770120172258</v>
      </c>
      <c r="AX69" s="77">
        <f t="shared" si="29"/>
        <v>914.53732326207989</v>
      </c>
      <c r="AY69" s="77">
        <f t="shared" si="30"/>
        <v>914.29124024932673</v>
      </c>
      <c r="AZ69" s="77">
        <f t="shared" si="30"/>
        <v>914.15983407017757</v>
      </c>
    </row>
    <row r="70" spans="1:52">
      <c r="A70" s="69" t="s">
        <v>31</v>
      </c>
      <c r="B70" s="87">
        <v>17.017999889585344</v>
      </c>
      <c r="C70" s="87">
        <v>42.864999721887166</v>
      </c>
      <c r="D70" s="87">
        <v>51.355999666796627</v>
      </c>
      <c r="E70" s="87">
        <v>48.854999683023387</v>
      </c>
      <c r="F70" s="87">
        <v>54.964999643381027</v>
      </c>
      <c r="G70" s="87">
        <v>69.563999548661116</v>
      </c>
      <c r="H70" s="87">
        <v>59.98699961079776</v>
      </c>
      <c r="I70" s="87">
        <v>66.381999569306288</v>
      </c>
      <c r="J70" s="87">
        <v>86.693999437519793</v>
      </c>
      <c r="K70" s="87">
        <v>44.369999712122556</v>
      </c>
      <c r="L70" s="87">
        <v>60.634999606593453</v>
      </c>
      <c r="M70" s="87">
        <v>83.123999460682342</v>
      </c>
      <c r="N70" s="87">
        <v>80.516999477596841</v>
      </c>
      <c r="O70" s="87">
        <v>143.90099906635447</v>
      </c>
      <c r="P70" s="87">
        <v>321.19199791607093</v>
      </c>
      <c r="Q70" s="87">
        <v>334.8329978275666</v>
      </c>
      <c r="R70" s="87">
        <v>625.23699594339348</v>
      </c>
      <c r="S70" s="87">
        <v>607.96099605548204</v>
      </c>
      <c r="T70" s="87">
        <v>611.76099603082719</v>
      </c>
      <c r="U70" s="87">
        <v>615.87799600411586</v>
      </c>
      <c r="V70" s="87">
        <v>897.41799417745324</v>
      </c>
      <c r="W70" s="87">
        <v>800.62399480546344</v>
      </c>
      <c r="X70" s="87">
        <v>783.0869949192454</v>
      </c>
      <c r="Y70" s="87">
        <v>1063.883</v>
      </c>
      <c r="Z70" s="87">
        <v>829.97900000000004</v>
      </c>
      <c r="AA70" s="217">
        <v>683.15099999999995</v>
      </c>
      <c r="AB70" s="217">
        <v>828.8</v>
      </c>
      <c r="AC70" s="217">
        <v>771.32299999999998</v>
      </c>
      <c r="AD70" s="217">
        <v>909.976</v>
      </c>
      <c r="AE70" s="217">
        <v>722.18499999999995</v>
      </c>
      <c r="AF70" s="217">
        <v>986.38499999999999</v>
      </c>
      <c r="AG70" s="77">
        <f t="shared" si="27"/>
        <v>833.73089398315813</v>
      </c>
      <c r="AH70" s="77">
        <f t="shared" si="27"/>
        <v>851.21146192008268</v>
      </c>
      <c r="AI70" s="77">
        <f t="shared" si="28"/>
        <v>833.37362284872552</v>
      </c>
      <c r="AJ70" s="77">
        <f t="shared" si="29"/>
        <v>853.73599672401951</v>
      </c>
      <c r="AK70" s="77">
        <f t="shared" si="29"/>
        <v>843.23922079587828</v>
      </c>
      <c r="AL70" s="77">
        <f t="shared" si="29"/>
        <v>854.96833353861973</v>
      </c>
      <c r="AM70" s="77">
        <f t="shared" si="29"/>
        <v>835.63041335785863</v>
      </c>
      <c r="AN70" s="77">
        <f t="shared" si="29"/>
        <v>847.30572716546533</v>
      </c>
      <c r="AO70" s="77">
        <f t="shared" si="29"/>
        <v>844.18951745302047</v>
      </c>
      <c r="AP70" s="77">
        <f t="shared" si="29"/>
        <v>846.97593831636834</v>
      </c>
      <c r="AQ70" s="77">
        <f t="shared" si="29"/>
        <v>845.0666424621686</v>
      </c>
      <c r="AR70" s="77">
        <f t="shared" si="29"/>
        <v>845.81398596626661</v>
      </c>
      <c r="AS70" s="77">
        <f t="shared" si="29"/>
        <v>843.83364775097618</v>
      </c>
      <c r="AT70" s="77">
        <f t="shared" si="29"/>
        <v>845.87036227265787</v>
      </c>
      <c r="AU70" s="77">
        <f t="shared" si="29"/>
        <v>845.17594638976004</v>
      </c>
      <c r="AV70" s="77">
        <f t="shared" si="29"/>
        <v>845.51211535368748</v>
      </c>
      <c r="AW70" s="77">
        <f t="shared" si="29"/>
        <v>845.15211696836582</v>
      </c>
      <c r="AX70" s="77">
        <f t="shared" si="29"/>
        <v>845.24121154666977</v>
      </c>
      <c r="AY70" s="77">
        <f t="shared" si="30"/>
        <v>845.10883774708941</v>
      </c>
      <c r="AZ70" s="77">
        <f t="shared" si="30"/>
        <v>845.39035050622806</v>
      </c>
    </row>
    <row r="71" spans="1:52">
      <c r="A71" s="69" t="s">
        <v>32</v>
      </c>
      <c r="B71" s="87">
        <v>29.747999806991707</v>
      </c>
      <c r="C71" s="87">
        <v>91.407999406934834</v>
      </c>
      <c r="D71" s="87">
        <v>61.291999602330762</v>
      </c>
      <c r="E71" s="87">
        <v>40.74899973561601</v>
      </c>
      <c r="F71" s="87">
        <v>39.763999742006796</v>
      </c>
      <c r="G71" s="87">
        <v>55.781999638080244</v>
      </c>
      <c r="H71" s="87">
        <v>89.353999420261417</v>
      </c>
      <c r="I71" s="87">
        <v>56.378999634206849</v>
      </c>
      <c r="J71" s="87">
        <v>90.317999414006877</v>
      </c>
      <c r="K71" s="87">
        <v>88.754999424147798</v>
      </c>
      <c r="L71" s="87">
        <v>66.74999956691866</v>
      </c>
      <c r="M71" s="87">
        <v>78.446999491027242</v>
      </c>
      <c r="N71" s="87">
        <v>143.44499906931307</v>
      </c>
      <c r="O71" s="87">
        <v>122.15299920745791</v>
      </c>
      <c r="P71" s="87">
        <v>344.02299776794092</v>
      </c>
      <c r="Q71" s="87">
        <v>328.72199786721552</v>
      </c>
      <c r="R71" s="87">
        <v>705.67899542147711</v>
      </c>
      <c r="S71" s="87">
        <v>691.90999551081188</v>
      </c>
      <c r="T71" s="87">
        <v>642.48899583146056</v>
      </c>
      <c r="U71" s="87">
        <v>592.07399615855866</v>
      </c>
      <c r="V71" s="87">
        <v>1157.6249924892015</v>
      </c>
      <c r="W71" s="87">
        <v>936.4789939240211</v>
      </c>
      <c r="X71" s="87">
        <v>821.3979946706794</v>
      </c>
      <c r="Y71" s="87">
        <v>1022.146</v>
      </c>
      <c r="Z71" s="87">
        <v>909.18399999999997</v>
      </c>
      <c r="AA71" s="217">
        <v>950.51199999999994</v>
      </c>
      <c r="AB71" s="217">
        <v>926.16899999999998</v>
      </c>
      <c r="AC71" s="217">
        <v>883.803</v>
      </c>
      <c r="AD71" s="217">
        <v>889.71199999999999</v>
      </c>
      <c r="AE71" s="217">
        <v>942.04100000000005</v>
      </c>
      <c r="AF71" s="217">
        <v>1055.7280000000001</v>
      </c>
      <c r="AG71" s="77">
        <f t="shared" si="27"/>
        <v>977.84533759149008</v>
      </c>
      <c r="AH71" s="77">
        <f t="shared" si="27"/>
        <v>947.8169146313395</v>
      </c>
      <c r="AI71" s="77">
        <f t="shared" si="28"/>
        <v>937.06771966823305</v>
      </c>
      <c r="AJ71" s="77">
        <f t="shared" si="29"/>
        <v>954.84251657734376</v>
      </c>
      <c r="AK71" s="77">
        <f t="shared" si="29"/>
        <v>969.64133556939055</v>
      </c>
      <c r="AL71" s="77">
        <f t="shared" si="29"/>
        <v>955.96600820498247</v>
      </c>
      <c r="AM71" s="77">
        <f t="shared" si="29"/>
        <v>949.00714573436505</v>
      </c>
      <c r="AN71" s="77">
        <f t="shared" si="29"/>
        <v>953.06689893025782</v>
      </c>
      <c r="AO71" s="77">
        <f t="shared" si="29"/>
        <v>953.30494515086286</v>
      </c>
      <c r="AP71" s="77">
        <f t="shared" si="29"/>
        <v>956.50478100326791</v>
      </c>
      <c r="AQ71" s="77">
        <f t="shared" si="29"/>
        <v>956.19726671797184</v>
      </c>
      <c r="AR71" s="77">
        <f t="shared" si="29"/>
        <v>953.56995580474734</v>
      </c>
      <c r="AS71" s="77">
        <f t="shared" si="29"/>
        <v>953.61620750734517</v>
      </c>
      <c r="AT71" s="77">
        <f t="shared" si="29"/>
        <v>954.52876952142162</v>
      </c>
      <c r="AU71" s="77">
        <f t="shared" si="29"/>
        <v>954.63863123683905</v>
      </c>
      <c r="AV71" s="77">
        <f t="shared" si="29"/>
        <v>954.8833961109508</v>
      </c>
      <c r="AW71" s="77">
        <f t="shared" si="29"/>
        <v>954.51016615766491</v>
      </c>
      <c r="AX71" s="77">
        <f t="shared" si="29"/>
        <v>954.24739203626086</v>
      </c>
      <c r="AY71" s="77">
        <f t="shared" si="30"/>
        <v>954.43543410684424</v>
      </c>
      <c r="AZ71" s="77">
        <f t="shared" si="30"/>
        <v>954.56167101262747</v>
      </c>
    </row>
    <row r="72" spans="1:52">
      <c r="A72" s="69" t="s">
        <v>33</v>
      </c>
      <c r="B72" s="87">
        <v>31.790999793736496</v>
      </c>
      <c r="C72" s="87">
        <v>67.455999562338064</v>
      </c>
      <c r="D72" s="87">
        <v>47.005999695019909</v>
      </c>
      <c r="E72" s="87">
        <v>88.997999422571183</v>
      </c>
      <c r="F72" s="87">
        <v>48.641999684405356</v>
      </c>
      <c r="G72" s="87">
        <v>70.136999544943436</v>
      </c>
      <c r="H72" s="87">
        <v>53.397999653547899</v>
      </c>
      <c r="I72" s="87">
        <v>61.041999603952796</v>
      </c>
      <c r="J72" s="87">
        <v>39.685999742512863</v>
      </c>
      <c r="K72" s="87">
        <v>28.551999814751483</v>
      </c>
      <c r="L72" s="87">
        <v>66.811999566516405</v>
      </c>
      <c r="M72" s="87">
        <v>74.586999516071344</v>
      </c>
      <c r="N72" s="87">
        <v>73.556999522754097</v>
      </c>
      <c r="O72" s="87">
        <v>139.28699909629063</v>
      </c>
      <c r="P72" s="87">
        <v>322.13699790993974</v>
      </c>
      <c r="Q72" s="87">
        <v>382.92699751552766</v>
      </c>
      <c r="R72" s="87">
        <v>740.12699519797457</v>
      </c>
      <c r="S72" s="87">
        <v>585.45099620152951</v>
      </c>
      <c r="T72" s="87">
        <v>608.68299605079778</v>
      </c>
      <c r="U72" s="87">
        <v>686.72199554447207</v>
      </c>
      <c r="V72" s="87">
        <v>956.86799379173522</v>
      </c>
      <c r="W72" s="87">
        <v>917.81299404512822</v>
      </c>
      <c r="X72" s="87">
        <v>879.21399429556277</v>
      </c>
      <c r="Y72" s="87">
        <v>883.40099999999995</v>
      </c>
      <c r="Z72" s="217">
        <v>983.53800000000001</v>
      </c>
      <c r="AA72" s="217">
        <v>909.13699999999994</v>
      </c>
      <c r="AB72" s="217">
        <v>755.77700000000004</v>
      </c>
      <c r="AC72" s="217">
        <v>852.04</v>
      </c>
      <c r="AD72" s="217">
        <v>804.30100000000004</v>
      </c>
      <c r="AE72" s="217">
        <v>755.82</v>
      </c>
      <c r="AF72" s="217">
        <v>970.18200000000002</v>
      </c>
      <c r="AG72" s="77">
        <f t="shared" si="27"/>
        <v>868.14961417732241</v>
      </c>
      <c r="AH72" s="77">
        <f t="shared" si="27"/>
        <v>834.95888745970171</v>
      </c>
      <c r="AI72" s="77">
        <f t="shared" si="28"/>
        <v>838.67992179252337</v>
      </c>
      <c r="AJ72" s="77">
        <f t="shared" si="29"/>
        <v>839.8339879170976</v>
      </c>
      <c r="AK72" s="77">
        <f t="shared" si="29"/>
        <v>851.39942010818527</v>
      </c>
      <c r="AL72" s="77">
        <f t="shared" si="29"/>
        <v>853.66726337684918</v>
      </c>
      <c r="AM72" s="77">
        <f t="shared" si="29"/>
        <v>839.14529698443766</v>
      </c>
      <c r="AN72" s="77">
        <f t="shared" si="29"/>
        <v>843.7078961308714</v>
      </c>
      <c r="AO72" s="77">
        <f t="shared" si="29"/>
        <v>844.54517803581848</v>
      </c>
      <c r="AP72" s="77">
        <f t="shared" si="29"/>
        <v>845.55077290348811</v>
      </c>
      <c r="AQ72" s="77">
        <f t="shared" si="29"/>
        <v>846.49301092723249</v>
      </c>
      <c r="AR72" s="77">
        <f t="shared" si="29"/>
        <v>845.32328148629301</v>
      </c>
      <c r="AS72" s="77">
        <f t="shared" si="29"/>
        <v>843.88843099636961</v>
      </c>
      <c r="AT72" s="77">
        <f t="shared" si="29"/>
        <v>845.12402789674059</v>
      </c>
      <c r="AU72" s="77">
        <f t="shared" si="29"/>
        <v>845.16013486984036</v>
      </c>
      <c r="AV72" s="77">
        <f t="shared" si="29"/>
        <v>845.27590484202483</v>
      </c>
      <c r="AW72" s="77">
        <f t="shared" si="29"/>
        <v>845.19777723529512</v>
      </c>
      <c r="AX72" s="77">
        <f t="shared" si="29"/>
        <v>844.95435601825375</v>
      </c>
      <c r="AY72" s="77">
        <f t="shared" si="30"/>
        <v>844.92925516805406</v>
      </c>
      <c r="AZ72" s="77">
        <f t="shared" si="30"/>
        <v>845.14244017243118</v>
      </c>
    </row>
    <row r="73" spans="1:52">
      <c r="A73" s="69" t="s">
        <v>14</v>
      </c>
      <c r="B73" s="87">
        <v>15.167999901588347</v>
      </c>
      <c r="C73" s="87">
        <v>60.822999605373681</v>
      </c>
      <c r="D73" s="87">
        <v>26.123999830504616</v>
      </c>
      <c r="E73" s="87">
        <v>77.812999495140701</v>
      </c>
      <c r="F73" s="87">
        <v>53.618999652114034</v>
      </c>
      <c r="G73" s="87">
        <v>79.086999486874845</v>
      </c>
      <c r="H73" s="87">
        <v>82.310999465957167</v>
      </c>
      <c r="I73" s="87">
        <v>54.571999645930859</v>
      </c>
      <c r="J73" s="87">
        <v>54.579999645878956</v>
      </c>
      <c r="K73" s="87">
        <v>66.76299956683431</v>
      </c>
      <c r="L73" s="87">
        <v>42.671999723139372</v>
      </c>
      <c r="M73" s="87">
        <v>62.591999593896219</v>
      </c>
      <c r="N73" s="87">
        <v>74.72499951517598</v>
      </c>
      <c r="O73" s="87">
        <v>182.38299881667902</v>
      </c>
      <c r="P73" s="87">
        <v>333.31399783742211</v>
      </c>
      <c r="Q73" s="87">
        <v>367.92999761282971</v>
      </c>
      <c r="R73" s="87">
        <v>694.94499549112049</v>
      </c>
      <c r="S73" s="87">
        <v>577.43099625356422</v>
      </c>
      <c r="T73" s="87">
        <v>762.00399505603434</v>
      </c>
      <c r="U73" s="87">
        <v>730.52699526026049</v>
      </c>
      <c r="V73" s="87">
        <v>1077.481993009178</v>
      </c>
      <c r="W73" s="87">
        <v>1273.4159917379368</v>
      </c>
      <c r="X73" s="87">
        <v>1031.5149933074172</v>
      </c>
      <c r="Y73" s="87">
        <v>720.37699999999995</v>
      </c>
      <c r="Z73" s="217">
        <v>987.15099999999995</v>
      </c>
      <c r="AA73" s="217">
        <v>1001.3390000000001</v>
      </c>
      <c r="AB73" s="217">
        <v>621.45100000000002</v>
      </c>
      <c r="AC73" s="217">
        <v>1049.846</v>
      </c>
      <c r="AD73" s="217">
        <v>957.08699999999999</v>
      </c>
      <c r="AE73" s="217">
        <v>965.07100000000003</v>
      </c>
      <c r="AF73" s="217">
        <v>1012.384</v>
      </c>
      <c r="AG73" s="77">
        <f t="shared" si="27"/>
        <v>978.38981091205733</v>
      </c>
      <c r="AH73" s="77">
        <f t="shared" si="27"/>
        <v>929.33172727192664</v>
      </c>
      <c r="AI73" s="77">
        <f t="shared" si="28"/>
        <v>979.22346516886728</v>
      </c>
      <c r="AJ73" s="77">
        <f t="shared" si="29"/>
        <v>960.61946641521911</v>
      </c>
      <c r="AK73" s="77">
        <f t="shared" si="29"/>
        <v>970.41956870524405</v>
      </c>
      <c r="AL73" s="77">
        <f t="shared" si="29"/>
        <v>953.34682310678443</v>
      </c>
      <c r="AM73" s="77">
        <f t="shared" si="29"/>
        <v>955.10696797929143</v>
      </c>
      <c r="AN73" s="77">
        <f t="shared" si="29"/>
        <v>958.5882101336083</v>
      </c>
      <c r="AO73" s="77">
        <f t="shared" si="29"/>
        <v>963.74325827508119</v>
      </c>
      <c r="AP73" s="77">
        <f t="shared" si="29"/>
        <v>959.61620726802937</v>
      </c>
      <c r="AQ73" s="77">
        <f t="shared" si="29"/>
        <v>960.24096564000183</v>
      </c>
      <c r="AR73" s="77">
        <f t="shared" si="29"/>
        <v>958.0802933525589</v>
      </c>
      <c r="AS73" s="77">
        <f t="shared" si="29"/>
        <v>959.45912185920247</v>
      </c>
      <c r="AT73" s="77">
        <f t="shared" si="29"/>
        <v>960.0537869338558</v>
      </c>
      <c r="AU73" s="77">
        <f t="shared" si="29"/>
        <v>960.2279692789748</v>
      </c>
      <c r="AV73" s="77">
        <f t="shared" si="29"/>
        <v>959.4900750107297</v>
      </c>
      <c r="AW73" s="77">
        <f t="shared" si="29"/>
        <v>959.61242741291858</v>
      </c>
      <c r="AX73" s="77">
        <f t="shared" si="29"/>
        <v>959.46224928706431</v>
      </c>
      <c r="AY73" s="77">
        <f t="shared" si="30"/>
        <v>959.76867609913631</v>
      </c>
      <c r="AZ73" s="77">
        <f t="shared" si="30"/>
        <v>959.7693015847085</v>
      </c>
    </row>
    <row r="74" spans="1:52">
      <c r="A74" s="69" t="s">
        <v>34</v>
      </c>
      <c r="B74" s="87">
        <v>23.898999844940658</v>
      </c>
      <c r="C74" s="87">
        <v>78.087999493356477</v>
      </c>
      <c r="D74" s="87">
        <v>13.608999911703313</v>
      </c>
      <c r="E74" s="87">
        <v>46.791999696408361</v>
      </c>
      <c r="F74" s="87">
        <v>37.239999758382787</v>
      </c>
      <c r="G74" s="87">
        <v>40.407999737828455</v>
      </c>
      <c r="H74" s="87">
        <v>29.957999805629207</v>
      </c>
      <c r="I74" s="87">
        <v>63.228999589763298</v>
      </c>
      <c r="J74" s="87">
        <v>105.50699931545897</v>
      </c>
      <c r="K74" s="87">
        <v>43.452999718072157</v>
      </c>
      <c r="L74" s="87">
        <v>33.530999782447182</v>
      </c>
      <c r="M74" s="87">
        <v>74.035999519646282</v>
      </c>
      <c r="N74" s="87">
        <v>110.51899928294057</v>
      </c>
      <c r="O74" s="87">
        <v>171.72599888582283</v>
      </c>
      <c r="P74" s="87">
        <v>404.00799737875161</v>
      </c>
      <c r="Q74" s="87">
        <v>484.00999685968992</v>
      </c>
      <c r="R74" s="87">
        <v>755.82199509614372</v>
      </c>
      <c r="S74" s="87">
        <v>595.18299613838713</v>
      </c>
      <c r="T74" s="87">
        <v>698.99399546484995</v>
      </c>
      <c r="U74" s="87">
        <v>750.22999513242519</v>
      </c>
      <c r="V74" s="87">
        <v>998.82799351949404</v>
      </c>
      <c r="W74" s="87">
        <v>1236.5269919772766</v>
      </c>
      <c r="X74" s="87">
        <v>1007.5849934626777</v>
      </c>
      <c r="Y74" s="87">
        <v>891.33399999999995</v>
      </c>
      <c r="Z74" s="217">
        <v>1023.23</v>
      </c>
      <c r="AA74" s="217">
        <v>956.58</v>
      </c>
      <c r="AB74" s="217">
        <v>837.95799999999997</v>
      </c>
      <c r="AC74" s="217">
        <v>938.28</v>
      </c>
      <c r="AD74" s="217">
        <v>1060.0350000000001</v>
      </c>
      <c r="AE74" s="217">
        <v>943.83199999999999</v>
      </c>
      <c r="AF74" s="217">
        <v>945.61</v>
      </c>
      <c r="AG74" s="77">
        <f t="shared" si="27"/>
        <v>1008.6032891790097</v>
      </c>
      <c r="AH74" s="77">
        <f t="shared" si="27"/>
        <v>953.51940950277537</v>
      </c>
      <c r="AI74" s="77">
        <f t="shared" si="28"/>
        <v>966.1183860665227</v>
      </c>
      <c r="AJ74" s="77">
        <f t="shared" si="29"/>
        <v>974.37453467522926</v>
      </c>
      <c r="AK74" s="77">
        <f t="shared" si="29"/>
        <v>961.09981457889512</v>
      </c>
      <c r="AL74" s="77">
        <f t="shared" si="29"/>
        <v>951.04722215355639</v>
      </c>
      <c r="AM74" s="77">
        <f t="shared" si="29"/>
        <v>964.17266312823563</v>
      </c>
      <c r="AN74" s="77">
        <f t="shared" si="29"/>
        <v>961.23187339539584</v>
      </c>
      <c r="AO74" s="77">
        <f t="shared" si="29"/>
        <v>963.36252412048782</v>
      </c>
      <c r="AP74" s="77">
        <f t="shared" si="29"/>
        <v>962.38522158626267</v>
      </c>
      <c r="AQ74" s="77">
        <f t="shared" si="29"/>
        <v>960.1828194753142</v>
      </c>
      <c r="AR74" s="77">
        <f t="shared" si="29"/>
        <v>960.43990087678753</v>
      </c>
      <c r="AS74" s="77">
        <f t="shared" si="29"/>
        <v>962.26702034113919</v>
      </c>
      <c r="AT74" s="77">
        <f t="shared" si="29"/>
        <v>961.52046789084966</v>
      </c>
      <c r="AU74" s="77">
        <f t="shared" si="29"/>
        <v>961.72749727999815</v>
      </c>
      <c r="AV74" s="77">
        <f t="shared" si="29"/>
        <v>961.35908603407063</v>
      </c>
      <c r="AW74" s="77">
        <f t="shared" si="29"/>
        <v>961.22754117281772</v>
      </c>
      <c r="AX74" s="77">
        <f t="shared" si="29"/>
        <v>961.46279448456892</v>
      </c>
      <c r="AY74" s="77">
        <f t="shared" si="30"/>
        <v>961.62032254377505</v>
      </c>
      <c r="AZ74" s="77">
        <f t="shared" si="30"/>
        <v>961.45947737246104</v>
      </c>
    </row>
    <row r="75" spans="1:52">
      <c r="A75" s="69" t="s">
        <v>35</v>
      </c>
      <c r="B75" s="87">
        <v>37.305999757954574</v>
      </c>
      <c r="C75" s="87">
        <v>68.778999553754289</v>
      </c>
      <c r="D75" s="87">
        <v>26.21199982993366</v>
      </c>
      <c r="E75" s="87">
        <v>65.639999574120466</v>
      </c>
      <c r="F75" s="87">
        <v>54.919999643672995</v>
      </c>
      <c r="G75" s="87">
        <v>53.805999650900752</v>
      </c>
      <c r="H75" s="87">
        <v>80.781999475877484</v>
      </c>
      <c r="I75" s="87">
        <v>73.181999525187138</v>
      </c>
      <c r="J75" s="87">
        <v>62.095999597114329</v>
      </c>
      <c r="K75" s="87">
        <v>50.459999672609975</v>
      </c>
      <c r="L75" s="87">
        <v>85.196999447232486</v>
      </c>
      <c r="M75" s="87">
        <v>128.54499916598587</v>
      </c>
      <c r="N75" s="87">
        <v>114.92499925435395</v>
      </c>
      <c r="O75" s="87">
        <v>215.12699860423237</v>
      </c>
      <c r="P75" s="87">
        <v>415.32899730529977</v>
      </c>
      <c r="Q75" s="87">
        <v>420.24199727342375</v>
      </c>
      <c r="R75" s="87">
        <v>886.72899424680475</v>
      </c>
      <c r="S75" s="87">
        <v>645.04299581488999</v>
      </c>
      <c r="T75" s="87">
        <v>679.12199559378166</v>
      </c>
      <c r="U75" s="87">
        <v>908.99799410232094</v>
      </c>
      <c r="V75" s="87">
        <v>1168.8749924162105</v>
      </c>
      <c r="W75" s="87">
        <v>1357.6169911916315</v>
      </c>
      <c r="X75" s="87">
        <v>1072.349993042475</v>
      </c>
      <c r="Y75" s="87">
        <v>997.029</v>
      </c>
      <c r="Z75" s="217">
        <v>1102.7829999999999</v>
      </c>
      <c r="AA75" s="217">
        <v>858.971</v>
      </c>
      <c r="AB75" s="217">
        <v>1078.2049999999999</v>
      </c>
      <c r="AC75" s="217">
        <v>1062.136</v>
      </c>
      <c r="AD75" s="217">
        <v>1011.937</v>
      </c>
      <c r="AE75" s="217">
        <v>984.7</v>
      </c>
      <c r="AF75" s="217">
        <v>1094.058</v>
      </c>
      <c r="AG75" s="77">
        <f t="shared" si="27"/>
        <v>1063.8095195206317</v>
      </c>
      <c r="AH75" s="77">
        <f t="shared" si="27"/>
        <v>1055.4792994938882</v>
      </c>
      <c r="AI75" s="77">
        <f t="shared" si="28"/>
        <v>1029.314025470449</v>
      </c>
      <c r="AJ75" s="77">
        <f t="shared" si="29"/>
        <v>1033.5686682040093</v>
      </c>
      <c r="AK75" s="77">
        <f t="shared" si="29"/>
        <v>1042.8281499620375</v>
      </c>
      <c r="AL75" s="77">
        <f t="shared" si="29"/>
        <v>1035.0061683152665</v>
      </c>
      <c r="AM75" s="77">
        <f t="shared" si="29"/>
        <v>1035.7928846665011</v>
      </c>
      <c r="AN75" s="77">
        <f t="shared" si="29"/>
        <v>1039.2392622891302</v>
      </c>
      <c r="AO75" s="77">
        <f t="shared" si="29"/>
        <v>1035.3019793236526</v>
      </c>
      <c r="AP75" s="77">
        <f t="shared" si="29"/>
        <v>1037.2870266873888</v>
      </c>
      <c r="AQ75" s="77">
        <f t="shared" si="29"/>
        <v>1037.6336889113177</v>
      </c>
      <c r="AR75" s="77">
        <f t="shared" si="29"/>
        <v>1036.525464256388</v>
      </c>
      <c r="AS75" s="77">
        <f t="shared" si="29"/>
        <v>1037.0509683755979</v>
      </c>
      <c r="AT75" s="77">
        <f t="shared" si="29"/>
        <v>1037.1974842935754</v>
      </c>
      <c r="AU75" s="77">
        <f t="shared" si="29"/>
        <v>1036.759825510869</v>
      </c>
      <c r="AV75" s="77">
        <f t="shared" si="29"/>
        <v>1037.1389265048535</v>
      </c>
      <c r="AW75" s="77">
        <f t="shared" si="29"/>
        <v>1037.0334862695495</v>
      </c>
      <c r="AX75" s="77">
        <f t="shared" si="29"/>
        <v>1036.9345337882567</v>
      </c>
      <c r="AY75" s="77">
        <f t="shared" si="30"/>
        <v>1037.036138190889</v>
      </c>
      <c r="AZ75" s="77">
        <f t="shared" si="30"/>
        <v>1037.0128512734209</v>
      </c>
    </row>
    <row r="76" spans="1:52">
      <c r="A76" s="69" t="s">
        <v>36</v>
      </c>
      <c r="B76" s="87">
        <v>32.212999790998516</v>
      </c>
      <c r="C76" s="87">
        <v>96.182999375954125</v>
      </c>
      <c r="D76" s="87">
        <v>44.260999712829765</v>
      </c>
      <c r="E76" s="87">
        <v>49.451999679149985</v>
      </c>
      <c r="F76" s="87">
        <v>55.340999640941504</v>
      </c>
      <c r="G76" s="87">
        <v>43.054999720654422</v>
      </c>
      <c r="H76" s="87">
        <v>87.346999433283059</v>
      </c>
      <c r="I76" s="87">
        <v>63.569999587550861</v>
      </c>
      <c r="J76" s="87">
        <v>52.003999662592328</v>
      </c>
      <c r="K76" s="87">
        <v>52.837999657181243</v>
      </c>
      <c r="L76" s="87">
        <v>61.252999602583799</v>
      </c>
      <c r="M76" s="87">
        <v>102.74799933335967</v>
      </c>
      <c r="N76" s="87">
        <v>125.1629991879287</v>
      </c>
      <c r="O76" s="87">
        <v>216.15699859754963</v>
      </c>
      <c r="P76" s="87">
        <v>469.87899695137338</v>
      </c>
      <c r="Q76" s="87">
        <v>712.55699537685189</v>
      </c>
      <c r="R76" s="87">
        <v>1000.6379935077504</v>
      </c>
      <c r="S76" s="87">
        <v>832.7129945972664</v>
      </c>
      <c r="T76" s="87">
        <v>542.06399648302909</v>
      </c>
      <c r="U76" s="87">
        <v>1047.0009932069424</v>
      </c>
      <c r="V76" s="87">
        <v>1077.0589930119227</v>
      </c>
      <c r="W76" s="87">
        <v>1366.1539911362427</v>
      </c>
      <c r="X76" s="87">
        <v>1137.3599926206832</v>
      </c>
      <c r="Y76" s="87">
        <v>761.32100000000003</v>
      </c>
      <c r="Z76" s="217">
        <v>1151.32</v>
      </c>
      <c r="AA76" s="217">
        <v>1150.2909999999999</v>
      </c>
      <c r="AB76" s="217">
        <v>1027.905</v>
      </c>
      <c r="AC76" s="217">
        <v>1221.6659999999999</v>
      </c>
      <c r="AD76" s="217">
        <v>952.46199999999999</v>
      </c>
      <c r="AE76" s="217">
        <v>944.94</v>
      </c>
      <c r="AF76" s="217">
        <v>1119.8219999999999</v>
      </c>
      <c r="AG76" s="77">
        <f t="shared" ref="AG76" si="31">AG77-SUM(AG65:AG75)</f>
        <v>1066.9515132142933</v>
      </c>
      <c r="AH76" s="77">
        <f t="shared" ref="AH76:AM76" si="32">AH77-SUM(AH65:AH75)</f>
        <v>1062.6944829242057</v>
      </c>
      <c r="AI76" s="77">
        <f t="shared" si="32"/>
        <v>1046.9145930294399</v>
      </c>
      <c r="AJ76" s="77">
        <f t="shared" si="32"/>
        <v>1021.0480017065147</v>
      </c>
      <c r="AK76" s="77">
        <f t="shared" si="32"/>
        <v>1045.6134369952379</v>
      </c>
      <c r="AL76" s="77">
        <f t="shared" si="32"/>
        <v>1043.0883356964714</v>
      </c>
      <c r="AM76" s="77">
        <f t="shared" si="32"/>
        <v>1039.4052478155754</v>
      </c>
      <c r="AN76" s="77">
        <f t="shared" ref="AN76:AZ76" si="33">AN77-SUM(AN65:AN75)</f>
        <v>1043.8717700703746</v>
      </c>
      <c r="AO76" s="77">
        <f t="shared" si="33"/>
        <v>1039.2139230486482</v>
      </c>
      <c r="AP76" s="77">
        <f t="shared" si="33"/>
        <v>1038.6053584568344</v>
      </c>
      <c r="AQ76" s="77">
        <f t="shared" si="33"/>
        <v>1042.2385427252611</v>
      </c>
      <c r="AR76" s="77">
        <f t="shared" si="33"/>
        <v>1040.8369270175808</v>
      </c>
      <c r="AS76" s="77">
        <f t="shared" si="33"/>
        <v>1040.6669684233384</v>
      </c>
      <c r="AT76" s="77">
        <f t="shared" si="33"/>
        <v>1040.9533042637377</v>
      </c>
      <c r="AU76" s="77">
        <f t="shared" si="33"/>
        <v>1040.3123439343326</v>
      </c>
      <c r="AV76" s="77">
        <f t="shared" si="33"/>
        <v>1040.6602201773512</v>
      </c>
      <c r="AW76" s="77">
        <f t="shared" si="33"/>
        <v>1041.0016172728538</v>
      </c>
      <c r="AX76" s="77">
        <f t="shared" si="33"/>
        <v>1040.6859527632696</v>
      </c>
      <c r="AY76" s="77">
        <f t="shared" si="33"/>
        <v>1040.7188908143216</v>
      </c>
      <c r="AZ76" s="77">
        <f t="shared" si="33"/>
        <v>1040.7226876823079</v>
      </c>
    </row>
    <row r="77" spans="1:52" ht="12" thickBot="1">
      <c r="A77" s="69" t="s">
        <v>138</v>
      </c>
      <c r="B77" s="76">
        <f>SUM(B65:B76)</f>
        <v>258.21199832469216</v>
      </c>
      <c r="C77" s="76">
        <f t="shared" ref="C77:AF77" si="34">SUM(C65:C76)</f>
        <v>759.55299507193649</v>
      </c>
      <c r="D77" s="76">
        <f t="shared" si="34"/>
        <v>646.23399580716284</v>
      </c>
      <c r="E77" s="76">
        <f t="shared" si="34"/>
        <v>671.67899564207266</v>
      </c>
      <c r="F77" s="76">
        <f t="shared" si="34"/>
        <v>604.82699607581583</v>
      </c>
      <c r="G77" s="76">
        <f t="shared" si="34"/>
        <v>720.11799532779526</v>
      </c>
      <c r="H77" s="76">
        <f t="shared" si="34"/>
        <v>773.05599498432753</v>
      </c>
      <c r="I77" s="76">
        <f t="shared" si="34"/>
        <v>782.50099492304753</v>
      </c>
      <c r="J77" s="76">
        <f t="shared" si="34"/>
        <v>855.89099444688509</v>
      </c>
      <c r="K77" s="76">
        <f t="shared" si="34"/>
        <v>752.23599511941018</v>
      </c>
      <c r="L77" s="76">
        <f t="shared" si="34"/>
        <v>737.8649952126508</v>
      </c>
      <c r="M77" s="76">
        <f t="shared" si="34"/>
        <v>967.38799372348024</v>
      </c>
      <c r="N77" s="76">
        <f t="shared" si="34"/>
        <v>1229.3349920239393</v>
      </c>
      <c r="O77" s="76">
        <f t="shared" si="34"/>
        <v>1779.8779884519558</v>
      </c>
      <c r="P77" s="76">
        <f t="shared" si="34"/>
        <v>3920.6629745623068</v>
      </c>
      <c r="Q77" s="76">
        <f t="shared" si="34"/>
        <v>4968.5939677632159</v>
      </c>
      <c r="R77" s="76">
        <f t="shared" si="34"/>
        <v>8278.8669462858015</v>
      </c>
      <c r="S77" s="76">
        <f t="shared" si="34"/>
        <v>8287.148946232066</v>
      </c>
      <c r="T77" s="76">
        <f t="shared" si="34"/>
        <v>7584.7099507895655</v>
      </c>
      <c r="U77" s="76">
        <f t="shared" si="34"/>
        <v>8185.4309468920219</v>
      </c>
      <c r="V77" s="76">
        <f t="shared" si="34"/>
        <v>12004.476922113632</v>
      </c>
      <c r="W77" s="76">
        <f t="shared" si="34"/>
        <v>11626.893924563432</v>
      </c>
      <c r="X77" s="76">
        <f t="shared" si="34"/>
        <v>11635.374924508407</v>
      </c>
      <c r="Y77" s="76">
        <f t="shared" si="34"/>
        <v>11060.254975446935</v>
      </c>
      <c r="Z77" s="76">
        <f t="shared" si="34"/>
        <v>11631.32</v>
      </c>
      <c r="AA77" s="76">
        <f t="shared" si="34"/>
        <v>11275.427999999998</v>
      </c>
      <c r="AB77" s="76">
        <f t="shared" si="34"/>
        <v>10490.017</v>
      </c>
      <c r="AC77" s="76">
        <f t="shared" si="34"/>
        <v>11557.159</v>
      </c>
      <c r="AD77" s="76">
        <f t="shared" si="34"/>
        <v>11566.065000000001</v>
      </c>
      <c r="AE77" s="76">
        <f t="shared" si="34"/>
        <v>10292.639000000001</v>
      </c>
      <c r="AF77" s="76">
        <f t="shared" si="34"/>
        <v>11849.978999999999</v>
      </c>
      <c r="AG77" s="77">
        <f t="shared" ref="AG77:AZ77" si="35">AG9</f>
        <v>11750</v>
      </c>
      <c r="AH77" s="77">
        <f t="shared" si="35"/>
        <v>11250</v>
      </c>
      <c r="AI77" s="77">
        <f t="shared" si="35"/>
        <v>11250</v>
      </c>
      <c r="AJ77" s="77">
        <f t="shared" si="35"/>
        <v>11250</v>
      </c>
      <c r="AK77" s="77">
        <f t="shared" si="35"/>
        <v>11250</v>
      </c>
      <c r="AL77" s="77">
        <f t="shared" si="35"/>
        <v>11250</v>
      </c>
      <c r="AM77" s="77">
        <f t="shared" si="35"/>
        <v>11250</v>
      </c>
      <c r="AN77" s="77">
        <f t="shared" si="35"/>
        <v>11250</v>
      </c>
      <c r="AO77" s="77">
        <f t="shared" si="35"/>
        <v>11250</v>
      </c>
      <c r="AP77" s="77">
        <f t="shared" si="35"/>
        <v>11250</v>
      </c>
      <c r="AQ77" s="77">
        <f t="shared" si="35"/>
        <v>11250</v>
      </c>
      <c r="AR77" s="77">
        <f t="shared" si="35"/>
        <v>11250</v>
      </c>
      <c r="AS77" s="77">
        <f t="shared" si="35"/>
        <v>11250</v>
      </c>
      <c r="AT77" s="77">
        <f t="shared" si="35"/>
        <v>11250</v>
      </c>
      <c r="AU77" s="77">
        <f t="shared" si="35"/>
        <v>11250</v>
      </c>
      <c r="AV77" s="77">
        <f t="shared" si="35"/>
        <v>11250</v>
      </c>
      <c r="AW77" s="77">
        <f t="shared" si="35"/>
        <v>11250</v>
      </c>
      <c r="AX77" s="77">
        <f t="shared" si="35"/>
        <v>11250</v>
      </c>
      <c r="AY77" s="77">
        <f t="shared" si="35"/>
        <v>11250</v>
      </c>
      <c r="AZ77" s="77">
        <f t="shared" si="35"/>
        <v>11250</v>
      </c>
    </row>
    <row r="78" spans="1:52">
      <c r="A78" s="199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200"/>
      <c r="AW78" s="200"/>
      <c r="AX78" s="200"/>
      <c r="AY78" s="200"/>
      <c r="AZ78" s="200"/>
    </row>
    <row r="79" spans="1:52" ht="12" thickBot="1">
      <c r="A79" s="69" t="s">
        <v>353</v>
      </c>
      <c r="D79" s="92"/>
      <c r="E79" s="92"/>
      <c r="F79" s="92"/>
      <c r="G79" s="92"/>
      <c r="H79" s="92"/>
      <c r="I79" s="92"/>
      <c r="J79" s="92"/>
    </row>
    <row r="80" spans="1:52" ht="12" thickBot="1">
      <c r="A80" s="202"/>
      <c r="B80" s="203" t="str">
        <f>B$2</f>
        <v xml:space="preserve">93/94 </v>
      </c>
      <c r="C80" s="203" t="str">
        <f t="shared" ref="C80:AZ80" si="36">C$2</f>
        <v xml:space="preserve">94/95 </v>
      </c>
      <c r="D80" s="203" t="str">
        <f t="shared" si="36"/>
        <v xml:space="preserve">95/96 </v>
      </c>
      <c r="E80" s="203" t="str">
        <f t="shared" si="36"/>
        <v xml:space="preserve">96/97 </v>
      </c>
      <c r="F80" s="203" t="str">
        <f t="shared" si="36"/>
        <v xml:space="preserve">97/98 </v>
      </c>
      <c r="G80" s="203" t="str">
        <f t="shared" si="36"/>
        <v xml:space="preserve">98/99 </v>
      </c>
      <c r="H80" s="203" t="str">
        <f t="shared" si="36"/>
        <v xml:space="preserve">99/00 </v>
      </c>
      <c r="I80" s="203" t="str">
        <f t="shared" si="36"/>
        <v xml:space="preserve">00/01 </v>
      </c>
      <c r="J80" s="203" t="str">
        <f t="shared" si="36"/>
        <v xml:space="preserve">01/02 </v>
      </c>
      <c r="K80" s="203" t="str">
        <f t="shared" si="36"/>
        <v xml:space="preserve">02/03 </v>
      </c>
      <c r="L80" s="203" t="str">
        <f t="shared" si="36"/>
        <v xml:space="preserve">03/04 </v>
      </c>
      <c r="M80" s="203" t="str">
        <f t="shared" si="36"/>
        <v xml:space="preserve">04/05 </v>
      </c>
      <c r="N80" s="203" t="str">
        <f t="shared" si="36"/>
        <v xml:space="preserve">05/06 </v>
      </c>
      <c r="O80" s="203" t="str">
        <f t="shared" si="36"/>
        <v xml:space="preserve">06/07 </v>
      </c>
      <c r="P80" s="203" t="str">
        <f t="shared" si="36"/>
        <v xml:space="preserve">07/08 </v>
      </c>
      <c r="Q80" s="203" t="str">
        <f t="shared" si="36"/>
        <v xml:space="preserve">08/09 </v>
      </c>
      <c r="R80" s="203" t="str">
        <f t="shared" si="36"/>
        <v xml:space="preserve">09/10 </v>
      </c>
      <c r="S80" s="203" t="str">
        <f t="shared" si="36"/>
        <v xml:space="preserve">10/11 </v>
      </c>
      <c r="T80" s="203" t="str">
        <f t="shared" si="36"/>
        <v xml:space="preserve">11/12 </v>
      </c>
      <c r="U80" s="203" t="str">
        <f t="shared" si="36"/>
        <v xml:space="preserve">12/13 </v>
      </c>
      <c r="V80" s="203" t="str">
        <f t="shared" si="36"/>
        <v xml:space="preserve">13/14 </v>
      </c>
      <c r="W80" s="203" t="str">
        <f t="shared" si="36"/>
        <v xml:space="preserve">14/15 </v>
      </c>
      <c r="X80" s="203" t="str">
        <f t="shared" si="36"/>
        <v xml:space="preserve">15/16 </v>
      </c>
      <c r="Y80" s="203" t="str">
        <f t="shared" si="36"/>
        <v xml:space="preserve">16/17 </v>
      </c>
      <c r="Z80" s="203" t="str">
        <f t="shared" si="36"/>
        <v xml:space="preserve">17/18 </v>
      </c>
      <c r="AA80" s="203" t="str">
        <f t="shared" si="36"/>
        <v xml:space="preserve">18/19 </v>
      </c>
      <c r="AB80" s="203" t="str">
        <f t="shared" si="36"/>
        <v xml:space="preserve">19/20 </v>
      </c>
      <c r="AC80" s="203" t="str">
        <f t="shared" si="36"/>
        <v xml:space="preserve">20/21 </v>
      </c>
      <c r="AD80" s="203" t="str">
        <f t="shared" si="36"/>
        <v>21/22</v>
      </c>
      <c r="AE80" s="203" t="str">
        <f t="shared" si="36"/>
        <v>22/23</v>
      </c>
      <c r="AF80" s="203" t="str">
        <f t="shared" si="36"/>
        <v>23/24</v>
      </c>
      <c r="AG80" s="203" t="str">
        <f t="shared" si="36"/>
        <v>24/25</v>
      </c>
      <c r="AH80" s="203" t="str">
        <f t="shared" si="36"/>
        <v>25/26</v>
      </c>
      <c r="AI80" s="203" t="str">
        <f t="shared" si="36"/>
        <v>26/27</v>
      </c>
      <c r="AJ80" s="203" t="str">
        <f t="shared" si="36"/>
        <v>27/28</v>
      </c>
      <c r="AK80" s="203" t="str">
        <f t="shared" si="36"/>
        <v>28/29</v>
      </c>
      <c r="AL80" s="203" t="str">
        <f t="shared" si="36"/>
        <v>29/30</v>
      </c>
      <c r="AM80" s="203" t="str">
        <f t="shared" si="36"/>
        <v>30/31</v>
      </c>
      <c r="AN80" s="203" t="str">
        <f t="shared" si="36"/>
        <v>31/32</v>
      </c>
      <c r="AO80" s="203" t="str">
        <f t="shared" si="36"/>
        <v>32/33</v>
      </c>
      <c r="AP80" s="203" t="str">
        <f t="shared" si="36"/>
        <v>33/34</v>
      </c>
      <c r="AQ80" s="203" t="str">
        <f t="shared" si="36"/>
        <v>34/35</v>
      </c>
      <c r="AR80" s="203" t="str">
        <f t="shared" si="36"/>
        <v>35/36</v>
      </c>
      <c r="AS80" s="203" t="str">
        <f t="shared" si="36"/>
        <v>36/37</v>
      </c>
      <c r="AT80" s="203" t="str">
        <f t="shared" si="36"/>
        <v>37/38</v>
      </c>
      <c r="AU80" s="203" t="str">
        <f t="shared" si="36"/>
        <v>38/39</v>
      </c>
      <c r="AV80" s="203" t="str">
        <f t="shared" si="36"/>
        <v>39/40</v>
      </c>
      <c r="AW80" s="203" t="str">
        <f t="shared" si="36"/>
        <v>40/41</v>
      </c>
      <c r="AX80" s="203" t="str">
        <f t="shared" si="36"/>
        <v>41/42</v>
      </c>
      <c r="AY80" s="203" t="str">
        <f t="shared" si="36"/>
        <v>42/43</v>
      </c>
      <c r="AZ80" s="203" t="str">
        <f t="shared" si="36"/>
        <v>43/44</v>
      </c>
    </row>
    <row r="81" spans="1:52">
      <c r="A81" s="69" t="s">
        <v>38</v>
      </c>
      <c r="B81" s="87">
        <f>B4+B17+B49-B65-B97</f>
        <v>75.051384933131786</v>
      </c>
      <c r="C81" s="87">
        <f>B108+C17+C49-C65-C97</f>
        <v>107.44944081218972</v>
      </c>
      <c r="D81" s="87">
        <f t="shared" ref="D81:AZ81" si="37">C108+D17+D49-D65-D97</f>
        <v>30.929144353236836</v>
      </c>
      <c r="E81" s="87">
        <f t="shared" si="37"/>
        <v>78.477580400510647</v>
      </c>
      <c r="F81" s="87">
        <f t="shared" si="37"/>
        <v>105.3136111560755</v>
      </c>
      <c r="G81" s="87">
        <f t="shared" si="37"/>
        <v>120.31851372645684</v>
      </c>
      <c r="H81" s="87">
        <f t="shared" si="37"/>
        <v>117.82367951102137</v>
      </c>
      <c r="I81" s="87">
        <f t="shared" si="37"/>
        <v>129.16123794271917</v>
      </c>
      <c r="J81" s="87">
        <f t="shared" si="37"/>
        <v>144.49374948396598</v>
      </c>
      <c r="K81" s="87">
        <f t="shared" si="37"/>
        <v>219.48251912508931</v>
      </c>
      <c r="L81" s="87">
        <f t="shared" si="37"/>
        <v>402.98003528762587</v>
      </c>
      <c r="M81" s="87">
        <f t="shared" si="37"/>
        <v>524.25699461021304</v>
      </c>
      <c r="N81" s="87">
        <f t="shared" si="37"/>
        <v>712.76319391247932</v>
      </c>
      <c r="O81" s="87">
        <f t="shared" si="37"/>
        <v>860.28119025796116</v>
      </c>
      <c r="P81" s="87">
        <f t="shared" si="37"/>
        <v>1179.6472462144918</v>
      </c>
      <c r="Q81" s="87">
        <f t="shared" si="37"/>
        <v>1603.3444550868276</v>
      </c>
      <c r="R81" s="87">
        <f t="shared" si="37"/>
        <v>1781.3927579152396</v>
      </c>
      <c r="S81" s="87">
        <f t="shared" si="37"/>
        <v>2158.2428564998272</v>
      </c>
      <c r="T81" s="87">
        <f t="shared" si="37"/>
        <v>2327.7425413040041</v>
      </c>
      <c r="U81" s="87">
        <f t="shared" si="37"/>
        <v>2139.2985905083492</v>
      </c>
      <c r="V81" s="87">
        <f t="shared" si="37"/>
        <v>2026.0936145597257</v>
      </c>
      <c r="W81" s="87">
        <f t="shared" si="37"/>
        <v>2153.4556884029139</v>
      </c>
      <c r="X81" s="87">
        <f t="shared" si="37"/>
        <v>2824.0400073188539</v>
      </c>
      <c r="Y81" s="87">
        <f t="shared" si="37"/>
        <v>2964.9010062767406</v>
      </c>
      <c r="Z81" s="87">
        <f t="shared" si="37"/>
        <v>3142.174</v>
      </c>
      <c r="AA81" s="217">
        <f t="shared" si="37"/>
        <v>3024.3300000000004</v>
      </c>
      <c r="AB81" s="217">
        <f t="shared" si="37"/>
        <v>2711.1060000000002</v>
      </c>
      <c r="AC81" s="217">
        <f t="shared" si="37"/>
        <v>2343.8159999999998</v>
      </c>
      <c r="AD81" s="217">
        <f t="shared" si="37"/>
        <v>2778.0050000000001</v>
      </c>
      <c r="AE81" s="217">
        <f t="shared" si="37"/>
        <v>2750.8759999999997</v>
      </c>
      <c r="AF81" s="217">
        <f t="shared" si="37"/>
        <v>2747.62</v>
      </c>
      <c r="AG81" s="217">
        <f t="shared" si="37"/>
        <v>2547.1758096725548</v>
      </c>
      <c r="AH81" s="77">
        <f t="shared" si="37"/>
        <v>2391.3229612463856</v>
      </c>
      <c r="AI81" s="77">
        <f t="shared" si="37"/>
        <v>2389.6040238592891</v>
      </c>
      <c r="AJ81" s="77">
        <f t="shared" si="37"/>
        <v>2406.7472788376235</v>
      </c>
      <c r="AK81" s="77">
        <f t="shared" si="37"/>
        <v>2456.527133957461</v>
      </c>
      <c r="AL81" s="77">
        <f t="shared" si="37"/>
        <v>2486.4492644753714</v>
      </c>
      <c r="AM81" s="77">
        <f t="shared" si="37"/>
        <v>2501.6318351199352</v>
      </c>
      <c r="AN81" s="77">
        <f t="shared" si="37"/>
        <v>2532.7325632002589</v>
      </c>
      <c r="AO81" s="77">
        <f t="shared" si="37"/>
        <v>2565.8618253220793</v>
      </c>
      <c r="AP81" s="77">
        <f t="shared" si="37"/>
        <v>2603.4129087497449</v>
      </c>
      <c r="AQ81" s="77">
        <f t="shared" si="37"/>
        <v>2629.7636393773655</v>
      </c>
      <c r="AR81" s="77">
        <f t="shared" si="37"/>
        <v>2659.0138576755562</v>
      </c>
      <c r="AS81" s="77">
        <f t="shared" si="37"/>
        <v>2690.9269136846569</v>
      </c>
      <c r="AT81" s="77">
        <f t="shared" si="37"/>
        <v>2724.0129853995072</v>
      </c>
      <c r="AU81" s="77">
        <f t="shared" si="37"/>
        <v>2757.2892154816877</v>
      </c>
      <c r="AV81" s="77">
        <f t="shared" si="37"/>
        <v>2789.0900739179419</v>
      </c>
      <c r="AW81" s="77">
        <f t="shared" si="37"/>
        <v>2821.2698736385732</v>
      </c>
      <c r="AX81" s="77">
        <f t="shared" si="37"/>
        <v>2854.7966703124243</v>
      </c>
      <c r="AY81" s="77">
        <f t="shared" si="37"/>
        <v>2960.8368337537577</v>
      </c>
      <c r="AZ81" s="77">
        <f t="shared" si="37"/>
        <v>1018.8542875690879</v>
      </c>
    </row>
    <row r="82" spans="1:52">
      <c r="A82" s="69" t="s">
        <v>39</v>
      </c>
      <c r="B82" s="87">
        <f t="shared" ref="B82:AZ86" si="38">B97+B18+B50-B66-B98</f>
        <v>66.130071737544782</v>
      </c>
      <c r="C82" s="87">
        <f t="shared" si="38"/>
        <v>55.381696531974953</v>
      </c>
      <c r="D82" s="87">
        <f t="shared" si="38"/>
        <v>25.013968924828191</v>
      </c>
      <c r="E82" s="87">
        <f t="shared" si="38"/>
        <v>64.085437963673314</v>
      </c>
      <c r="F82" s="87">
        <f t="shared" si="38"/>
        <v>127.92779710018185</v>
      </c>
      <c r="G82" s="87">
        <f t="shared" si="38"/>
        <v>34.724109234696655</v>
      </c>
      <c r="H82" s="87">
        <f t="shared" si="38"/>
        <v>138.33484691073284</v>
      </c>
      <c r="I82" s="87">
        <f t="shared" si="38"/>
        <v>87.367872825549355</v>
      </c>
      <c r="J82" s="87">
        <f t="shared" si="38"/>
        <v>206.90442836849061</v>
      </c>
      <c r="K82" s="87">
        <f t="shared" si="38"/>
        <v>228.07884422892562</v>
      </c>
      <c r="L82" s="87">
        <f t="shared" si="38"/>
        <v>366.9687693113716</v>
      </c>
      <c r="M82" s="87">
        <f t="shared" si="38"/>
        <v>527.16090781123512</v>
      </c>
      <c r="N82" s="87">
        <f t="shared" si="38"/>
        <v>658.435184695918</v>
      </c>
      <c r="O82" s="87">
        <f t="shared" si="38"/>
        <v>818.03266614731854</v>
      </c>
      <c r="P82" s="87">
        <f t="shared" si="38"/>
        <v>1183.1816860249971</v>
      </c>
      <c r="Q82" s="87">
        <f t="shared" si="38"/>
        <v>1568.6161711624809</v>
      </c>
      <c r="R82" s="87">
        <f t="shared" si="38"/>
        <v>1880.9439075567209</v>
      </c>
      <c r="S82" s="87">
        <f t="shared" si="38"/>
        <v>2353.1496655142591</v>
      </c>
      <c r="T82" s="87">
        <f t="shared" si="38"/>
        <v>2563.5540176298032</v>
      </c>
      <c r="U82" s="87">
        <f t="shared" si="38"/>
        <v>2141.2264831787033</v>
      </c>
      <c r="V82" s="87">
        <f t="shared" si="38"/>
        <v>2145.2970416046392</v>
      </c>
      <c r="W82" s="87">
        <f t="shared" si="38"/>
        <v>2381.2982889158438</v>
      </c>
      <c r="X82" s="87">
        <f t="shared" si="38"/>
        <v>3094.1180065173003</v>
      </c>
      <c r="Y82" s="87">
        <f t="shared" si="38"/>
        <v>3099.2310061033008</v>
      </c>
      <c r="Z82" s="87">
        <f t="shared" si="38"/>
        <v>3213.884</v>
      </c>
      <c r="AA82" s="217">
        <f t="shared" si="38"/>
        <v>3181.72</v>
      </c>
      <c r="AB82" s="217">
        <f t="shared" si="38"/>
        <v>3171.7150000000001</v>
      </c>
      <c r="AC82" s="217">
        <f t="shared" si="38"/>
        <v>2661.6089999999999</v>
      </c>
      <c r="AD82" s="217">
        <f t="shared" si="38"/>
        <v>2976.3240000000001</v>
      </c>
      <c r="AE82" s="217">
        <f t="shared" si="38"/>
        <v>3255.306</v>
      </c>
      <c r="AF82" s="217">
        <f t="shared" si="38"/>
        <v>3176.8899999999994</v>
      </c>
      <c r="AG82" s="217">
        <f t="shared" si="38"/>
        <v>2844.8809365617703</v>
      </c>
      <c r="AH82" s="77">
        <f t="shared" si="38"/>
        <v>3066.3455141022023</v>
      </c>
      <c r="AI82" s="77">
        <f t="shared" si="38"/>
        <v>3034.6106660583891</v>
      </c>
      <c r="AJ82" s="77">
        <f t="shared" si="38"/>
        <v>3077.5104713657051</v>
      </c>
      <c r="AK82" s="77">
        <f t="shared" si="38"/>
        <v>3147.4441938776249</v>
      </c>
      <c r="AL82" s="77">
        <f t="shared" si="38"/>
        <v>3137.8038330256568</v>
      </c>
      <c r="AM82" s="77">
        <f t="shared" si="38"/>
        <v>3153.583480909977</v>
      </c>
      <c r="AN82" s="77">
        <f t="shared" si="38"/>
        <v>3224.6888891383528</v>
      </c>
      <c r="AO82" s="77">
        <f t="shared" si="38"/>
        <v>3248.8845762393707</v>
      </c>
      <c r="AP82" s="77">
        <f t="shared" si="38"/>
        <v>3289.1329263780631</v>
      </c>
      <c r="AQ82" s="77">
        <f t="shared" si="38"/>
        <v>3319.8261960276081</v>
      </c>
      <c r="AR82" s="77">
        <f t="shared" si="38"/>
        <v>3353.3942019216252</v>
      </c>
      <c r="AS82" s="77">
        <f t="shared" si="38"/>
        <v>3392.2038484357431</v>
      </c>
      <c r="AT82" s="77">
        <f t="shared" si="38"/>
        <v>3432.0193195094998</v>
      </c>
      <c r="AU82" s="77">
        <f t="shared" si="38"/>
        <v>3466.838644547553</v>
      </c>
      <c r="AV82" s="77">
        <f t="shared" si="38"/>
        <v>3504.6779437335927</v>
      </c>
      <c r="AW82" s="77">
        <f t="shared" si="38"/>
        <v>3542.3640547045111</v>
      </c>
      <c r="AX82" s="77">
        <f t="shared" si="38"/>
        <v>3580.7805354032412</v>
      </c>
      <c r="AY82" s="77">
        <f t="shared" si="38"/>
        <v>3860.3336818401285</v>
      </c>
      <c r="AZ82" s="77">
        <f t="shared" si="38"/>
        <v>1506.5033268337329</v>
      </c>
    </row>
    <row r="83" spans="1:52">
      <c r="A83" s="69" t="s">
        <v>40</v>
      </c>
      <c r="B83" s="87">
        <f t="shared" si="38"/>
        <v>67.543630462827309</v>
      </c>
      <c r="C83" s="87">
        <f t="shared" si="38"/>
        <v>105.17864011282099</v>
      </c>
      <c r="D83" s="87">
        <f t="shared" si="38"/>
        <v>33.021701667591572</v>
      </c>
      <c r="E83" s="87">
        <f t="shared" si="38"/>
        <v>64.800229254139367</v>
      </c>
      <c r="F83" s="87">
        <f t="shared" si="38"/>
        <v>86.357515174181515</v>
      </c>
      <c r="G83" s="87">
        <f t="shared" si="38"/>
        <v>67.312030707508114</v>
      </c>
      <c r="H83" s="87">
        <f t="shared" si="38"/>
        <v>118.2776247968096</v>
      </c>
      <c r="I83" s="87">
        <f t="shared" si="38"/>
        <v>147.35304281641243</v>
      </c>
      <c r="J83" s="87">
        <f t="shared" si="38"/>
        <v>188.94685375183832</v>
      </c>
      <c r="K83" s="87">
        <f t="shared" si="38"/>
        <v>370.65447645773736</v>
      </c>
      <c r="L83" s="87">
        <f t="shared" si="38"/>
        <v>452.79869929373643</v>
      </c>
      <c r="M83" s="87">
        <f t="shared" si="38"/>
        <v>603.1761879166977</v>
      </c>
      <c r="N83" s="87">
        <f t="shared" si="38"/>
        <v>692.24150756932261</v>
      </c>
      <c r="O83" s="87">
        <f t="shared" si="38"/>
        <v>887.36067842148861</v>
      </c>
      <c r="P83" s="87">
        <f t="shared" si="38"/>
        <v>1235.9238013224158</v>
      </c>
      <c r="Q83" s="87">
        <f t="shared" si="38"/>
        <v>1820.6350559254704</v>
      </c>
      <c r="R83" s="87">
        <f t="shared" si="38"/>
        <v>2119.8346767531571</v>
      </c>
      <c r="S83" s="87">
        <f t="shared" si="38"/>
        <v>2420.0596936388592</v>
      </c>
      <c r="T83" s="87">
        <f t="shared" si="38"/>
        <v>2674.8652985525541</v>
      </c>
      <c r="U83" s="87">
        <f t="shared" si="38"/>
        <v>2236.0749277681743</v>
      </c>
      <c r="V83" s="87">
        <f t="shared" si="38"/>
        <v>2004.1841636979657</v>
      </c>
      <c r="W83" s="87">
        <f t="shared" si="38"/>
        <v>2578.6727185374566</v>
      </c>
      <c r="X83" s="87">
        <f t="shared" si="38"/>
        <v>3104.7730058114266</v>
      </c>
      <c r="Y83" s="87">
        <f t="shared" si="38"/>
        <v>3135.5880061872108</v>
      </c>
      <c r="Z83" s="87">
        <f t="shared" si="38"/>
        <v>3430.0819999999999</v>
      </c>
      <c r="AA83" s="217">
        <f t="shared" si="38"/>
        <v>3105.1929999999998</v>
      </c>
      <c r="AB83" s="217">
        <f t="shared" si="38"/>
        <v>3115.6359999999995</v>
      </c>
      <c r="AC83" s="217">
        <f t="shared" si="38"/>
        <v>2773.0739999999996</v>
      </c>
      <c r="AD83" s="217">
        <f t="shared" si="38"/>
        <v>3224.0639999999999</v>
      </c>
      <c r="AE83" s="217">
        <f t="shared" si="38"/>
        <v>3468.9190000000003</v>
      </c>
      <c r="AF83" s="217">
        <f t="shared" si="38"/>
        <v>3209.9150000000004</v>
      </c>
      <c r="AG83" s="217">
        <f t="shared" si="38"/>
        <v>3179.2219569570207</v>
      </c>
      <c r="AH83" s="77">
        <f t="shared" si="38"/>
        <v>3162.1241300962374</v>
      </c>
      <c r="AI83" s="77">
        <f t="shared" si="38"/>
        <v>3196.087516350829</v>
      </c>
      <c r="AJ83" s="77">
        <f t="shared" si="38"/>
        <v>3165.4187012154302</v>
      </c>
      <c r="AK83" s="77">
        <f t="shared" si="38"/>
        <v>3195.8754596619974</v>
      </c>
      <c r="AL83" s="77">
        <f t="shared" si="38"/>
        <v>3202.2985264394565</v>
      </c>
      <c r="AM83" s="77">
        <f t="shared" si="38"/>
        <v>3256.7362972821843</v>
      </c>
      <c r="AN83" s="77">
        <f t="shared" si="38"/>
        <v>3303.203077710803</v>
      </c>
      <c r="AO83" s="77">
        <f t="shared" si="38"/>
        <v>3329.098874735882</v>
      </c>
      <c r="AP83" s="77">
        <f t="shared" si="38"/>
        <v>3364.1498731255128</v>
      </c>
      <c r="AQ83" s="77">
        <f t="shared" si="38"/>
        <v>3401.1415413926698</v>
      </c>
      <c r="AR83" s="77">
        <f t="shared" si="38"/>
        <v>3438.570222156563</v>
      </c>
      <c r="AS83" s="77">
        <f t="shared" si="38"/>
        <v>3473.2405199065684</v>
      </c>
      <c r="AT83" s="77">
        <f t="shared" si="38"/>
        <v>3511.4657274015935</v>
      </c>
      <c r="AU83" s="77">
        <f t="shared" si="38"/>
        <v>3548.5375659948531</v>
      </c>
      <c r="AV83" s="77">
        <f t="shared" si="38"/>
        <v>3586.823000599989</v>
      </c>
      <c r="AW83" s="77">
        <f t="shared" si="38"/>
        <v>3625.050324825645</v>
      </c>
      <c r="AX83" s="77">
        <f t="shared" si="38"/>
        <v>3662.7607788325731</v>
      </c>
      <c r="AY83" s="77">
        <f t="shared" si="38"/>
        <v>3918.2598555628365</v>
      </c>
      <c r="AZ83" s="77">
        <f t="shared" si="38"/>
        <v>1571.8671864086925</v>
      </c>
    </row>
    <row r="84" spans="1:52">
      <c r="A84" s="69" t="s">
        <v>30</v>
      </c>
      <c r="B84" s="87">
        <f t="shared" si="38"/>
        <v>64.601833323762051</v>
      </c>
      <c r="C84" s="87">
        <f t="shared" si="38"/>
        <v>93.877041102511782</v>
      </c>
      <c r="D84" s="87">
        <f t="shared" si="38"/>
        <v>31.718271028068386</v>
      </c>
      <c r="E84" s="87">
        <f t="shared" si="38"/>
        <v>70.536152491812771</v>
      </c>
      <c r="F84" s="87">
        <f t="shared" si="38"/>
        <v>124.42386830107225</v>
      </c>
      <c r="G84" s="87">
        <f t="shared" si="38"/>
        <v>169.42260578713504</v>
      </c>
      <c r="H84" s="87">
        <f t="shared" si="38"/>
        <v>171.57376722472986</v>
      </c>
      <c r="I84" s="87">
        <f t="shared" si="38"/>
        <v>169.38655245179888</v>
      </c>
      <c r="J84" s="87">
        <f t="shared" si="38"/>
        <v>155.31593835350338</v>
      </c>
      <c r="K84" s="87">
        <f t="shared" si="38"/>
        <v>307.01158637556637</v>
      </c>
      <c r="L84" s="87">
        <f t="shared" si="38"/>
        <v>475.05190385802308</v>
      </c>
      <c r="M84" s="87">
        <f t="shared" si="38"/>
        <v>561.6876977410293</v>
      </c>
      <c r="N84" s="87">
        <f t="shared" si="38"/>
        <v>676.95389018652077</v>
      </c>
      <c r="O84" s="87">
        <f t="shared" si="38"/>
        <v>885.4108733798015</v>
      </c>
      <c r="P84" s="87">
        <f t="shared" si="38"/>
        <v>1324.3161390212438</v>
      </c>
      <c r="Q84" s="87">
        <f t="shared" si="38"/>
        <v>1797.4523159973219</v>
      </c>
      <c r="R84" s="87">
        <f t="shared" si="38"/>
        <v>2231.5757964820559</v>
      </c>
      <c r="S84" s="87">
        <f t="shared" si="38"/>
        <v>2531.6381222712225</v>
      </c>
      <c r="T84" s="87">
        <f t="shared" si="38"/>
        <v>2779.3196573746354</v>
      </c>
      <c r="U84" s="87">
        <f t="shared" si="38"/>
        <v>2265.5594904703562</v>
      </c>
      <c r="V84" s="87">
        <f t="shared" si="38"/>
        <v>2373.1629926417972</v>
      </c>
      <c r="W84" s="87">
        <f t="shared" si="38"/>
        <v>2659.5745993437813</v>
      </c>
      <c r="X84" s="87">
        <f t="shared" si="38"/>
        <v>3245.5110062322001</v>
      </c>
      <c r="Y84" s="87">
        <f t="shared" si="38"/>
        <v>3587.5650052809451</v>
      </c>
      <c r="Z84" s="87">
        <f t="shared" si="38"/>
        <v>3397.7150000000001</v>
      </c>
      <c r="AA84" s="217">
        <f t="shared" si="38"/>
        <v>3298.7920000000004</v>
      </c>
      <c r="AB84" s="217">
        <f t="shared" si="38"/>
        <v>3456.3470000000007</v>
      </c>
      <c r="AC84" s="217">
        <f t="shared" si="38"/>
        <v>2837.9060000000004</v>
      </c>
      <c r="AD84" s="217">
        <f t="shared" si="38"/>
        <v>3526.5950000000007</v>
      </c>
      <c r="AE84" s="217">
        <f t="shared" si="38"/>
        <v>3108.7220000000002</v>
      </c>
      <c r="AF84" s="217">
        <f t="shared" si="38"/>
        <v>3213.79</v>
      </c>
      <c r="AG84" s="77">
        <f t="shared" si="38"/>
        <v>3212.7846250227039</v>
      </c>
      <c r="AH84" s="77">
        <f t="shared" si="38"/>
        <v>3078.8072548661648</v>
      </c>
      <c r="AI84" s="77">
        <f t="shared" si="38"/>
        <v>3188.4352725549688</v>
      </c>
      <c r="AJ84" s="77">
        <f t="shared" si="38"/>
        <v>3128.1349440960257</v>
      </c>
      <c r="AK84" s="77">
        <f t="shared" si="38"/>
        <v>3192.107714236537</v>
      </c>
      <c r="AL84" s="77">
        <f t="shared" si="38"/>
        <v>3213.7724645951662</v>
      </c>
      <c r="AM84" s="77">
        <f t="shared" si="38"/>
        <v>3255.0948321236247</v>
      </c>
      <c r="AN84" s="77">
        <f t="shared" si="38"/>
        <v>3299.7155094161712</v>
      </c>
      <c r="AO84" s="77">
        <f t="shared" si="38"/>
        <v>3323.3114778395047</v>
      </c>
      <c r="AP84" s="77">
        <f t="shared" si="38"/>
        <v>3362.5728133691032</v>
      </c>
      <c r="AQ84" s="77">
        <f t="shared" si="38"/>
        <v>3395.7391155876462</v>
      </c>
      <c r="AR84" s="77">
        <f t="shared" si="38"/>
        <v>3433.816083033375</v>
      </c>
      <c r="AS84" s="77">
        <f t="shared" si="38"/>
        <v>3472.8465313489705</v>
      </c>
      <c r="AT84" s="77">
        <f t="shared" si="38"/>
        <v>3507.8063314931396</v>
      </c>
      <c r="AU84" s="77">
        <f t="shared" si="38"/>
        <v>3545.4339582476123</v>
      </c>
      <c r="AV84" s="77">
        <f t="shared" si="38"/>
        <v>3583.0018740467585</v>
      </c>
      <c r="AW84" s="77">
        <f t="shared" si="38"/>
        <v>3621.4666767957196</v>
      </c>
      <c r="AX84" s="77">
        <f t="shared" si="38"/>
        <v>3660.3636112105241</v>
      </c>
      <c r="AY84" s="77">
        <f t="shared" si="38"/>
        <v>3969.2330971243264</v>
      </c>
      <c r="AZ84" s="77">
        <f t="shared" si="38"/>
        <v>1584.7279259010725</v>
      </c>
    </row>
    <row r="85" spans="1:52">
      <c r="A85" s="69" t="s">
        <v>31</v>
      </c>
      <c r="B85" s="87">
        <f t="shared" si="38"/>
        <v>106.24706794613012</v>
      </c>
      <c r="C85" s="87">
        <f t="shared" si="38"/>
        <v>88.682424423975846</v>
      </c>
      <c r="D85" s="87">
        <f t="shared" si="38"/>
        <v>24.178573852421152</v>
      </c>
      <c r="E85" s="87">
        <f t="shared" si="38"/>
        <v>73.672720685687111</v>
      </c>
      <c r="F85" s="87">
        <f t="shared" si="38"/>
        <v>133.30221870184391</v>
      </c>
      <c r="G85" s="87">
        <f t="shared" si="38"/>
        <v>154.97615478029923</v>
      </c>
      <c r="H85" s="87">
        <f t="shared" si="38"/>
        <v>148.16877171805774</v>
      </c>
      <c r="I85" s="87">
        <f t="shared" si="38"/>
        <v>138.27335223468023</v>
      </c>
      <c r="J85" s="87">
        <f t="shared" si="38"/>
        <v>204.16201160858566</v>
      </c>
      <c r="K85" s="87">
        <f t="shared" si="38"/>
        <v>316.60273014701704</v>
      </c>
      <c r="L85" s="87">
        <f t="shared" si="38"/>
        <v>494.04775843898852</v>
      </c>
      <c r="M85" s="87">
        <f t="shared" si="38"/>
        <v>570.74001889930526</v>
      </c>
      <c r="N85" s="87">
        <f t="shared" si="38"/>
        <v>704.96991685837747</v>
      </c>
      <c r="O85" s="87">
        <f t="shared" si="38"/>
        <v>900.99029291670411</v>
      </c>
      <c r="P85" s="87">
        <f t="shared" si="38"/>
        <v>1419.3405351950603</v>
      </c>
      <c r="Q85" s="87">
        <f t="shared" si="38"/>
        <v>1744.3438451987934</v>
      </c>
      <c r="R85" s="87">
        <f t="shared" si="38"/>
        <v>2315.196028409242</v>
      </c>
      <c r="S85" s="87">
        <f t="shared" si="38"/>
        <v>2433.1056034656181</v>
      </c>
      <c r="T85" s="87">
        <f t="shared" si="38"/>
        <v>2695.051424655232</v>
      </c>
      <c r="U85" s="87">
        <f t="shared" si="38"/>
        <v>2142.9156561695295</v>
      </c>
      <c r="V85" s="87">
        <f t="shared" si="38"/>
        <v>2290.0988017124046</v>
      </c>
      <c r="W85" s="87">
        <f t="shared" si="38"/>
        <v>3567.5260042821142</v>
      </c>
      <c r="X85" s="87">
        <f t="shared" si="38"/>
        <v>3283.340005014245</v>
      </c>
      <c r="Y85" s="87">
        <f t="shared" si="38"/>
        <v>3439.0780000000004</v>
      </c>
      <c r="Z85" s="87">
        <f t="shared" si="38"/>
        <v>3485.902000000001</v>
      </c>
      <c r="AA85" s="217">
        <f t="shared" si="38"/>
        <v>3200.1779999999999</v>
      </c>
      <c r="AB85" s="217">
        <f t="shared" si="38"/>
        <v>3224.3960000000002</v>
      </c>
      <c r="AC85" s="217">
        <f t="shared" si="38"/>
        <v>2666.1360000000004</v>
      </c>
      <c r="AD85" s="217">
        <f t="shared" si="38"/>
        <v>3167.6740000000004</v>
      </c>
      <c r="AE85" s="217">
        <f t="shared" si="38"/>
        <v>3186.2460000000001</v>
      </c>
      <c r="AF85" s="217">
        <f t="shared" si="38"/>
        <v>3018.5940000000001</v>
      </c>
      <c r="AG85" s="77">
        <f t="shared" si="38"/>
        <v>2959.8483449306427</v>
      </c>
      <c r="AH85" s="77">
        <f t="shared" si="38"/>
        <v>2784.1838054396885</v>
      </c>
      <c r="AI85" s="77">
        <f t="shared" si="38"/>
        <v>2884.5140747749629</v>
      </c>
      <c r="AJ85" s="77">
        <f t="shared" si="38"/>
        <v>2887.5263355076549</v>
      </c>
      <c r="AK85" s="77">
        <f t="shared" si="38"/>
        <v>2937.0469267438884</v>
      </c>
      <c r="AL85" s="77">
        <f t="shared" si="38"/>
        <v>2958.9319460674988</v>
      </c>
      <c r="AM85" s="77">
        <f t="shared" si="38"/>
        <v>2973.4242052345858</v>
      </c>
      <c r="AN85" s="77">
        <f t="shared" si="38"/>
        <v>3027.7262763025528</v>
      </c>
      <c r="AO85" s="77">
        <f t="shared" si="38"/>
        <v>3056.626152422823</v>
      </c>
      <c r="AP85" s="77">
        <f t="shared" si="38"/>
        <v>3087.7460226235221</v>
      </c>
      <c r="AQ85" s="77">
        <f t="shared" si="38"/>
        <v>3122.0751159127858</v>
      </c>
      <c r="AR85" s="77">
        <f t="shared" si="38"/>
        <v>3153.7408459492453</v>
      </c>
      <c r="AS85" s="77">
        <f t="shared" si="38"/>
        <v>3188.9990452486973</v>
      </c>
      <c r="AT85" s="77">
        <f t="shared" si="38"/>
        <v>3225.1608842065625</v>
      </c>
      <c r="AU85" s="77">
        <f t="shared" si="38"/>
        <v>3258.9128186617186</v>
      </c>
      <c r="AV85" s="77">
        <f t="shared" si="38"/>
        <v>3294.0867101868266</v>
      </c>
      <c r="AW85" s="77">
        <f t="shared" si="38"/>
        <v>3329.7730075901441</v>
      </c>
      <c r="AX85" s="77">
        <f t="shared" si="38"/>
        <v>3630.1135780010595</v>
      </c>
      <c r="AY85" s="77">
        <f t="shared" si="38"/>
        <v>3735.9553395887542</v>
      </c>
      <c r="AZ85" s="77">
        <f t="shared" si="38"/>
        <v>1466.8317691382445</v>
      </c>
    </row>
    <row r="86" spans="1:52">
      <c r="A86" s="69" t="s">
        <v>32</v>
      </c>
      <c r="B86" s="87">
        <f t="shared" si="38"/>
        <v>47.922714049259724</v>
      </c>
      <c r="C86" s="87">
        <f t="shared" si="38"/>
        <v>81.734445998428555</v>
      </c>
      <c r="D86" s="87">
        <f t="shared" si="38"/>
        <v>30.022198754640833</v>
      </c>
      <c r="E86" s="87">
        <f t="shared" si="38"/>
        <v>75.705013112729716</v>
      </c>
      <c r="F86" s="87">
        <f t="shared" si="38"/>
        <v>84.935583774723682</v>
      </c>
      <c r="G86" s="87">
        <f t="shared" si="38"/>
        <v>100.81705387968861</v>
      </c>
      <c r="H86" s="87">
        <f t="shared" si="38"/>
        <v>138.76633469988246</v>
      </c>
      <c r="I86" s="87">
        <f t="shared" si="38"/>
        <v>185.83540038299481</v>
      </c>
      <c r="J86" s="87">
        <f t="shared" si="38"/>
        <v>166.62253999217563</v>
      </c>
      <c r="K86" s="87">
        <f t="shared" si="38"/>
        <v>395.41640842548196</v>
      </c>
      <c r="L86" s="87">
        <f t="shared" si="38"/>
        <v>526.28138211872988</v>
      </c>
      <c r="M86" s="87">
        <f t="shared" si="38"/>
        <v>560.13530645170999</v>
      </c>
      <c r="N86" s="87">
        <f t="shared" si="38"/>
        <v>772.80503625534368</v>
      </c>
      <c r="O86" s="87">
        <f t="shared" si="38"/>
        <v>984.93480378815048</v>
      </c>
      <c r="P86" s="87">
        <f t="shared" si="38"/>
        <v>1373.7759892994507</v>
      </c>
      <c r="Q86" s="87">
        <f t="shared" si="38"/>
        <v>1560.5767979082061</v>
      </c>
      <c r="R86" s="87">
        <f t="shared" si="38"/>
        <v>2061.1269542495097</v>
      </c>
      <c r="S86" s="87">
        <f t="shared" si="38"/>
        <v>2255.4408829046306</v>
      </c>
      <c r="T86" s="87">
        <f t="shared" si="38"/>
        <v>2472.3595711599792</v>
      </c>
      <c r="U86" s="87">
        <f t="shared" si="38"/>
        <v>1903.4339017104096</v>
      </c>
      <c r="V86" s="87">
        <f t="shared" si="38"/>
        <v>2036.6928823517774</v>
      </c>
      <c r="W86" s="87">
        <f t="shared" si="38"/>
        <v>2961.2350048868375</v>
      </c>
      <c r="X86" s="87">
        <f t="shared" si="38"/>
        <v>3060.7820048866624</v>
      </c>
      <c r="Y86" s="87">
        <f t="shared" si="38"/>
        <v>2859.8689999999997</v>
      </c>
      <c r="Z86" s="87">
        <f t="shared" si="38"/>
        <v>3110.607</v>
      </c>
      <c r="AA86" s="217">
        <f t="shared" si="38"/>
        <v>3009.6059999999998</v>
      </c>
      <c r="AB86" s="217">
        <f t="shared" si="38"/>
        <v>3022.9529999999995</v>
      </c>
      <c r="AC86" s="217">
        <f t="shared" si="38"/>
        <v>2172.5970000000002</v>
      </c>
      <c r="AD86" s="217">
        <f t="shared" si="38"/>
        <v>2881.5889999999999</v>
      </c>
      <c r="AE86" s="217">
        <f t="shared" si="38"/>
        <v>2808.2060000000006</v>
      </c>
      <c r="AF86" s="217">
        <f t="shared" si="38"/>
        <v>2834.0029999999997</v>
      </c>
      <c r="AG86" s="77">
        <f t="shared" si="38"/>
        <v>2701.2829284735194</v>
      </c>
      <c r="AH86" s="77">
        <f t="shared" si="38"/>
        <v>2530.6769278584079</v>
      </c>
      <c r="AI86" s="77">
        <f t="shared" si="38"/>
        <v>2682.2239927304067</v>
      </c>
      <c r="AJ86" s="77">
        <f t="shared" si="38"/>
        <v>2702.6029084966458</v>
      </c>
      <c r="AK86" s="77">
        <f t="shared" si="38"/>
        <v>2752.5344623067522</v>
      </c>
      <c r="AL86" s="77">
        <f t="shared" si="38"/>
        <v>2729.1665664999505</v>
      </c>
      <c r="AM86" s="77">
        <f t="shared" si="38"/>
        <v>2783.6775501820666</v>
      </c>
      <c r="AN86" s="77">
        <f t="shared" si="38"/>
        <v>2812.6512675353842</v>
      </c>
      <c r="AO86" s="77">
        <f t="shared" si="38"/>
        <v>2847.5164113066239</v>
      </c>
      <c r="AP86" s="77">
        <f t="shared" si="38"/>
        <v>2873.5755401946967</v>
      </c>
      <c r="AQ86" s="77">
        <f t="shared" si="38"/>
        <v>2900.0222360120547</v>
      </c>
      <c r="AR86" s="77">
        <f t="shared" si="38"/>
        <v>2933.1934628304489</v>
      </c>
      <c r="AS86" s="77">
        <f t="shared" si="38"/>
        <v>2967.2360311694069</v>
      </c>
      <c r="AT86" s="77">
        <f t="shared" si="38"/>
        <v>2996.808246867904</v>
      </c>
      <c r="AU86" s="77">
        <f t="shared" si="38"/>
        <v>3028.5648007675682</v>
      </c>
      <c r="AV86" s="77">
        <f t="shared" si="38"/>
        <v>3059.9740372097231</v>
      </c>
      <c r="AW86" s="77">
        <f t="shared" si="38"/>
        <v>3093.1697970511368</v>
      </c>
      <c r="AX86" s="77">
        <f t="shared" si="38"/>
        <v>3412.3258082805369</v>
      </c>
      <c r="AY86" s="77">
        <f t="shared" si="38"/>
        <v>3465.6864750751611</v>
      </c>
      <c r="AZ86" s="77">
        <f t="shared" si="38"/>
        <v>1360.249066302853</v>
      </c>
    </row>
    <row r="87" spans="1:52">
      <c r="A87" s="69" t="s">
        <v>33</v>
      </c>
      <c r="B87" s="87">
        <f t="shared" ref="B87:AZ91" si="39">B102+B23+B55-B71-B103</f>
        <v>69.776984796080285</v>
      </c>
      <c r="C87" s="87">
        <f t="shared" si="39"/>
        <v>31.505812003524312</v>
      </c>
      <c r="D87" s="87">
        <f t="shared" si="39"/>
        <v>30.185197056690384</v>
      </c>
      <c r="E87" s="87">
        <f t="shared" si="39"/>
        <v>60.44308221788215</v>
      </c>
      <c r="F87" s="87">
        <f t="shared" si="39"/>
        <v>112.21789388683138</v>
      </c>
      <c r="G87" s="87">
        <f t="shared" si="39"/>
        <v>151.82572239417433</v>
      </c>
      <c r="H87" s="87">
        <f t="shared" si="39"/>
        <v>151.73203265537967</v>
      </c>
      <c r="I87" s="87">
        <f t="shared" si="39"/>
        <v>215.69500732938539</v>
      </c>
      <c r="J87" s="87">
        <f t="shared" si="39"/>
        <v>212.38723709669767</v>
      </c>
      <c r="K87" s="87">
        <f t="shared" si="39"/>
        <v>391.14740898973963</v>
      </c>
      <c r="L87" s="87">
        <f t="shared" si="39"/>
        <v>608.0136850399208</v>
      </c>
      <c r="M87" s="87">
        <f t="shared" si="39"/>
        <v>629.13319909445545</v>
      </c>
      <c r="N87" s="87">
        <f t="shared" si="39"/>
        <v>737.78045316894213</v>
      </c>
      <c r="O87" s="87">
        <f t="shared" si="39"/>
        <v>1110.8389292958263</v>
      </c>
      <c r="P87" s="87">
        <f t="shared" si="39"/>
        <v>1504.7926174804611</v>
      </c>
      <c r="Q87" s="87">
        <f t="shared" si="39"/>
        <v>1764.0325133183701</v>
      </c>
      <c r="R87" s="87">
        <f t="shared" si="39"/>
        <v>2293.2290214459699</v>
      </c>
      <c r="S87" s="87">
        <f t="shared" si="39"/>
        <v>2525.8003165286786</v>
      </c>
      <c r="T87" s="87">
        <f t="shared" si="39"/>
        <v>2487.8687503463107</v>
      </c>
      <c r="U87" s="87">
        <f t="shared" si="39"/>
        <v>2256.6789496309784</v>
      </c>
      <c r="V87" s="87">
        <f t="shared" si="39"/>
        <v>2054.3662361583401</v>
      </c>
      <c r="W87" s="87">
        <f t="shared" si="39"/>
        <v>3216.6950058234424</v>
      </c>
      <c r="X87" s="87">
        <f t="shared" si="39"/>
        <v>3284.8970051640617</v>
      </c>
      <c r="Y87" s="87">
        <f t="shared" si="39"/>
        <v>3276.317</v>
      </c>
      <c r="Z87" s="217">
        <f t="shared" si="39"/>
        <v>3403.442</v>
      </c>
      <c r="AA87" s="217">
        <f t="shared" si="39"/>
        <v>3011.05</v>
      </c>
      <c r="AB87" s="217">
        <f t="shared" si="39"/>
        <v>2755.6620000000003</v>
      </c>
      <c r="AC87" s="217">
        <f t="shared" si="39"/>
        <v>2813.4159999999997</v>
      </c>
      <c r="AD87" s="217">
        <f t="shared" si="39"/>
        <v>3318.3359999999998</v>
      </c>
      <c r="AE87" s="217">
        <f t="shared" si="39"/>
        <v>2969.29</v>
      </c>
      <c r="AF87" s="217">
        <f t="shared" si="39"/>
        <v>2966.2269999999999</v>
      </c>
      <c r="AG87" s="77">
        <f t="shared" si="39"/>
        <v>2840.9007986433307</v>
      </c>
      <c r="AH87" s="77">
        <f t="shared" si="39"/>
        <v>2875.9059374002118</v>
      </c>
      <c r="AI87" s="77">
        <f t="shared" si="39"/>
        <v>2903.991563546525</v>
      </c>
      <c r="AJ87" s="77">
        <f t="shared" si="39"/>
        <v>2877.2637391881244</v>
      </c>
      <c r="AK87" s="77">
        <f t="shared" si="39"/>
        <v>2879.729036993218</v>
      </c>
      <c r="AL87" s="77">
        <f t="shared" si="39"/>
        <v>2941.705107702026</v>
      </c>
      <c r="AM87" s="77">
        <f t="shared" si="39"/>
        <v>3001.2240033772609</v>
      </c>
      <c r="AN87" s="77">
        <f t="shared" si="39"/>
        <v>3016.5470409386298</v>
      </c>
      <c r="AO87" s="77">
        <f t="shared" si="39"/>
        <v>3045.148251046774</v>
      </c>
      <c r="AP87" s="77">
        <f t="shared" si="39"/>
        <v>3076.0355352374172</v>
      </c>
      <c r="AQ87" s="77">
        <f t="shared" si="39"/>
        <v>3112.3230167292704</v>
      </c>
      <c r="AR87" s="77">
        <f t="shared" si="39"/>
        <v>3151.9091798898253</v>
      </c>
      <c r="AS87" s="77">
        <f t="shared" si="39"/>
        <v>3183.8189563494625</v>
      </c>
      <c r="AT87" s="77">
        <f t="shared" si="39"/>
        <v>3217.2887089025485</v>
      </c>
      <c r="AU87" s="77">
        <f t="shared" si="39"/>
        <v>3252.728363255022</v>
      </c>
      <c r="AV87" s="77">
        <f t="shared" si="39"/>
        <v>3288.6480161564846</v>
      </c>
      <c r="AW87" s="77">
        <f t="shared" si="39"/>
        <v>3324.827400561147</v>
      </c>
      <c r="AX87" s="77">
        <f t="shared" si="39"/>
        <v>3608.1635228456935</v>
      </c>
      <c r="AY87" s="77">
        <f t="shared" si="39"/>
        <v>3650.2315510195754</v>
      </c>
      <c r="AZ87" s="77">
        <f t="shared" si="39"/>
        <v>1395.5415293938968</v>
      </c>
    </row>
    <row r="88" spans="1:52">
      <c r="A88" s="69" t="s">
        <v>14</v>
      </c>
      <c r="B88" s="87">
        <f t="shared" si="39"/>
        <v>73.382673173132446</v>
      </c>
      <c r="C88" s="87">
        <f t="shared" si="39"/>
        <v>79.585068592512357</v>
      </c>
      <c r="D88" s="87">
        <f t="shared" si="39"/>
        <v>31.469496681165126</v>
      </c>
      <c r="E88" s="87">
        <f t="shared" si="39"/>
        <v>58.407523556090297</v>
      </c>
      <c r="F88" s="87">
        <f t="shared" si="39"/>
        <v>149.86502031469118</v>
      </c>
      <c r="G88" s="87">
        <f t="shared" si="39"/>
        <v>171.87144581456238</v>
      </c>
      <c r="H88" s="87">
        <f t="shared" si="39"/>
        <v>204.43713570881346</v>
      </c>
      <c r="I88" s="87">
        <f t="shared" si="39"/>
        <v>178.87998664495507</v>
      </c>
      <c r="J88" s="87">
        <f t="shared" si="39"/>
        <v>201.82511328096689</v>
      </c>
      <c r="K88" s="87">
        <f t="shared" si="39"/>
        <v>476.56311952171791</v>
      </c>
      <c r="L88" s="87">
        <f t="shared" si="39"/>
        <v>572.31697925448179</v>
      </c>
      <c r="M88" s="87">
        <f t="shared" si="39"/>
        <v>542.6354299106896</v>
      </c>
      <c r="N88" s="87">
        <f t="shared" si="39"/>
        <v>857.02290000278526</v>
      </c>
      <c r="O88" s="87">
        <f t="shared" si="39"/>
        <v>1175.8637677164263</v>
      </c>
      <c r="P88" s="87">
        <f t="shared" si="39"/>
        <v>1636.3116085389033</v>
      </c>
      <c r="Q88" s="87">
        <f t="shared" si="39"/>
        <v>1775.9381129869253</v>
      </c>
      <c r="R88" s="87">
        <f t="shared" si="39"/>
        <v>2112.765440055432</v>
      </c>
      <c r="S88" s="87">
        <f t="shared" si="39"/>
        <v>2485.8685906234955</v>
      </c>
      <c r="T88" s="87">
        <f t="shared" si="39"/>
        <v>2475.1385767799356</v>
      </c>
      <c r="U88" s="87">
        <f t="shared" si="39"/>
        <v>2259.2219337687761</v>
      </c>
      <c r="V88" s="87">
        <f t="shared" si="39"/>
        <v>2318.4928624616932</v>
      </c>
      <c r="W88" s="87">
        <f t="shared" si="39"/>
        <v>2906.1450057345937</v>
      </c>
      <c r="X88" s="87">
        <f t="shared" si="39"/>
        <v>2932.2530055423899</v>
      </c>
      <c r="Y88" s="87">
        <f t="shared" si="39"/>
        <v>3061.7710000000002</v>
      </c>
      <c r="Z88" s="217">
        <f t="shared" si="39"/>
        <v>3122.569</v>
      </c>
      <c r="AA88" s="217">
        <f t="shared" si="39"/>
        <v>3065.8759999999993</v>
      </c>
      <c r="AB88" s="217">
        <f t="shared" si="39"/>
        <v>1426.8580000000002</v>
      </c>
      <c r="AC88" s="217">
        <f t="shared" si="39"/>
        <v>2730.7910000000002</v>
      </c>
      <c r="AD88" s="217">
        <f t="shared" si="39"/>
        <v>3079.0490000000004</v>
      </c>
      <c r="AE88" s="217">
        <f t="shared" si="39"/>
        <v>3008.1849999999999</v>
      </c>
      <c r="AF88" s="217">
        <f t="shared" si="39"/>
        <v>2872.4650000000001</v>
      </c>
      <c r="AG88" s="77">
        <f t="shared" si="39"/>
        <v>2638.1919551408782</v>
      </c>
      <c r="AH88" s="77">
        <f t="shared" si="39"/>
        <v>2919.5485148326434</v>
      </c>
      <c r="AI88" s="77">
        <f t="shared" si="39"/>
        <v>2926.8168079281804</v>
      </c>
      <c r="AJ88" s="77">
        <f t="shared" si="39"/>
        <v>2936.8828513659519</v>
      </c>
      <c r="AK88" s="77">
        <f t="shared" si="39"/>
        <v>2965.0412805339429</v>
      </c>
      <c r="AL88" s="77">
        <f t="shared" si="39"/>
        <v>2965.3279196135936</v>
      </c>
      <c r="AM88" s="77">
        <f t="shared" si="39"/>
        <v>3035.9444740548356</v>
      </c>
      <c r="AN88" s="77">
        <f t="shared" si="39"/>
        <v>3054.1642599095812</v>
      </c>
      <c r="AO88" s="77">
        <f t="shared" si="39"/>
        <v>3094.5633399257476</v>
      </c>
      <c r="AP88" s="77">
        <f t="shared" si="39"/>
        <v>3121.3027106040222</v>
      </c>
      <c r="AQ88" s="77">
        <f t="shared" si="39"/>
        <v>3151.3601008907981</v>
      </c>
      <c r="AR88" s="77">
        <f t="shared" si="39"/>
        <v>3188.1985424323584</v>
      </c>
      <c r="AS88" s="77">
        <f t="shared" si="39"/>
        <v>3222.2263713875</v>
      </c>
      <c r="AT88" s="77">
        <f t="shared" si="39"/>
        <v>3256.7829969303684</v>
      </c>
      <c r="AU88" s="77">
        <f t="shared" si="39"/>
        <v>3290.8264201332804</v>
      </c>
      <c r="AV88" s="77">
        <f t="shared" si="39"/>
        <v>3324.5829231220414</v>
      </c>
      <c r="AW88" s="77">
        <f t="shared" si="39"/>
        <v>3360.2452884785585</v>
      </c>
      <c r="AX88" s="77">
        <f t="shared" si="39"/>
        <v>3619.3323058814776</v>
      </c>
      <c r="AY88" s="77">
        <f t="shared" si="39"/>
        <v>3645.1228659239882</v>
      </c>
      <c r="AZ88" s="77">
        <f t="shared" si="39"/>
        <v>1443.014080877314</v>
      </c>
    </row>
    <row r="89" spans="1:52">
      <c r="A89" s="69" t="s">
        <v>34</v>
      </c>
      <c r="B89" s="87">
        <f t="shared" si="39"/>
        <v>78.183969568622146</v>
      </c>
      <c r="C89" s="87">
        <f t="shared" si="39"/>
        <v>64.943567081634612</v>
      </c>
      <c r="D89" s="87">
        <f t="shared" si="39"/>
        <v>46.808187402140646</v>
      </c>
      <c r="E89" s="87">
        <f t="shared" si="39"/>
        <v>94.815909850734613</v>
      </c>
      <c r="F89" s="87">
        <f t="shared" si="39"/>
        <v>103.76060107742856</v>
      </c>
      <c r="G89" s="87">
        <f t="shared" si="39"/>
        <v>101.44208274671252</v>
      </c>
      <c r="H89" s="87">
        <f t="shared" si="39"/>
        <v>171.89016351946012</v>
      </c>
      <c r="I89" s="87">
        <f t="shared" si="39"/>
        <v>174.13868742108394</v>
      </c>
      <c r="J89" s="87">
        <f t="shared" si="39"/>
        <v>212.22133981947883</v>
      </c>
      <c r="K89" s="87">
        <f t="shared" si="39"/>
        <v>424.73367738286555</v>
      </c>
      <c r="L89" s="87">
        <f t="shared" si="39"/>
        <v>645.97905348893335</v>
      </c>
      <c r="M89" s="87">
        <f t="shared" si="39"/>
        <v>723.31838125194918</v>
      </c>
      <c r="N89" s="87">
        <f t="shared" si="39"/>
        <v>773.20506167114911</v>
      </c>
      <c r="O89" s="87">
        <f t="shared" si="39"/>
        <v>1129.1413175445264</v>
      </c>
      <c r="P89" s="87">
        <f t="shared" si="39"/>
        <v>1671.2672207899777</v>
      </c>
      <c r="Q89" s="87">
        <f t="shared" si="39"/>
        <v>1922.6889293934553</v>
      </c>
      <c r="R89" s="87">
        <f t="shared" si="39"/>
        <v>2305.6443553956665</v>
      </c>
      <c r="S89" s="87">
        <f t="shared" si="39"/>
        <v>2575.0630199874049</v>
      </c>
      <c r="T89" s="87">
        <f t="shared" si="39"/>
        <v>2402.808938759445</v>
      </c>
      <c r="U89" s="87">
        <f t="shared" si="39"/>
        <v>2358.3671091965753</v>
      </c>
      <c r="V89" s="87">
        <f t="shared" si="39"/>
        <v>2273.1376954994862</v>
      </c>
      <c r="W89" s="87">
        <f t="shared" si="39"/>
        <v>2820.4830080688862</v>
      </c>
      <c r="X89" s="87">
        <f t="shared" si="39"/>
        <v>2910.359006527065</v>
      </c>
      <c r="Y89" s="87">
        <f t="shared" si="39"/>
        <v>3463.3939999999998</v>
      </c>
      <c r="Z89" s="217">
        <f t="shared" si="39"/>
        <v>3265.6880000000001</v>
      </c>
      <c r="AA89" s="217">
        <f t="shared" si="39"/>
        <v>3168.2280000000001</v>
      </c>
      <c r="AB89" s="217">
        <f t="shared" si="39"/>
        <v>1774.8970000000004</v>
      </c>
      <c r="AC89" s="217">
        <f t="shared" si="39"/>
        <v>2720.1870000000004</v>
      </c>
      <c r="AD89" s="217">
        <f t="shared" si="39"/>
        <v>3072.9319999999998</v>
      </c>
      <c r="AE89" s="217">
        <f t="shared" si="39"/>
        <v>2938.7019999999998</v>
      </c>
      <c r="AF89" s="217">
        <f t="shared" si="39"/>
        <v>3014.8919999999998</v>
      </c>
      <c r="AG89" s="77">
        <f t="shared" si="39"/>
        <v>2692.6661784037697</v>
      </c>
      <c r="AH89" s="77">
        <f t="shared" si="39"/>
        <v>2954.016655659575</v>
      </c>
      <c r="AI89" s="77">
        <f t="shared" si="39"/>
        <v>2951.3568461881919</v>
      </c>
      <c r="AJ89" s="77">
        <f t="shared" si="39"/>
        <v>2973.922058485703</v>
      </c>
      <c r="AK89" s="77">
        <f t="shared" si="39"/>
        <v>2993.5179248259874</v>
      </c>
      <c r="AL89" s="77">
        <f t="shared" si="39"/>
        <v>3014.9234598909566</v>
      </c>
      <c r="AM89" s="77">
        <f t="shared" si="39"/>
        <v>3084.1370357067653</v>
      </c>
      <c r="AN89" s="77">
        <f t="shared" si="39"/>
        <v>3106.1608743096585</v>
      </c>
      <c r="AO89" s="77">
        <f t="shared" si="39"/>
        <v>3137.2949304354356</v>
      </c>
      <c r="AP89" s="77">
        <f t="shared" si="39"/>
        <v>3172.6150364564223</v>
      </c>
      <c r="AQ89" s="77">
        <f t="shared" si="39"/>
        <v>3206.9082278816318</v>
      </c>
      <c r="AR89" s="77">
        <f t="shared" si="39"/>
        <v>3249.0099392990783</v>
      </c>
      <c r="AS89" s="77">
        <f t="shared" si="39"/>
        <v>3281.9461260309008</v>
      </c>
      <c r="AT89" s="77">
        <f t="shared" si="39"/>
        <v>3318.1175299800825</v>
      </c>
      <c r="AU89" s="77">
        <f t="shared" si="39"/>
        <v>3355.1489182920482</v>
      </c>
      <c r="AV89" s="77">
        <f t="shared" si="39"/>
        <v>3393.0283519611385</v>
      </c>
      <c r="AW89" s="77">
        <f t="shared" si="39"/>
        <v>3431.1096189965738</v>
      </c>
      <c r="AX89" s="77">
        <f t="shared" si="39"/>
        <v>3623.3201793566973</v>
      </c>
      <c r="AY89" s="77">
        <f t="shared" si="39"/>
        <v>3631.7348891576376</v>
      </c>
      <c r="AZ89" s="77">
        <f t="shared" si="39"/>
        <v>1371.6106074698191</v>
      </c>
    </row>
    <row r="90" spans="1:52">
      <c r="A90" s="69" t="s">
        <v>35</v>
      </c>
      <c r="B90" s="87">
        <f t="shared" si="39"/>
        <v>61.133684350745966</v>
      </c>
      <c r="C90" s="87">
        <f t="shared" si="39"/>
        <v>19.685567441749015</v>
      </c>
      <c r="D90" s="87">
        <f t="shared" si="39"/>
        <v>62.912063767281033</v>
      </c>
      <c r="E90" s="87">
        <f t="shared" si="39"/>
        <v>67.258239001565329</v>
      </c>
      <c r="F90" s="87">
        <f t="shared" si="39"/>
        <v>154.34526904465039</v>
      </c>
      <c r="G90" s="87">
        <f t="shared" si="39"/>
        <v>95.296144670573568</v>
      </c>
      <c r="H90" s="87">
        <f t="shared" si="39"/>
        <v>177.576457628855</v>
      </c>
      <c r="I90" s="87">
        <f t="shared" si="39"/>
        <v>199.69867408226793</v>
      </c>
      <c r="J90" s="87">
        <f t="shared" si="39"/>
        <v>185.96296033373403</v>
      </c>
      <c r="K90" s="87">
        <f t="shared" si="39"/>
        <v>449.36845113753208</v>
      </c>
      <c r="L90" s="87">
        <f t="shared" si="39"/>
        <v>570.44218659658839</v>
      </c>
      <c r="M90" s="87">
        <f t="shared" si="39"/>
        <v>629.43715302517808</v>
      </c>
      <c r="N90" s="87">
        <f t="shared" si="39"/>
        <v>881.0335760820351</v>
      </c>
      <c r="O90" s="87">
        <f t="shared" si="39"/>
        <v>1183.5260528686558</v>
      </c>
      <c r="P90" s="87">
        <f t="shared" si="39"/>
        <v>1611.0715418640643</v>
      </c>
      <c r="Q90" s="87">
        <f t="shared" si="39"/>
        <v>1966.9565021578862</v>
      </c>
      <c r="R90" s="87">
        <f t="shared" si="39"/>
        <v>2169.3937065231412</v>
      </c>
      <c r="S90" s="87">
        <f t="shared" si="39"/>
        <v>2497.3092108371029</v>
      </c>
      <c r="T90" s="87">
        <f t="shared" si="39"/>
        <v>2391.9702410009704</v>
      </c>
      <c r="U90" s="87">
        <f t="shared" si="39"/>
        <v>2325.7459897878821</v>
      </c>
      <c r="V90" s="87">
        <f t="shared" si="39"/>
        <v>2371.4886455806977</v>
      </c>
      <c r="W90" s="87">
        <f t="shared" si="39"/>
        <v>2815.6250077006343</v>
      </c>
      <c r="X90" s="87">
        <f t="shared" si="39"/>
        <v>2889.8520063450142</v>
      </c>
      <c r="Y90" s="87">
        <f t="shared" si="39"/>
        <v>3098.8560000000002</v>
      </c>
      <c r="Z90" s="217">
        <f t="shared" si="39"/>
        <v>3113.3209999999995</v>
      </c>
      <c r="AA90" s="217">
        <f t="shared" si="39"/>
        <v>3082.5390000000002</v>
      </c>
      <c r="AB90" s="217">
        <f t="shared" si="39"/>
        <v>2255.9169999999999</v>
      </c>
      <c r="AC90" s="217">
        <f t="shared" si="39"/>
        <v>2902.1549999999997</v>
      </c>
      <c r="AD90" s="217">
        <f t="shared" si="39"/>
        <v>2997.2659999999996</v>
      </c>
      <c r="AE90" s="217">
        <f t="shared" si="39"/>
        <v>2963.4509999999996</v>
      </c>
      <c r="AF90" s="217">
        <f t="shared" si="39"/>
        <v>2715.48</v>
      </c>
      <c r="AG90" s="77">
        <f t="shared" si="39"/>
        <v>2690.5239377503299</v>
      </c>
      <c r="AH90" s="77">
        <f t="shared" si="39"/>
        <v>2819.4772360331503</v>
      </c>
      <c r="AI90" s="77">
        <f t="shared" si="39"/>
        <v>2813.8940703948456</v>
      </c>
      <c r="AJ90" s="77">
        <f t="shared" si="39"/>
        <v>2810.110404208549</v>
      </c>
      <c r="AK90" s="77">
        <f t="shared" si="39"/>
        <v>2823.3370335606078</v>
      </c>
      <c r="AL90" s="77">
        <f t="shared" si="39"/>
        <v>2899.8134751142948</v>
      </c>
      <c r="AM90" s="77">
        <f t="shared" si="39"/>
        <v>2932.9728563202134</v>
      </c>
      <c r="AN90" s="77">
        <f t="shared" si="39"/>
        <v>2954.9910215225282</v>
      </c>
      <c r="AO90" s="77">
        <f t="shared" si="39"/>
        <v>2987.5635841889775</v>
      </c>
      <c r="AP90" s="77">
        <f t="shared" si="39"/>
        <v>3020.819954773136</v>
      </c>
      <c r="AQ90" s="77">
        <f t="shared" si="39"/>
        <v>3061.4789342068502</v>
      </c>
      <c r="AR90" s="77">
        <f t="shared" si="39"/>
        <v>3096.154594702959</v>
      </c>
      <c r="AS90" s="77">
        <f t="shared" si="39"/>
        <v>3128.6962121899196</v>
      </c>
      <c r="AT90" s="77">
        <f t="shared" si="39"/>
        <v>3165.2013807335434</v>
      </c>
      <c r="AU90" s="77">
        <f t="shared" si="39"/>
        <v>3201.4422989477266</v>
      </c>
      <c r="AV90" s="77">
        <f t="shared" si="39"/>
        <v>3238.4848098825855</v>
      </c>
      <c r="AW90" s="77">
        <f t="shared" si="39"/>
        <v>3275.2717865997138</v>
      </c>
      <c r="AX90" s="77">
        <f t="shared" si="39"/>
        <v>3402.2205826634354</v>
      </c>
      <c r="AY90" s="77">
        <f t="shared" si="39"/>
        <v>3358.4697746138818</v>
      </c>
      <c r="AZ90" s="77">
        <f t="shared" si="39"/>
        <v>1221.9033701306353</v>
      </c>
    </row>
    <row r="91" spans="1:52">
      <c r="A91" s="69" t="s">
        <v>36</v>
      </c>
      <c r="B91" s="87">
        <f t="shared" si="39"/>
        <v>73.610821569178057</v>
      </c>
      <c r="C91" s="87">
        <f t="shared" si="39"/>
        <v>10.785211461818534</v>
      </c>
      <c r="D91" s="87">
        <f t="shared" si="39"/>
        <v>71.427975163477328</v>
      </c>
      <c r="E91" s="87">
        <f t="shared" si="39"/>
        <v>175.41925403329378</v>
      </c>
      <c r="F91" s="87">
        <f t="shared" si="39"/>
        <v>97.999582950861523</v>
      </c>
      <c r="G91" s="87">
        <f t="shared" si="39"/>
        <v>133.22859519934389</v>
      </c>
      <c r="H91" s="87">
        <f t="shared" si="39"/>
        <v>119.46893016226173</v>
      </c>
      <c r="I91" s="87">
        <f t="shared" si="39"/>
        <v>201.36129376486977</v>
      </c>
      <c r="J91" s="87">
        <f t="shared" si="39"/>
        <v>189.14618776691663</v>
      </c>
      <c r="K91" s="87">
        <f t="shared" si="39"/>
        <v>407.35890625501219</v>
      </c>
      <c r="L91" s="87">
        <f t="shared" si="39"/>
        <v>560.81887196947059</v>
      </c>
      <c r="M91" s="87">
        <f t="shared" si="39"/>
        <v>664.07478790479399</v>
      </c>
      <c r="N91" s="87">
        <f t="shared" si="39"/>
        <v>864.10542001432259</v>
      </c>
      <c r="O91" s="87">
        <f t="shared" si="39"/>
        <v>1160.5739449040275</v>
      </c>
      <c r="P91" s="87">
        <f t="shared" si="39"/>
        <v>1658.9542938126392</v>
      </c>
      <c r="Q91" s="87">
        <f t="shared" si="39"/>
        <v>2262.9380224109427</v>
      </c>
      <c r="R91" s="87">
        <f t="shared" si="39"/>
        <v>2143.1243722975273</v>
      </c>
      <c r="S91" s="87">
        <f t="shared" si="39"/>
        <v>2536.038576140113</v>
      </c>
      <c r="T91" s="87">
        <f t="shared" si="39"/>
        <v>2230.7748040911201</v>
      </c>
      <c r="U91" s="87">
        <f t="shared" si="39"/>
        <v>2169.6857681250449</v>
      </c>
      <c r="V91" s="87">
        <f t="shared" si="39"/>
        <v>2281.0834962732588</v>
      </c>
      <c r="W91" s="87">
        <f t="shared" si="39"/>
        <v>2726.0730085782543</v>
      </c>
      <c r="X91" s="87">
        <f t="shared" si="39"/>
        <v>2995.9130067752999</v>
      </c>
      <c r="Y91" s="87">
        <f t="shared" si="39"/>
        <v>3181.8039999999996</v>
      </c>
      <c r="Z91" s="217">
        <f t="shared" si="39"/>
        <v>3181.4739999999997</v>
      </c>
      <c r="AA91" s="217">
        <f t="shared" si="39"/>
        <v>3115.5540000000001</v>
      </c>
      <c r="AB91" s="217">
        <f t="shared" si="39"/>
        <v>2377.2579999999998</v>
      </c>
      <c r="AC91" s="217">
        <f t="shared" si="39"/>
        <v>2792.924</v>
      </c>
      <c r="AD91" s="217">
        <f t="shared" si="39"/>
        <v>3045.8680000000004</v>
      </c>
      <c r="AE91" s="217">
        <f t="shared" si="39"/>
        <v>2963.1969999999992</v>
      </c>
      <c r="AF91" s="217">
        <f t="shared" si="39"/>
        <v>2928.3120000000004</v>
      </c>
      <c r="AG91" s="77">
        <f t="shared" si="39"/>
        <v>2551.5179072651099</v>
      </c>
      <c r="AH91" s="77">
        <f t="shared" si="39"/>
        <v>2590.1738640206731</v>
      </c>
      <c r="AI91" s="77">
        <f t="shared" si="39"/>
        <v>2599.8750296905423</v>
      </c>
      <c r="AJ91" s="77">
        <f t="shared" si="39"/>
        <v>2670.4102160243956</v>
      </c>
      <c r="AK91" s="77">
        <f t="shared" si="39"/>
        <v>2692.5404493076458</v>
      </c>
      <c r="AL91" s="77">
        <f t="shared" si="39"/>
        <v>2717.847537264548</v>
      </c>
      <c r="AM91" s="77">
        <f t="shared" si="39"/>
        <v>2759.3082322639611</v>
      </c>
      <c r="AN91" s="77">
        <f t="shared" si="39"/>
        <v>2782.1627650676628</v>
      </c>
      <c r="AO91" s="77">
        <f t="shared" si="39"/>
        <v>2829.5734213923056</v>
      </c>
      <c r="AP91" s="77">
        <f t="shared" si="39"/>
        <v>2858.7180324973624</v>
      </c>
      <c r="AQ91" s="77">
        <f t="shared" si="39"/>
        <v>2889.6525068589344</v>
      </c>
      <c r="AR91" s="77">
        <f t="shared" si="39"/>
        <v>2927.848649202484</v>
      </c>
      <c r="AS91" s="77">
        <f t="shared" si="39"/>
        <v>2962.6132720348933</v>
      </c>
      <c r="AT91" s="77">
        <f t="shared" si="39"/>
        <v>2999.1362222402786</v>
      </c>
      <c r="AU91" s="77">
        <f t="shared" si="39"/>
        <v>3034.7600764956906</v>
      </c>
      <c r="AV91" s="77">
        <f t="shared" si="39"/>
        <v>3070.417196440214</v>
      </c>
      <c r="AW91" s="77">
        <f t="shared" si="39"/>
        <v>3107.5261524173989</v>
      </c>
      <c r="AX91" s="77">
        <f t="shared" si="39"/>
        <v>3134.1026561464832</v>
      </c>
      <c r="AY91" s="77">
        <f t="shared" si="39"/>
        <v>3323.7831226813523</v>
      </c>
      <c r="AZ91" s="77">
        <f t="shared" si="39"/>
        <v>1180.3136512382994</v>
      </c>
    </row>
    <row r="92" spans="1:52">
      <c r="A92" s="69" t="s">
        <v>37</v>
      </c>
      <c r="B92" s="87">
        <f t="shared" ref="B92:AZ92" si="40">B107+B28+B60-B76-B108</f>
        <v>67.084461023217955</v>
      </c>
      <c r="C92" s="87">
        <f t="shared" si="40"/>
        <v>32.355176426426226</v>
      </c>
      <c r="D92" s="87">
        <f t="shared" si="40"/>
        <v>33.939445568079613</v>
      </c>
      <c r="E92" s="87">
        <f t="shared" si="40"/>
        <v>59.60120222424856</v>
      </c>
      <c r="F92" s="87">
        <f t="shared" si="40"/>
        <v>112.97392108946929</v>
      </c>
      <c r="G92" s="87">
        <f t="shared" si="40"/>
        <v>115.59906301161612</v>
      </c>
      <c r="H92" s="87">
        <f t="shared" si="40"/>
        <v>84.664154709631646</v>
      </c>
      <c r="I92" s="87">
        <f t="shared" si="40"/>
        <v>186.97774619461526</v>
      </c>
      <c r="J92" s="87">
        <f t="shared" si="40"/>
        <v>201.5340869865295</v>
      </c>
      <c r="K92" s="87">
        <f t="shared" si="40"/>
        <v>477.37886458353449</v>
      </c>
      <c r="L92" s="87">
        <f t="shared" si="40"/>
        <v>608.68166143519034</v>
      </c>
      <c r="M92" s="87">
        <f t="shared" si="40"/>
        <v>734.30599027018081</v>
      </c>
      <c r="N92" s="87">
        <f t="shared" si="40"/>
        <v>872.94928090926055</v>
      </c>
      <c r="O92" s="87">
        <f t="shared" si="40"/>
        <v>1264.3692608065355</v>
      </c>
      <c r="P92" s="87">
        <f t="shared" si="40"/>
        <v>1719.8615625561472</v>
      </c>
      <c r="Q92" s="87">
        <f t="shared" si="40"/>
        <v>1916.625880321827</v>
      </c>
      <c r="R92" s="87">
        <f t="shared" si="40"/>
        <v>2090.2576710787775</v>
      </c>
      <c r="S92" s="87">
        <f t="shared" si="40"/>
        <v>2360.3238189204571</v>
      </c>
      <c r="T92" s="87">
        <f t="shared" si="40"/>
        <v>2452.0946487006095</v>
      </c>
      <c r="U92" s="87">
        <f t="shared" si="40"/>
        <v>1957.0459178542014</v>
      </c>
      <c r="V92" s="87">
        <f t="shared" si="40"/>
        <v>2248.1593693174741</v>
      </c>
      <c r="W92" s="87">
        <f t="shared" si="40"/>
        <v>2674.506008634532</v>
      </c>
      <c r="X92" s="87">
        <f t="shared" si="40"/>
        <v>2981.5380071616928</v>
      </c>
      <c r="Y92" s="87">
        <f t="shared" si="40"/>
        <v>3578.1139999999996</v>
      </c>
      <c r="Z92" s="217">
        <f t="shared" si="40"/>
        <v>3175.21</v>
      </c>
      <c r="AA92" s="217">
        <f t="shared" si="40"/>
        <v>2923.5069999999996</v>
      </c>
      <c r="AB92" s="217">
        <f t="shared" si="40"/>
        <v>2444.357</v>
      </c>
      <c r="AC92" s="217">
        <f t="shared" si="40"/>
        <v>2482.9210000000003</v>
      </c>
      <c r="AD92" s="217">
        <f t="shared" si="40"/>
        <v>3131.0520000000001</v>
      </c>
      <c r="AE92" s="217">
        <f t="shared" si="40"/>
        <v>2972.1579999999999</v>
      </c>
      <c r="AF92" s="217">
        <f t="shared" si="40"/>
        <v>2891.0259999999998</v>
      </c>
      <c r="AG92" s="77">
        <f t="shared" si="40"/>
        <v>2600.8894819473462</v>
      </c>
      <c r="AH92" s="77">
        <f t="shared" si="40"/>
        <v>2733.5177180010714</v>
      </c>
      <c r="AI92" s="77">
        <f t="shared" si="40"/>
        <v>2706.392618511868</v>
      </c>
      <c r="AJ92" s="77">
        <f t="shared" si="40"/>
        <v>2765.8579069753191</v>
      </c>
      <c r="AK92" s="77">
        <f t="shared" si="40"/>
        <v>2777.0140732511436</v>
      </c>
      <c r="AL92" s="77">
        <f t="shared" si="40"/>
        <v>2813.9994478004819</v>
      </c>
      <c r="AM92" s="77">
        <f t="shared" si="40"/>
        <v>2864.3807328361572</v>
      </c>
      <c r="AN92" s="77">
        <f t="shared" si="40"/>
        <v>2874.6013213034698</v>
      </c>
      <c r="AO92" s="77">
        <f t="shared" si="40"/>
        <v>2922.3493222272914</v>
      </c>
      <c r="AP92" s="77">
        <f t="shared" si="40"/>
        <v>2954.9722153131079</v>
      </c>
      <c r="AQ92" s="77">
        <f t="shared" si="40"/>
        <v>2985.5354406230822</v>
      </c>
      <c r="AR92" s="77">
        <f t="shared" si="40"/>
        <v>3022.0983096989503</v>
      </c>
      <c r="AS92" s="77">
        <f t="shared" si="40"/>
        <v>3056.5767179734121</v>
      </c>
      <c r="AT92" s="77">
        <f t="shared" si="40"/>
        <v>3093.0225084675758</v>
      </c>
      <c r="AU92" s="77">
        <f t="shared" si="40"/>
        <v>3128.8793151912296</v>
      </c>
      <c r="AV92" s="77">
        <f t="shared" si="40"/>
        <v>3164.4654435482398</v>
      </c>
      <c r="AW92" s="77">
        <f t="shared" si="40"/>
        <v>3200.5180722284076</v>
      </c>
      <c r="AX92" s="77">
        <f t="shared" si="40"/>
        <v>3381.029511214615</v>
      </c>
      <c r="AY92" s="77">
        <f t="shared" si="40"/>
        <v>3366.8899759532087</v>
      </c>
      <c r="AZ92" s="77">
        <f t="shared" si="40"/>
        <v>1195.0294985293976</v>
      </c>
    </row>
    <row r="93" spans="1:52" ht="12" thickBot="1">
      <c r="A93" s="69" t="s">
        <v>138</v>
      </c>
      <c r="B93" s="76">
        <f>SUM(B81:B92)</f>
        <v>850.66929693363261</v>
      </c>
      <c r="C93" s="76">
        <f t="shared" ref="C93:AZ93" si="41">SUM(C81:C92)</f>
        <v>771.16409198956671</v>
      </c>
      <c r="D93" s="76">
        <f t="shared" si="41"/>
        <v>451.62622421962118</v>
      </c>
      <c r="E93" s="76">
        <f t="shared" si="41"/>
        <v>943.22234479236772</v>
      </c>
      <c r="F93" s="76">
        <f t="shared" si="41"/>
        <v>1393.4228825720111</v>
      </c>
      <c r="G93" s="76">
        <f t="shared" si="41"/>
        <v>1416.8335219527671</v>
      </c>
      <c r="H93" s="76">
        <f t="shared" si="41"/>
        <v>1742.7138992456357</v>
      </c>
      <c r="I93" s="76">
        <f t="shared" si="41"/>
        <v>2014.1288540913322</v>
      </c>
      <c r="J93" s="76">
        <f t="shared" si="41"/>
        <v>2269.5224468428833</v>
      </c>
      <c r="K93" s="76">
        <f t="shared" si="41"/>
        <v>4463.7969926302194</v>
      </c>
      <c r="L93" s="76">
        <f t="shared" si="41"/>
        <v>6284.3809860930614</v>
      </c>
      <c r="M93" s="76">
        <f t="shared" si="41"/>
        <v>7270.0620548874376</v>
      </c>
      <c r="N93" s="76">
        <f t="shared" si="41"/>
        <v>9204.2654213264559</v>
      </c>
      <c r="O93" s="76">
        <f t="shared" si="41"/>
        <v>12361.323778047423</v>
      </c>
      <c r="P93" s="76">
        <f t="shared" si="41"/>
        <v>17518.444242119855</v>
      </c>
      <c r="Q93" s="76">
        <f t="shared" si="41"/>
        <v>21704.148601868506</v>
      </c>
      <c r="R93" s="76">
        <f t="shared" si="41"/>
        <v>25504.48468816244</v>
      </c>
      <c r="S93" s="76">
        <f t="shared" si="41"/>
        <v>29132.040357331669</v>
      </c>
      <c r="T93" s="76">
        <f t="shared" si="41"/>
        <v>29953.548470354603</v>
      </c>
      <c r="U93" s="76">
        <f t="shared" si="41"/>
        <v>26155.254718168981</v>
      </c>
      <c r="V93" s="76">
        <f t="shared" si="41"/>
        <v>26422.257801859258</v>
      </c>
      <c r="W93" s="76">
        <f t="shared" si="41"/>
        <v>33461.289348909289</v>
      </c>
      <c r="X93" s="76">
        <f t="shared" si="41"/>
        <v>36607.376073296211</v>
      </c>
      <c r="Y93" s="76">
        <f t="shared" si="41"/>
        <v>38746.488023848193</v>
      </c>
      <c r="Z93" s="79">
        <f t="shared" si="41"/>
        <v>39042.067999999999</v>
      </c>
      <c r="AA93" s="79">
        <f t="shared" si="41"/>
        <v>37186.572999999997</v>
      </c>
      <c r="AB93" s="79">
        <f t="shared" si="41"/>
        <v>31737.102000000003</v>
      </c>
      <c r="AC93" s="79">
        <f t="shared" si="41"/>
        <v>31897.531999999999</v>
      </c>
      <c r="AD93" s="79">
        <f t="shared" si="41"/>
        <v>37198.754000000008</v>
      </c>
      <c r="AE93" s="79">
        <f t="shared" si="41"/>
        <v>36393.258000000009</v>
      </c>
      <c r="AF93" s="79">
        <f t="shared" si="41"/>
        <v>35589.214</v>
      </c>
      <c r="AG93" s="77">
        <f t="shared" si="41"/>
        <v>33459.884860768972</v>
      </c>
      <c r="AH93" s="77">
        <f t="shared" si="41"/>
        <v>33906.100519556414</v>
      </c>
      <c r="AI93" s="77">
        <f t="shared" si="41"/>
        <v>34277.802482588995</v>
      </c>
      <c r="AJ93" s="77">
        <f t="shared" si="41"/>
        <v>34402.387815767135</v>
      </c>
      <c r="AK93" s="77">
        <f t="shared" si="41"/>
        <v>34812.715689256809</v>
      </c>
      <c r="AL93" s="77">
        <f t="shared" si="41"/>
        <v>35082.039548489003</v>
      </c>
      <c r="AM93" s="77">
        <f t="shared" si="41"/>
        <v>35602.115535411569</v>
      </c>
      <c r="AN93" s="77">
        <f t="shared" si="41"/>
        <v>35989.344866355052</v>
      </c>
      <c r="AO93" s="77">
        <f t="shared" si="41"/>
        <v>36387.792167082815</v>
      </c>
      <c r="AP93" s="77">
        <f t="shared" si="41"/>
        <v>36785.05356932211</v>
      </c>
      <c r="AQ93" s="77">
        <f t="shared" si="41"/>
        <v>37175.826071500698</v>
      </c>
      <c r="AR93" s="77">
        <f t="shared" si="41"/>
        <v>37606.947888792471</v>
      </c>
      <c r="AS93" s="77">
        <f t="shared" si="41"/>
        <v>38021.330545760131</v>
      </c>
      <c r="AT93" s="77">
        <f t="shared" si="41"/>
        <v>38446.822842132606</v>
      </c>
      <c r="AU93" s="77">
        <f t="shared" si="41"/>
        <v>38869.362396015997</v>
      </c>
      <c r="AV93" s="77">
        <f t="shared" si="41"/>
        <v>39297.280380805525</v>
      </c>
      <c r="AW93" s="77">
        <f t="shared" si="41"/>
        <v>39732.592053887529</v>
      </c>
      <c r="AX93" s="77">
        <f t="shared" si="41"/>
        <v>41569.309740148761</v>
      </c>
      <c r="AY93" s="77">
        <f t="shared" si="41"/>
        <v>42886.537462294611</v>
      </c>
      <c r="AZ93" s="77">
        <f t="shared" si="41"/>
        <v>16316.446299793046</v>
      </c>
    </row>
    <row r="94" spans="1:52">
      <c r="A94" s="199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200"/>
      <c r="AW94" s="200"/>
      <c r="AX94" s="200"/>
      <c r="AY94" s="200"/>
      <c r="AZ94" s="200"/>
    </row>
    <row r="95" spans="1:52" ht="12" thickBot="1">
      <c r="A95" s="69" t="s">
        <v>354</v>
      </c>
      <c r="Y95" s="76"/>
    </row>
    <row r="96" spans="1:52" ht="12" thickBot="1">
      <c r="A96" s="202"/>
      <c r="B96" s="203" t="str">
        <f>B$2</f>
        <v xml:space="preserve">93/94 </v>
      </c>
      <c r="C96" s="203" t="str">
        <f t="shared" ref="C96:AZ96" si="42">C$2</f>
        <v xml:space="preserve">94/95 </v>
      </c>
      <c r="D96" s="203" t="str">
        <f t="shared" si="42"/>
        <v xml:space="preserve">95/96 </v>
      </c>
      <c r="E96" s="203" t="str">
        <f t="shared" si="42"/>
        <v xml:space="preserve">96/97 </v>
      </c>
      <c r="F96" s="203" t="str">
        <f t="shared" si="42"/>
        <v xml:space="preserve">97/98 </v>
      </c>
      <c r="G96" s="203" t="str">
        <f t="shared" si="42"/>
        <v xml:space="preserve">98/99 </v>
      </c>
      <c r="H96" s="203" t="str">
        <f t="shared" si="42"/>
        <v xml:space="preserve">99/00 </v>
      </c>
      <c r="I96" s="203" t="str">
        <f t="shared" si="42"/>
        <v xml:space="preserve">00/01 </v>
      </c>
      <c r="J96" s="203" t="str">
        <f t="shared" si="42"/>
        <v xml:space="preserve">01/02 </v>
      </c>
      <c r="K96" s="203" t="str">
        <f t="shared" si="42"/>
        <v xml:space="preserve">02/03 </v>
      </c>
      <c r="L96" s="203" t="str">
        <f t="shared" si="42"/>
        <v xml:space="preserve">03/04 </v>
      </c>
      <c r="M96" s="203" t="str">
        <f t="shared" si="42"/>
        <v xml:space="preserve">04/05 </v>
      </c>
      <c r="N96" s="203" t="str">
        <f t="shared" si="42"/>
        <v xml:space="preserve">05/06 </v>
      </c>
      <c r="O96" s="203" t="str">
        <f t="shared" si="42"/>
        <v xml:space="preserve">06/07 </v>
      </c>
      <c r="P96" s="203" t="str">
        <f t="shared" si="42"/>
        <v xml:space="preserve">07/08 </v>
      </c>
      <c r="Q96" s="203" t="str">
        <f t="shared" si="42"/>
        <v xml:space="preserve">08/09 </v>
      </c>
      <c r="R96" s="203" t="str">
        <f t="shared" si="42"/>
        <v xml:space="preserve">09/10 </v>
      </c>
      <c r="S96" s="203" t="str">
        <f t="shared" si="42"/>
        <v xml:space="preserve">10/11 </v>
      </c>
      <c r="T96" s="203" t="str">
        <f t="shared" si="42"/>
        <v xml:space="preserve">11/12 </v>
      </c>
      <c r="U96" s="203" t="str">
        <f t="shared" si="42"/>
        <v xml:space="preserve">12/13 </v>
      </c>
      <c r="V96" s="203" t="str">
        <f t="shared" si="42"/>
        <v xml:space="preserve">13/14 </v>
      </c>
      <c r="W96" s="203" t="str">
        <f t="shared" si="42"/>
        <v xml:space="preserve">14/15 </v>
      </c>
      <c r="X96" s="203" t="str">
        <f t="shared" si="42"/>
        <v xml:space="preserve">15/16 </v>
      </c>
      <c r="Y96" s="203" t="str">
        <f t="shared" si="42"/>
        <v xml:space="preserve">16/17 </v>
      </c>
      <c r="Z96" s="203" t="str">
        <f t="shared" si="42"/>
        <v xml:space="preserve">17/18 </v>
      </c>
      <c r="AA96" s="203" t="str">
        <f t="shared" si="42"/>
        <v xml:space="preserve">18/19 </v>
      </c>
      <c r="AB96" s="203" t="str">
        <f t="shared" si="42"/>
        <v xml:space="preserve">19/20 </v>
      </c>
      <c r="AC96" s="203" t="str">
        <f t="shared" si="42"/>
        <v xml:space="preserve">20/21 </v>
      </c>
      <c r="AD96" s="203" t="str">
        <f t="shared" si="42"/>
        <v>21/22</v>
      </c>
      <c r="AE96" s="203" t="str">
        <f t="shared" si="42"/>
        <v>22/23</v>
      </c>
      <c r="AF96" s="203" t="str">
        <f t="shared" si="42"/>
        <v>23/24</v>
      </c>
      <c r="AG96" s="203" t="str">
        <f t="shared" si="42"/>
        <v>24/25</v>
      </c>
      <c r="AH96" s="203" t="str">
        <f t="shared" si="42"/>
        <v>25/26</v>
      </c>
      <c r="AI96" s="203" t="str">
        <f t="shared" si="42"/>
        <v>26/27</v>
      </c>
      <c r="AJ96" s="203" t="str">
        <f t="shared" si="42"/>
        <v>27/28</v>
      </c>
      <c r="AK96" s="203" t="str">
        <f t="shared" si="42"/>
        <v>28/29</v>
      </c>
      <c r="AL96" s="203" t="str">
        <f t="shared" si="42"/>
        <v>29/30</v>
      </c>
      <c r="AM96" s="203" t="str">
        <f t="shared" si="42"/>
        <v>30/31</v>
      </c>
      <c r="AN96" s="203" t="str">
        <f t="shared" si="42"/>
        <v>31/32</v>
      </c>
      <c r="AO96" s="203" t="str">
        <f t="shared" si="42"/>
        <v>32/33</v>
      </c>
      <c r="AP96" s="203" t="str">
        <f t="shared" si="42"/>
        <v>33/34</v>
      </c>
      <c r="AQ96" s="203" t="str">
        <f t="shared" si="42"/>
        <v>34/35</v>
      </c>
      <c r="AR96" s="203" t="str">
        <f t="shared" si="42"/>
        <v>35/36</v>
      </c>
      <c r="AS96" s="203" t="str">
        <f t="shared" si="42"/>
        <v>36/37</v>
      </c>
      <c r="AT96" s="203" t="str">
        <f t="shared" si="42"/>
        <v>37/38</v>
      </c>
      <c r="AU96" s="203" t="str">
        <f t="shared" si="42"/>
        <v>38/39</v>
      </c>
      <c r="AV96" s="203" t="str">
        <f t="shared" si="42"/>
        <v>39/40</v>
      </c>
      <c r="AW96" s="203" t="str">
        <f t="shared" si="42"/>
        <v>40/41</v>
      </c>
      <c r="AX96" s="203" t="str">
        <f t="shared" si="42"/>
        <v>41/42</v>
      </c>
      <c r="AY96" s="203" t="str">
        <f t="shared" si="42"/>
        <v>42/43</v>
      </c>
      <c r="AZ96" s="203" t="str">
        <f t="shared" si="42"/>
        <v>43/44</v>
      </c>
    </row>
    <row r="97" spans="1:52">
      <c r="A97" s="69" t="s">
        <v>38</v>
      </c>
      <c r="B97" s="225">
        <f>(B$108-B$4)/13+B4</f>
        <v>0</v>
      </c>
      <c r="C97" s="225">
        <f>(C$108-B$108)/13+B108</f>
        <v>0</v>
      </c>
      <c r="D97" s="225">
        <f t="shared" ref="D97:AZ97" si="43">(D$108-C$108)/13+C108</f>
        <v>0</v>
      </c>
      <c r="E97" s="225">
        <f t="shared" si="43"/>
        <v>0</v>
      </c>
      <c r="F97" s="225">
        <f t="shared" si="43"/>
        <v>0</v>
      </c>
      <c r="G97" s="225">
        <f t="shared" si="43"/>
        <v>0</v>
      </c>
      <c r="H97" s="225">
        <f t="shared" si="43"/>
        <v>0</v>
      </c>
      <c r="I97" s="225">
        <f t="shared" si="43"/>
        <v>0</v>
      </c>
      <c r="J97" s="225">
        <f t="shared" si="43"/>
        <v>0</v>
      </c>
      <c r="K97" s="225">
        <f t="shared" si="43"/>
        <v>0</v>
      </c>
      <c r="L97" s="225">
        <f t="shared" si="43"/>
        <v>0</v>
      </c>
      <c r="M97" s="225">
        <f t="shared" si="43"/>
        <v>0</v>
      </c>
      <c r="N97" s="225">
        <f t="shared" si="43"/>
        <v>0</v>
      </c>
      <c r="O97" s="225">
        <f t="shared" si="43"/>
        <v>0</v>
      </c>
      <c r="P97" s="225">
        <f t="shared" si="43"/>
        <v>0</v>
      </c>
      <c r="Q97" s="225">
        <f t="shared" si="43"/>
        <v>0</v>
      </c>
      <c r="R97" s="225">
        <f t="shared" si="43"/>
        <v>0</v>
      </c>
      <c r="S97" s="225">
        <f t="shared" si="43"/>
        <v>0</v>
      </c>
      <c r="T97" s="225">
        <f t="shared" si="43"/>
        <v>0</v>
      </c>
      <c r="U97" s="225">
        <f t="shared" si="43"/>
        <v>0</v>
      </c>
      <c r="V97" s="225">
        <f t="shared" si="43"/>
        <v>0</v>
      </c>
      <c r="W97" s="225">
        <f t="shared" si="43"/>
        <v>0</v>
      </c>
      <c r="X97" s="225">
        <f t="shared" si="43"/>
        <v>0</v>
      </c>
      <c r="Y97" s="225">
        <f t="shared" si="43"/>
        <v>0</v>
      </c>
      <c r="Z97" s="217">
        <f t="shared" si="43"/>
        <v>0</v>
      </c>
      <c r="AA97" s="217">
        <f t="shared" si="43"/>
        <v>0</v>
      </c>
      <c r="AB97" s="217">
        <f t="shared" si="43"/>
        <v>0</v>
      </c>
      <c r="AC97" s="217">
        <f t="shared" si="43"/>
        <v>0</v>
      </c>
      <c r="AD97" s="217">
        <f t="shared" si="43"/>
        <v>0</v>
      </c>
      <c r="AE97" s="217">
        <f t="shared" si="43"/>
        <v>0</v>
      </c>
      <c r="AF97" s="217">
        <f t="shared" si="43"/>
        <v>0</v>
      </c>
      <c r="AG97" s="217">
        <f t="shared" si="43"/>
        <v>0</v>
      </c>
      <c r="AH97" s="77">
        <f t="shared" si="43"/>
        <v>0</v>
      </c>
      <c r="AI97" s="77">
        <f t="shared" si="43"/>
        <v>0</v>
      </c>
      <c r="AJ97" s="77">
        <f t="shared" si="43"/>
        <v>0</v>
      </c>
      <c r="AK97" s="77">
        <f t="shared" si="43"/>
        <v>0</v>
      </c>
      <c r="AL97" s="77">
        <f t="shared" si="43"/>
        <v>0</v>
      </c>
      <c r="AM97" s="77">
        <f t="shared" si="43"/>
        <v>0</v>
      </c>
      <c r="AN97" s="77">
        <f t="shared" si="43"/>
        <v>0</v>
      </c>
      <c r="AO97" s="77">
        <f t="shared" si="43"/>
        <v>0</v>
      </c>
      <c r="AP97" s="77">
        <f t="shared" si="43"/>
        <v>0</v>
      </c>
      <c r="AQ97" s="77">
        <f t="shared" si="43"/>
        <v>0</v>
      </c>
      <c r="AR97" s="77">
        <f t="shared" si="43"/>
        <v>0</v>
      </c>
      <c r="AS97" s="77">
        <f t="shared" si="43"/>
        <v>0</v>
      </c>
      <c r="AT97" s="77">
        <f t="shared" si="43"/>
        <v>0</v>
      </c>
      <c r="AU97" s="77">
        <f t="shared" si="43"/>
        <v>0</v>
      </c>
      <c r="AV97" s="77">
        <f t="shared" si="43"/>
        <v>0</v>
      </c>
      <c r="AW97" s="77">
        <f t="shared" si="43"/>
        <v>0</v>
      </c>
      <c r="AX97" s="77">
        <f t="shared" si="43"/>
        <v>0</v>
      </c>
      <c r="AY97" s="77">
        <f t="shared" si="43"/>
        <v>0</v>
      </c>
      <c r="AZ97" s="77">
        <f t="shared" si="43"/>
        <v>0</v>
      </c>
    </row>
    <row r="98" spans="1:52">
      <c r="A98" s="69" t="s">
        <v>39</v>
      </c>
      <c r="B98" s="225">
        <f t="shared" ref="B98:B107" si="44">(B$108-B$4)/13+B97</f>
        <v>0</v>
      </c>
      <c r="C98" s="225">
        <f>(C$108-B$108)/13+C97</f>
        <v>0</v>
      </c>
      <c r="D98" s="225">
        <f t="shared" ref="D98:AZ103" si="45">(D$108-C$108)/13+D97</f>
        <v>0</v>
      </c>
      <c r="E98" s="225">
        <f t="shared" si="45"/>
        <v>0</v>
      </c>
      <c r="F98" s="225">
        <f t="shared" si="45"/>
        <v>0</v>
      </c>
      <c r="G98" s="225">
        <f t="shared" si="45"/>
        <v>0</v>
      </c>
      <c r="H98" s="225">
        <f t="shared" si="45"/>
        <v>0</v>
      </c>
      <c r="I98" s="225">
        <f t="shared" si="45"/>
        <v>0</v>
      </c>
      <c r="J98" s="225">
        <f t="shared" si="45"/>
        <v>0</v>
      </c>
      <c r="K98" s="225">
        <f t="shared" si="45"/>
        <v>0</v>
      </c>
      <c r="L98" s="225">
        <f t="shared" si="45"/>
        <v>0</v>
      </c>
      <c r="M98" s="225">
        <f t="shared" si="45"/>
        <v>0</v>
      </c>
      <c r="N98" s="225">
        <f t="shared" si="45"/>
        <v>0</v>
      </c>
      <c r="O98" s="225">
        <f t="shared" si="45"/>
        <v>0</v>
      </c>
      <c r="P98" s="225">
        <f t="shared" si="45"/>
        <v>0</v>
      </c>
      <c r="Q98" s="225">
        <f t="shared" si="45"/>
        <v>0</v>
      </c>
      <c r="R98" s="225">
        <f t="shared" si="45"/>
        <v>0</v>
      </c>
      <c r="S98" s="225">
        <f t="shared" si="45"/>
        <v>0</v>
      </c>
      <c r="T98" s="225">
        <f t="shared" si="45"/>
        <v>0</v>
      </c>
      <c r="U98" s="225">
        <f t="shared" si="45"/>
        <v>0</v>
      </c>
      <c r="V98" s="225">
        <f t="shared" si="45"/>
        <v>0</v>
      </c>
      <c r="W98" s="225">
        <f t="shared" si="45"/>
        <v>0</v>
      </c>
      <c r="X98" s="225">
        <f t="shared" si="45"/>
        <v>0</v>
      </c>
      <c r="Y98" s="225">
        <f t="shared" si="45"/>
        <v>0</v>
      </c>
      <c r="Z98" s="217">
        <f t="shared" si="45"/>
        <v>0</v>
      </c>
      <c r="AA98" s="217">
        <f t="shared" si="45"/>
        <v>0</v>
      </c>
      <c r="AB98" s="217">
        <f t="shared" si="45"/>
        <v>0</v>
      </c>
      <c r="AC98" s="217">
        <f t="shared" si="45"/>
        <v>0</v>
      </c>
      <c r="AD98" s="217">
        <f t="shared" si="45"/>
        <v>0</v>
      </c>
      <c r="AE98" s="217">
        <f t="shared" si="45"/>
        <v>0</v>
      </c>
      <c r="AF98" s="217">
        <f t="shared" si="45"/>
        <v>0</v>
      </c>
      <c r="AG98" s="217">
        <f t="shared" si="45"/>
        <v>0</v>
      </c>
      <c r="AH98" s="77">
        <f t="shared" si="45"/>
        <v>0</v>
      </c>
      <c r="AI98" s="77">
        <f t="shared" si="45"/>
        <v>0</v>
      </c>
      <c r="AJ98" s="77">
        <f t="shared" si="45"/>
        <v>0</v>
      </c>
      <c r="AK98" s="77">
        <f t="shared" si="45"/>
        <v>0</v>
      </c>
      <c r="AL98" s="77">
        <f t="shared" si="45"/>
        <v>0</v>
      </c>
      <c r="AM98" s="77">
        <f t="shared" si="45"/>
        <v>0</v>
      </c>
      <c r="AN98" s="77">
        <f t="shared" si="45"/>
        <v>0</v>
      </c>
      <c r="AO98" s="77">
        <f t="shared" si="45"/>
        <v>0</v>
      </c>
      <c r="AP98" s="77">
        <f t="shared" si="45"/>
        <v>0</v>
      </c>
      <c r="AQ98" s="77">
        <f t="shared" si="45"/>
        <v>0</v>
      </c>
      <c r="AR98" s="77">
        <f t="shared" si="45"/>
        <v>0</v>
      </c>
      <c r="AS98" s="77">
        <f t="shared" si="45"/>
        <v>0</v>
      </c>
      <c r="AT98" s="77">
        <f t="shared" si="45"/>
        <v>0</v>
      </c>
      <c r="AU98" s="77">
        <f t="shared" si="45"/>
        <v>0</v>
      </c>
      <c r="AV98" s="77">
        <f t="shared" si="45"/>
        <v>0</v>
      </c>
      <c r="AW98" s="77">
        <f t="shared" si="45"/>
        <v>0</v>
      </c>
      <c r="AX98" s="77">
        <f t="shared" si="45"/>
        <v>0</v>
      </c>
      <c r="AY98" s="77">
        <f t="shared" si="45"/>
        <v>0</v>
      </c>
      <c r="AZ98" s="77">
        <f t="shared" si="45"/>
        <v>0</v>
      </c>
    </row>
    <row r="99" spans="1:52">
      <c r="A99" s="69" t="s">
        <v>40</v>
      </c>
      <c r="B99" s="225">
        <f t="shared" si="44"/>
        <v>0</v>
      </c>
      <c r="C99" s="225">
        <f t="shared" ref="C99:C107" si="46">(C$108-B$108)/13+C98</f>
        <v>0</v>
      </c>
      <c r="D99" s="225">
        <f t="shared" si="45"/>
        <v>0</v>
      </c>
      <c r="E99" s="225">
        <f t="shared" si="45"/>
        <v>0</v>
      </c>
      <c r="F99" s="225">
        <f t="shared" si="45"/>
        <v>0</v>
      </c>
      <c r="G99" s="225">
        <f t="shared" si="45"/>
        <v>0</v>
      </c>
      <c r="H99" s="225">
        <f t="shared" si="45"/>
        <v>0</v>
      </c>
      <c r="I99" s="225">
        <f t="shared" si="45"/>
        <v>0</v>
      </c>
      <c r="J99" s="225">
        <f t="shared" si="45"/>
        <v>0</v>
      </c>
      <c r="K99" s="225">
        <f t="shared" si="45"/>
        <v>0</v>
      </c>
      <c r="L99" s="225">
        <f t="shared" si="45"/>
        <v>0</v>
      </c>
      <c r="M99" s="225">
        <f t="shared" si="45"/>
        <v>0</v>
      </c>
      <c r="N99" s="225">
        <f t="shared" si="45"/>
        <v>0</v>
      </c>
      <c r="O99" s="225">
        <f t="shared" si="45"/>
        <v>0</v>
      </c>
      <c r="P99" s="225">
        <f t="shared" si="45"/>
        <v>0</v>
      </c>
      <c r="Q99" s="225">
        <f t="shared" si="45"/>
        <v>0</v>
      </c>
      <c r="R99" s="225">
        <f t="shared" si="45"/>
        <v>0</v>
      </c>
      <c r="S99" s="225">
        <f t="shared" si="45"/>
        <v>0</v>
      </c>
      <c r="T99" s="225">
        <f t="shared" si="45"/>
        <v>0</v>
      </c>
      <c r="U99" s="225">
        <f t="shared" si="45"/>
        <v>0</v>
      </c>
      <c r="V99" s="225">
        <f t="shared" si="45"/>
        <v>0</v>
      </c>
      <c r="W99" s="225">
        <f t="shared" si="45"/>
        <v>0</v>
      </c>
      <c r="X99" s="225">
        <f t="shared" si="45"/>
        <v>0</v>
      </c>
      <c r="Y99" s="225">
        <f t="shared" si="45"/>
        <v>0</v>
      </c>
      <c r="Z99" s="217">
        <f t="shared" si="45"/>
        <v>0</v>
      </c>
      <c r="AA99" s="217">
        <f t="shared" si="45"/>
        <v>0</v>
      </c>
      <c r="AB99" s="217">
        <f t="shared" si="45"/>
        <v>0</v>
      </c>
      <c r="AC99" s="217">
        <f t="shared" si="45"/>
        <v>0</v>
      </c>
      <c r="AD99" s="217">
        <f t="shared" si="45"/>
        <v>0</v>
      </c>
      <c r="AE99" s="217">
        <f t="shared" si="45"/>
        <v>0</v>
      </c>
      <c r="AF99" s="217">
        <f t="shared" si="45"/>
        <v>0</v>
      </c>
      <c r="AG99" s="217">
        <f t="shared" si="45"/>
        <v>0</v>
      </c>
      <c r="AH99" s="77">
        <f t="shared" si="45"/>
        <v>0</v>
      </c>
      <c r="AI99" s="77">
        <f t="shared" si="45"/>
        <v>0</v>
      </c>
      <c r="AJ99" s="77">
        <f t="shared" si="45"/>
        <v>0</v>
      </c>
      <c r="AK99" s="77">
        <f t="shared" si="45"/>
        <v>0</v>
      </c>
      <c r="AL99" s="77">
        <f t="shared" si="45"/>
        <v>0</v>
      </c>
      <c r="AM99" s="77">
        <f t="shared" si="45"/>
        <v>0</v>
      </c>
      <c r="AN99" s="77">
        <f t="shared" si="45"/>
        <v>0</v>
      </c>
      <c r="AO99" s="77">
        <f t="shared" si="45"/>
        <v>0</v>
      </c>
      <c r="AP99" s="77">
        <f t="shared" si="45"/>
        <v>0</v>
      </c>
      <c r="AQ99" s="77">
        <f t="shared" si="45"/>
        <v>0</v>
      </c>
      <c r="AR99" s="77">
        <f t="shared" si="45"/>
        <v>0</v>
      </c>
      <c r="AS99" s="77">
        <f t="shared" si="45"/>
        <v>0</v>
      </c>
      <c r="AT99" s="77">
        <f t="shared" si="45"/>
        <v>0</v>
      </c>
      <c r="AU99" s="77">
        <f t="shared" si="45"/>
        <v>0</v>
      </c>
      <c r="AV99" s="77">
        <f t="shared" si="45"/>
        <v>0</v>
      </c>
      <c r="AW99" s="77">
        <f t="shared" si="45"/>
        <v>0</v>
      </c>
      <c r="AX99" s="77">
        <f t="shared" si="45"/>
        <v>0</v>
      </c>
      <c r="AY99" s="77">
        <f t="shared" si="45"/>
        <v>0</v>
      </c>
      <c r="AZ99" s="77">
        <f t="shared" si="45"/>
        <v>0</v>
      </c>
    </row>
    <row r="100" spans="1:52">
      <c r="A100" s="69" t="s">
        <v>30</v>
      </c>
      <c r="B100" s="225">
        <f t="shared" si="44"/>
        <v>0</v>
      </c>
      <c r="C100" s="225">
        <f t="shared" si="46"/>
        <v>0</v>
      </c>
      <c r="D100" s="225">
        <f t="shared" si="45"/>
        <v>0</v>
      </c>
      <c r="E100" s="225">
        <f t="shared" si="45"/>
        <v>0</v>
      </c>
      <c r="F100" s="225">
        <f t="shared" si="45"/>
        <v>0</v>
      </c>
      <c r="G100" s="225">
        <f t="shared" si="45"/>
        <v>0</v>
      </c>
      <c r="H100" s="225">
        <f t="shared" si="45"/>
        <v>0</v>
      </c>
      <c r="I100" s="225">
        <f t="shared" si="45"/>
        <v>0</v>
      </c>
      <c r="J100" s="225">
        <f t="shared" si="45"/>
        <v>0</v>
      </c>
      <c r="K100" s="225">
        <f t="shared" si="45"/>
        <v>0</v>
      </c>
      <c r="L100" s="225">
        <f t="shared" si="45"/>
        <v>0</v>
      </c>
      <c r="M100" s="225">
        <f t="shared" si="45"/>
        <v>0</v>
      </c>
      <c r="N100" s="225">
        <f t="shared" si="45"/>
        <v>0</v>
      </c>
      <c r="O100" s="225">
        <f t="shared" si="45"/>
        <v>0</v>
      </c>
      <c r="P100" s="225">
        <f t="shared" si="45"/>
        <v>0</v>
      </c>
      <c r="Q100" s="225">
        <f t="shared" si="45"/>
        <v>0</v>
      </c>
      <c r="R100" s="225">
        <f t="shared" si="45"/>
        <v>0</v>
      </c>
      <c r="S100" s="225">
        <f t="shared" si="45"/>
        <v>0</v>
      </c>
      <c r="T100" s="225">
        <f t="shared" si="45"/>
        <v>0</v>
      </c>
      <c r="U100" s="225">
        <f t="shared" si="45"/>
        <v>0</v>
      </c>
      <c r="V100" s="225">
        <f t="shared" si="45"/>
        <v>0</v>
      </c>
      <c r="W100" s="225">
        <f t="shared" si="45"/>
        <v>0</v>
      </c>
      <c r="X100" s="225">
        <f t="shared" si="45"/>
        <v>0</v>
      </c>
      <c r="Y100" s="225">
        <f t="shared" si="45"/>
        <v>0</v>
      </c>
      <c r="Z100" s="217">
        <f t="shared" si="45"/>
        <v>0</v>
      </c>
      <c r="AA100" s="217">
        <f t="shared" si="45"/>
        <v>0</v>
      </c>
      <c r="AB100" s="217">
        <f t="shared" si="45"/>
        <v>0</v>
      </c>
      <c r="AC100" s="217">
        <f t="shared" si="45"/>
        <v>0</v>
      </c>
      <c r="AD100" s="217">
        <f t="shared" si="45"/>
        <v>0</v>
      </c>
      <c r="AE100" s="217">
        <f t="shared" si="45"/>
        <v>0</v>
      </c>
      <c r="AF100" s="217">
        <f t="shared" si="45"/>
        <v>0</v>
      </c>
      <c r="AG100" s="77">
        <f t="shared" si="45"/>
        <v>0</v>
      </c>
      <c r="AH100" s="77">
        <f t="shared" si="45"/>
        <v>0</v>
      </c>
      <c r="AI100" s="77">
        <f t="shared" si="45"/>
        <v>0</v>
      </c>
      <c r="AJ100" s="77">
        <f t="shared" si="45"/>
        <v>0</v>
      </c>
      <c r="AK100" s="77">
        <f t="shared" si="45"/>
        <v>0</v>
      </c>
      <c r="AL100" s="77">
        <f t="shared" si="45"/>
        <v>0</v>
      </c>
      <c r="AM100" s="77">
        <f t="shared" si="45"/>
        <v>0</v>
      </c>
      <c r="AN100" s="77">
        <f t="shared" si="45"/>
        <v>0</v>
      </c>
      <c r="AO100" s="77">
        <f t="shared" si="45"/>
        <v>0</v>
      </c>
      <c r="AP100" s="77">
        <f t="shared" si="45"/>
        <v>0</v>
      </c>
      <c r="AQ100" s="77">
        <f t="shared" si="45"/>
        <v>0</v>
      </c>
      <c r="AR100" s="77">
        <f t="shared" si="45"/>
        <v>0</v>
      </c>
      <c r="AS100" s="77">
        <f t="shared" si="45"/>
        <v>0</v>
      </c>
      <c r="AT100" s="77">
        <f t="shared" si="45"/>
        <v>0</v>
      </c>
      <c r="AU100" s="77">
        <f t="shared" si="45"/>
        <v>0</v>
      </c>
      <c r="AV100" s="77">
        <f t="shared" si="45"/>
        <v>0</v>
      </c>
      <c r="AW100" s="77">
        <f t="shared" si="45"/>
        <v>0</v>
      </c>
      <c r="AX100" s="77">
        <f t="shared" si="45"/>
        <v>0</v>
      </c>
      <c r="AY100" s="77">
        <f t="shared" si="45"/>
        <v>0</v>
      </c>
      <c r="AZ100" s="77">
        <f t="shared" si="45"/>
        <v>0</v>
      </c>
    </row>
    <row r="101" spans="1:52">
      <c r="A101" s="69" t="s">
        <v>31</v>
      </c>
      <c r="B101" s="225">
        <f t="shared" si="44"/>
        <v>0</v>
      </c>
      <c r="C101" s="225">
        <f t="shared" si="46"/>
        <v>0</v>
      </c>
      <c r="D101" s="225">
        <f t="shared" si="45"/>
        <v>0</v>
      </c>
      <c r="E101" s="225">
        <f t="shared" si="45"/>
        <v>0</v>
      </c>
      <c r="F101" s="225">
        <f t="shared" si="45"/>
        <v>0</v>
      </c>
      <c r="G101" s="225">
        <f t="shared" si="45"/>
        <v>0</v>
      </c>
      <c r="H101" s="225">
        <f t="shared" si="45"/>
        <v>0</v>
      </c>
      <c r="I101" s="225">
        <f t="shared" si="45"/>
        <v>0</v>
      </c>
      <c r="J101" s="225">
        <f t="shared" si="45"/>
        <v>0</v>
      </c>
      <c r="K101" s="225">
        <f t="shared" si="45"/>
        <v>0</v>
      </c>
      <c r="L101" s="225">
        <f t="shared" si="45"/>
        <v>0</v>
      </c>
      <c r="M101" s="225">
        <f t="shared" si="45"/>
        <v>0</v>
      </c>
      <c r="N101" s="225">
        <f t="shared" si="45"/>
        <v>0</v>
      </c>
      <c r="O101" s="225">
        <f t="shared" si="45"/>
        <v>0</v>
      </c>
      <c r="P101" s="225">
        <f t="shared" si="45"/>
        <v>0</v>
      </c>
      <c r="Q101" s="225">
        <f t="shared" si="45"/>
        <v>0</v>
      </c>
      <c r="R101" s="225">
        <f t="shared" si="45"/>
        <v>0</v>
      </c>
      <c r="S101" s="225">
        <f t="shared" si="45"/>
        <v>0</v>
      </c>
      <c r="T101" s="225">
        <f t="shared" si="45"/>
        <v>0</v>
      </c>
      <c r="U101" s="225">
        <f t="shared" si="45"/>
        <v>0</v>
      </c>
      <c r="V101" s="225">
        <f t="shared" si="45"/>
        <v>0</v>
      </c>
      <c r="W101" s="225">
        <f t="shared" si="45"/>
        <v>0</v>
      </c>
      <c r="X101" s="225">
        <f t="shared" si="45"/>
        <v>0</v>
      </c>
      <c r="Y101" s="225">
        <f t="shared" si="45"/>
        <v>0</v>
      </c>
      <c r="Z101" s="217">
        <f t="shared" si="45"/>
        <v>0</v>
      </c>
      <c r="AA101" s="217">
        <f t="shared" si="45"/>
        <v>0</v>
      </c>
      <c r="AB101" s="217">
        <f t="shared" si="45"/>
        <v>0</v>
      </c>
      <c r="AC101" s="217">
        <f t="shared" si="45"/>
        <v>0</v>
      </c>
      <c r="AD101" s="217">
        <f t="shared" si="45"/>
        <v>0</v>
      </c>
      <c r="AE101" s="217">
        <f t="shared" si="45"/>
        <v>0</v>
      </c>
      <c r="AF101" s="217">
        <f t="shared" si="45"/>
        <v>0</v>
      </c>
      <c r="AG101" s="77">
        <f t="shared" si="45"/>
        <v>0</v>
      </c>
      <c r="AH101" s="77">
        <f t="shared" si="45"/>
        <v>0</v>
      </c>
      <c r="AI101" s="77">
        <f t="shared" si="45"/>
        <v>0</v>
      </c>
      <c r="AJ101" s="77">
        <f t="shared" si="45"/>
        <v>0</v>
      </c>
      <c r="AK101" s="77">
        <f t="shared" si="45"/>
        <v>0</v>
      </c>
      <c r="AL101" s="77">
        <f t="shared" si="45"/>
        <v>0</v>
      </c>
      <c r="AM101" s="77">
        <f t="shared" si="45"/>
        <v>0</v>
      </c>
      <c r="AN101" s="77">
        <f t="shared" si="45"/>
        <v>0</v>
      </c>
      <c r="AO101" s="77">
        <f t="shared" si="45"/>
        <v>0</v>
      </c>
      <c r="AP101" s="77">
        <f t="shared" si="45"/>
        <v>0</v>
      </c>
      <c r="AQ101" s="77">
        <f t="shared" si="45"/>
        <v>0</v>
      </c>
      <c r="AR101" s="77">
        <f t="shared" si="45"/>
        <v>0</v>
      </c>
      <c r="AS101" s="77">
        <f t="shared" si="45"/>
        <v>0</v>
      </c>
      <c r="AT101" s="77">
        <f t="shared" si="45"/>
        <v>0</v>
      </c>
      <c r="AU101" s="77">
        <f t="shared" si="45"/>
        <v>0</v>
      </c>
      <c r="AV101" s="77">
        <f t="shared" si="45"/>
        <v>0</v>
      </c>
      <c r="AW101" s="77">
        <f t="shared" si="45"/>
        <v>0</v>
      </c>
      <c r="AX101" s="77">
        <f t="shared" si="45"/>
        <v>0</v>
      </c>
      <c r="AY101" s="77">
        <f t="shared" si="45"/>
        <v>0</v>
      </c>
      <c r="AZ101" s="77">
        <f t="shared" si="45"/>
        <v>0</v>
      </c>
    </row>
    <row r="102" spans="1:52">
      <c r="A102" s="69" t="s">
        <v>32</v>
      </c>
      <c r="B102" s="225">
        <f t="shared" si="44"/>
        <v>0</v>
      </c>
      <c r="C102" s="225">
        <f t="shared" si="46"/>
        <v>0</v>
      </c>
      <c r="D102" s="225">
        <f t="shared" si="45"/>
        <v>0</v>
      </c>
      <c r="E102" s="225">
        <f t="shared" si="45"/>
        <v>0</v>
      </c>
      <c r="F102" s="225">
        <f t="shared" si="45"/>
        <v>0</v>
      </c>
      <c r="G102" s="225">
        <f t="shared" si="45"/>
        <v>0</v>
      </c>
      <c r="H102" s="225">
        <f t="shared" si="45"/>
        <v>0</v>
      </c>
      <c r="I102" s="225">
        <f t="shared" si="45"/>
        <v>0</v>
      </c>
      <c r="J102" s="225">
        <f t="shared" si="45"/>
        <v>0</v>
      </c>
      <c r="K102" s="225">
        <f t="shared" si="45"/>
        <v>0</v>
      </c>
      <c r="L102" s="225">
        <f t="shared" si="45"/>
        <v>0</v>
      </c>
      <c r="M102" s="225">
        <f t="shared" si="45"/>
        <v>0</v>
      </c>
      <c r="N102" s="225">
        <f t="shared" si="45"/>
        <v>0</v>
      </c>
      <c r="O102" s="225">
        <f t="shared" si="45"/>
        <v>0</v>
      </c>
      <c r="P102" s="225">
        <f t="shared" si="45"/>
        <v>0</v>
      </c>
      <c r="Q102" s="225">
        <f t="shared" si="45"/>
        <v>0</v>
      </c>
      <c r="R102" s="225">
        <f t="shared" si="45"/>
        <v>0</v>
      </c>
      <c r="S102" s="225">
        <f t="shared" si="45"/>
        <v>0</v>
      </c>
      <c r="T102" s="225">
        <f t="shared" si="45"/>
        <v>0</v>
      </c>
      <c r="U102" s="225">
        <f t="shared" si="45"/>
        <v>0</v>
      </c>
      <c r="V102" s="225">
        <f t="shared" si="45"/>
        <v>0</v>
      </c>
      <c r="W102" s="225">
        <f t="shared" si="45"/>
        <v>0</v>
      </c>
      <c r="X102" s="225">
        <f t="shared" si="45"/>
        <v>0</v>
      </c>
      <c r="Y102" s="225">
        <f t="shared" si="45"/>
        <v>0</v>
      </c>
      <c r="Z102" s="217">
        <f t="shared" si="45"/>
        <v>0</v>
      </c>
      <c r="AA102" s="217">
        <f t="shared" si="45"/>
        <v>0</v>
      </c>
      <c r="AB102" s="217">
        <f t="shared" si="45"/>
        <v>0</v>
      </c>
      <c r="AC102" s="217">
        <f t="shared" si="45"/>
        <v>0</v>
      </c>
      <c r="AD102" s="217">
        <f t="shared" si="45"/>
        <v>0</v>
      </c>
      <c r="AE102" s="217">
        <f t="shared" si="45"/>
        <v>0</v>
      </c>
      <c r="AF102" s="217">
        <f t="shared" si="45"/>
        <v>0</v>
      </c>
      <c r="AG102" s="77">
        <f t="shared" si="45"/>
        <v>0</v>
      </c>
      <c r="AH102" s="77">
        <f t="shared" si="45"/>
        <v>0</v>
      </c>
      <c r="AI102" s="77">
        <f t="shared" si="45"/>
        <v>0</v>
      </c>
      <c r="AJ102" s="77">
        <f t="shared" si="45"/>
        <v>0</v>
      </c>
      <c r="AK102" s="77">
        <f t="shared" si="45"/>
        <v>0</v>
      </c>
      <c r="AL102" s="77">
        <f t="shared" si="45"/>
        <v>0</v>
      </c>
      <c r="AM102" s="77">
        <f t="shared" si="45"/>
        <v>0</v>
      </c>
      <c r="AN102" s="77">
        <f t="shared" si="45"/>
        <v>0</v>
      </c>
      <c r="AO102" s="77">
        <f t="shared" si="45"/>
        <v>0</v>
      </c>
      <c r="AP102" s="77">
        <f t="shared" si="45"/>
        <v>0</v>
      </c>
      <c r="AQ102" s="77">
        <f t="shared" si="45"/>
        <v>0</v>
      </c>
      <c r="AR102" s="77">
        <f t="shared" si="45"/>
        <v>0</v>
      </c>
      <c r="AS102" s="77">
        <f t="shared" si="45"/>
        <v>0</v>
      </c>
      <c r="AT102" s="77">
        <f t="shared" si="45"/>
        <v>0</v>
      </c>
      <c r="AU102" s="77">
        <f t="shared" si="45"/>
        <v>0</v>
      </c>
      <c r="AV102" s="77">
        <f t="shared" si="45"/>
        <v>0</v>
      </c>
      <c r="AW102" s="77">
        <f t="shared" si="45"/>
        <v>0</v>
      </c>
      <c r="AX102" s="77">
        <f t="shared" si="45"/>
        <v>0</v>
      </c>
      <c r="AY102" s="77">
        <f t="shared" si="45"/>
        <v>0</v>
      </c>
      <c r="AZ102" s="77">
        <f t="shared" si="45"/>
        <v>0</v>
      </c>
    </row>
    <row r="103" spans="1:52">
      <c r="A103" s="69" t="s">
        <v>33</v>
      </c>
      <c r="B103" s="225">
        <f t="shared" si="44"/>
        <v>0</v>
      </c>
      <c r="C103" s="225">
        <f t="shared" si="46"/>
        <v>0</v>
      </c>
      <c r="D103" s="225">
        <f t="shared" si="45"/>
        <v>0</v>
      </c>
      <c r="E103" s="225">
        <f t="shared" si="45"/>
        <v>0</v>
      </c>
      <c r="F103" s="225">
        <f t="shared" si="45"/>
        <v>0</v>
      </c>
      <c r="G103" s="225">
        <f t="shared" si="45"/>
        <v>0</v>
      </c>
      <c r="H103" s="225">
        <f t="shared" si="45"/>
        <v>0</v>
      </c>
      <c r="I103" s="225">
        <f t="shared" si="45"/>
        <v>0</v>
      </c>
      <c r="J103" s="225">
        <f t="shared" si="45"/>
        <v>0</v>
      </c>
      <c r="K103" s="225">
        <f t="shared" si="45"/>
        <v>0</v>
      </c>
      <c r="L103" s="225">
        <f t="shared" si="45"/>
        <v>0</v>
      </c>
      <c r="M103" s="225">
        <f t="shared" si="45"/>
        <v>0</v>
      </c>
      <c r="N103" s="225">
        <f t="shared" ref="D103:AZ107" si="47">(N$108-M$108)/13+N102</f>
        <v>0</v>
      </c>
      <c r="O103" s="225">
        <f t="shared" si="47"/>
        <v>0</v>
      </c>
      <c r="P103" s="225">
        <f t="shared" si="47"/>
        <v>0</v>
      </c>
      <c r="Q103" s="225">
        <f t="shared" si="47"/>
        <v>0</v>
      </c>
      <c r="R103" s="225">
        <f t="shared" si="47"/>
        <v>0</v>
      </c>
      <c r="S103" s="225">
        <f t="shared" si="47"/>
        <v>0</v>
      </c>
      <c r="T103" s="225">
        <f t="shared" si="47"/>
        <v>0</v>
      </c>
      <c r="U103" s="225">
        <f t="shared" si="47"/>
        <v>0</v>
      </c>
      <c r="V103" s="225">
        <f t="shared" si="47"/>
        <v>0</v>
      </c>
      <c r="W103" s="225">
        <f t="shared" si="47"/>
        <v>0</v>
      </c>
      <c r="X103" s="225">
        <f t="shared" si="47"/>
        <v>0</v>
      </c>
      <c r="Y103" s="225">
        <f t="shared" si="47"/>
        <v>0</v>
      </c>
      <c r="Z103" s="217">
        <f t="shared" si="47"/>
        <v>0</v>
      </c>
      <c r="AA103" s="217">
        <f t="shared" si="47"/>
        <v>0</v>
      </c>
      <c r="AB103" s="217">
        <f t="shared" si="47"/>
        <v>0</v>
      </c>
      <c r="AC103" s="217">
        <f t="shared" si="47"/>
        <v>0</v>
      </c>
      <c r="AD103" s="217">
        <f t="shared" si="47"/>
        <v>0</v>
      </c>
      <c r="AE103" s="217">
        <f t="shared" si="47"/>
        <v>0</v>
      </c>
      <c r="AF103" s="217">
        <f t="shared" si="47"/>
        <v>0</v>
      </c>
      <c r="AG103" s="77">
        <f t="shared" si="47"/>
        <v>0</v>
      </c>
      <c r="AH103" s="77">
        <f t="shared" si="47"/>
        <v>0</v>
      </c>
      <c r="AI103" s="77">
        <f t="shared" si="47"/>
        <v>0</v>
      </c>
      <c r="AJ103" s="77">
        <f t="shared" si="47"/>
        <v>0</v>
      </c>
      <c r="AK103" s="77">
        <f t="shared" si="47"/>
        <v>0</v>
      </c>
      <c r="AL103" s="77">
        <f t="shared" si="47"/>
        <v>0</v>
      </c>
      <c r="AM103" s="77">
        <f t="shared" si="47"/>
        <v>0</v>
      </c>
      <c r="AN103" s="77">
        <f t="shared" si="47"/>
        <v>0</v>
      </c>
      <c r="AO103" s="77">
        <f t="shared" si="47"/>
        <v>0</v>
      </c>
      <c r="AP103" s="77">
        <f t="shared" si="47"/>
        <v>0</v>
      </c>
      <c r="AQ103" s="77">
        <f t="shared" si="47"/>
        <v>0</v>
      </c>
      <c r="AR103" s="77">
        <f t="shared" si="47"/>
        <v>0</v>
      </c>
      <c r="AS103" s="77">
        <f t="shared" si="47"/>
        <v>0</v>
      </c>
      <c r="AT103" s="77">
        <f t="shared" si="47"/>
        <v>0</v>
      </c>
      <c r="AU103" s="77">
        <f t="shared" si="47"/>
        <v>0</v>
      </c>
      <c r="AV103" s="77">
        <f t="shared" si="47"/>
        <v>0</v>
      </c>
      <c r="AW103" s="77">
        <f t="shared" si="47"/>
        <v>0</v>
      </c>
      <c r="AX103" s="77">
        <f t="shared" si="47"/>
        <v>0</v>
      </c>
      <c r="AY103" s="77">
        <f t="shared" si="47"/>
        <v>0</v>
      </c>
      <c r="AZ103" s="77">
        <f t="shared" si="47"/>
        <v>0</v>
      </c>
    </row>
    <row r="104" spans="1:52">
      <c r="A104" s="69" t="s">
        <v>14</v>
      </c>
      <c r="B104" s="225">
        <f t="shared" si="44"/>
        <v>0</v>
      </c>
      <c r="C104" s="225">
        <f t="shared" si="46"/>
        <v>0</v>
      </c>
      <c r="D104" s="225">
        <f t="shared" si="47"/>
        <v>0</v>
      </c>
      <c r="E104" s="225">
        <f t="shared" si="47"/>
        <v>0</v>
      </c>
      <c r="F104" s="225">
        <f t="shared" si="47"/>
        <v>0</v>
      </c>
      <c r="G104" s="225">
        <f t="shared" si="47"/>
        <v>0</v>
      </c>
      <c r="H104" s="225">
        <f t="shared" si="47"/>
        <v>0</v>
      </c>
      <c r="I104" s="225">
        <f t="shared" si="47"/>
        <v>0</v>
      </c>
      <c r="J104" s="225">
        <f t="shared" si="47"/>
        <v>0</v>
      </c>
      <c r="K104" s="225">
        <f t="shared" si="47"/>
        <v>0</v>
      </c>
      <c r="L104" s="225">
        <f t="shared" si="47"/>
        <v>0</v>
      </c>
      <c r="M104" s="225">
        <f t="shared" si="47"/>
        <v>0</v>
      </c>
      <c r="N104" s="225">
        <f t="shared" si="47"/>
        <v>0</v>
      </c>
      <c r="O104" s="225">
        <f t="shared" si="47"/>
        <v>0</v>
      </c>
      <c r="P104" s="225">
        <f t="shared" si="47"/>
        <v>0</v>
      </c>
      <c r="Q104" s="225">
        <f t="shared" si="47"/>
        <v>0</v>
      </c>
      <c r="R104" s="225">
        <f t="shared" si="47"/>
        <v>0</v>
      </c>
      <c r="S104" s="225">
        <f t="shared" si="47"/>
        <v>0</v>
      </c>
      <c r="T104" s="225">
        <f t="shared" si="47"/>
        <v>0</v>
      </c>
      <c r="U104" s="225">
        <f t="shared" si="47"/>
        <v>0</v>
      </c>
      <c r="V104" s="225">
        <f t="shared" si="47"/>
        <v>0</v>
      </c>
      <c r="W104" s="225">
        <f t="shared" si="47"/>
        <v>0</v>
      </c>
      <c r="X104" s="225">
        <f t="shared" si="47"/>
        <v>0</v>
      </c>
      <c r="Y104" s="225">
        <f t="shared" si="47"/>
        <v>0</v>
      </c>
      <c r="Z104" s="217">
        <f t="shared" si="47"/>
        <v>0</v>
      </c>
      <c r="AA104" s="217">
        <f t="shared" si="47"/>
        <v>0</v>
      </c>
      <c r="AB104" s="217">
        <f t="shared" si="47"/>
        <v>0</v>
      </c>
      <c r="AC104" s="217">
        <f t="shared" si="47"/>
        <v>0</v>
      </c>
      <c r="AD104" s="217">
        <f t="shared" si="47"/>
        <v>0</v>
      </c>
      <c r="AE104" s="217">
        <f t="shared" si="47"/>
        <v>0</v>
      </c>
      <c r="AF104" s="217">
        <f t="shared" si="47"/>
        <v>0</v>
      </c>
      <c r="AG104" s="77">
        <f t="shared" si="47"/>
        <v>0</v>
      </c>
      <c r="AH104" s="77">
        <f t="shared" si="47"/>
        <v>0</v>
      </c>
      <c r="AI104" s="77">
        <f t="shared" si="47"/>
        <v>0</v>
      </c>
      <c r="AJ104" s="77">
        <f t="shared" si="47"/>
        <v>0</v>
      </c>
      <c r="AK104" s="77">
        <f t="shared" si="47"/>
        <v>0</v>
      </c>
      <c r="AL104" s="77">
        <f t="shared" si="47"/>
        <v>0</v>
      </c>
      <c r="AM104" s="77">
        <f t="shared" si="47"/>
        <v>0</v>
      </c>
      <c r="AN104" s="77">
        <f t="shared" si="47"/>
        <v>0</v>
      </c>
      <c r="AO104" s="77">
        <f t="shared" si="47"/>
        <v>0</v>
      </c>
      <c r="AP104" s="77">
        <f t="shared" si="47"/>
        <v>0</v>
      </c>
      <c r="AQ104" s="77">
        <f t="shared" si="47"/>
        <v>0</v>
      </c>
      <c r="AR104" s="77">
        <f t="shared" si="47"/>
        <v>0</v>
      </c>
      <c r="AS104" s="77">
        <f t="shared" si="47"/>
        <v>0</v>
      </c>
      <c r="AT104" s="77">
        <f t="shared" si="47"/>
        <v>0</v>
      </c>
      <c r="AU104" s="77">
        <f t="shared" si="47"/>
        <v>0</v>
      </c>
      <c r="AV104" s="77">
        <f t="shared" si="47"/>
        <v>0</v>
      </c>
      <c r="AW104" s="77">
        <f t="shared" si="47"/>
        <v>0</v>
      </c>
      <c r="AX104" s="77">
        <f t="shared" si="47"/>
        <v>0</v>
      </c>
      <c r="AY104" s="77">
        <f t="shared" si="47"/>
        <v>0</v>
      </c>
      <c r="AZ104" s="77">
        <f t="shared" si="47"/>
        <v>0</v>
      </c>
    </row>
    <row r="105" spans="1:52">
      <c r="A105" s="69" t="s">
        <v>34</v>
      </c>
      <c r="B105" s="225">
        <f t="shared" si="44"/>
        <v>0</v>
      </c>
      <c r="C105" s="225">
        <f t="shared" si="46"/>
        <v>0</v>
      </c>
      <c r="D105" s="225">
        <f t="shared" si="47"/>
        <v>0</v>
      </c>
      <c r="E105" s="225">
        <f t="shared" si="47"/>
        <v>0</v>
      </c>
      <c r="F105" s="225">
        <f t="shared" si="47"/>
        <v>0</v>
      </c>
      <c r="G105" s="225">
        <f t="shared" si="47"/>
        <v>0</v>
      </c>
      <c r="H105" s="225">
        <f t="shared" si="47"/>
        <v>0</v>
      </c>
      <c r="I105" s="225">
        <f t="shared" si="47"/>
        <v>0</v>
      </c>
      <c r="J105" s="225">
        <f t="shared" si="47"/>
        <v>0</v>
      </c>
      <c r="K105" s="225">
        <f t="shared" si="47"/>
        <v>0</v>
      </c>
      <c r="L105" s="225">
        <f t="shared" si="47"/>
        <v>0</v>
      </c>
      <c r="M105" s="225">
        <f t="shared" si="47"/>
        <v>0</v>
      </c>
      <c r="N105" s="225">
        <f t="shared" si="47"/>
        <v>0</v>
      </c>
      <c r="O105" s="225">
        <f t="shared" si="47"/>
        <v>0</v>
      </c>
      <c r="P105" s="225">
        <f t="shared" si="47"/>
        <v>0</v>
      </c>
      <c r="Q105" s="225">
        <f t="shared" si="47"/>
        <v>0</v>
      </c>
      <c r="R105" s="225">
        <f t="shared" si="47"/>
        <v>0</v>
      </c>
      <c r="S105" s="225">
        <f t="shared" si="47"/>
        <v>0</v>
      </c>
      <c r="T105" s="225">
        <f t="shared" si="47"/>
        <v>0</v>
      </c>
      <c r="U105" s="225">
        <f t="shared" si="47"/>
        <v>0</v>
      </c>
      <c r="V105" s="225">
        <f t="shared" si="47"/>
        <v>0</v>
      </c>
      <c r="W105" s="225">
        <f t="shared" si="47"/>
        <v>0</v>
      </c>
      <c r="X105" s="225">
        <f t="shared" si="47"/>
        <v>0</v>
      </c>
      <c r="Y105" s="225">
        <f t="shared" si="47"/>
        <v>0</v>
      </c>
      <c r="Z105" s="217">
        <f t="shared" si="47"/>
        <v>0</v>
      </c>
      <c r="AA105" s="217">
        <f t="shared" si="47"/>
        <v>0</v>
      </c>
      <c r="AB105" s="217">
        <f t="shared" si="47"/>
        <v>0</v>
      </c>
      <c r="AC105" s="217">
        <f t="shared" si="47"/>
        <v>0</v>
      </c>
      <c r="AD105" s="217">
        <f t="shared" si="47"/>
        <v>0</v>
      </c>
      <c r="AE105" s="217">
        <f t="shared" si="47"/>
        <v>0</v>
      </c>
      <c r="AF105" s="217">
        <f t="shared" si="47"/>
        <v>0</v>
      </c>
      <c r="AG105" s="77">
        <f t="shared" si="47"/>
        <v>0</v>
      </c>
      <c r="AH105" s="77">
        <f t="shared" si="47"/>
        <v>0</v>
      </c>
      <c r="AI105" s="77">
        <f t="shared" si="47"/>
        <v>0</v>
      </c>
      <c r="AJ105" s="77">
        <f t="shared" si="47"/>
        <v>0</v>
      </c>
      <c r="AK105" s="77">
        <f t="shared" si="47"/>
        <v>0</v>
      </c>
      <c r="AL105" s="77">
        <f t="shared" si="47"/>
        <v>0</v>
      </c>
      <c r="AM105" s="77">
        <f t="shared" si="47"/>
        <v>0</v>
      </c>
      <c r="AN105" s="77">
        <f t="shared" si="47"/>
        <v>0</v>
      </c>
      <c r="AO105" s="77">
        <f t="shared" si="47"/>
        <v>0</v>
      </c>
      <c r="AP105" s="77">
        <f t="shared" si="47"/>
        <v>0</v>
      </c>
      <c r="AQ105" s="77">
        <f t="shared" si="47"/>
        <v>0</v>
      </c>
      <c r="AR105" s="77">
        <f t="shared" si="47"/>
        <v>0</v>
      </c>
      <c r="AS105" s="77">
        <f t="shared" si="47"/>
        <v>0</v>
      </c>
      <c r="AT105" s="77">
        <f t="shared" si="47"/>
        <v>0</v>
      </c>
      <c r="AU105" s="77">
        <f t="shared" si="47"/>
        <v>0</v>
      </c>
      <c r="AV105" s="77">
        <f t="shared" si="47"/>
        <v>0</v>
      </c>
      <c r="AW105" s="77">
        <f t="shared" si="47"/>
        <v>0</v>
      </c>
      <c r="AX105" s="77">
        <f t="shared" si="47"/>
        <v>0</v>
      </c>
      <c r="AY105" s="77">
        <f t="shared" si="47"/>
        <v>0</v>
      </c>
      <c r="AZ105" s="77">
        <f t="shared" si="47"/>
        <v>0</v>
      </c>
    </row>
    <row r="106" spans="1:52">
      <c r="A106" s="69" t="s">
        <v>35</v>
      </c>
      <c r="B106" s="225">
        <f t="shared" si="44"/>
        <v>0</v>
      </c>
      <c r="C106" s="225">
        <f t="shared" si="46"/>
        <v>0</v>
      </c>
      <c r="D106" s="225">
        <f t="shared" si="47"/>
        <v>0</v>
      </c>
      <c r="E106" s="225">
        <f t="shared" si="47"/>
        <v>0</v>
      </c>
      <c r="F106" s="225">
        <f t="shared" si="47"/>
        <v>0</v>
      </c>
      <c r="G106" s="225">
        <f t="shared" si="47"/>
        <v>0</v>
      </c>
      <c r="H106" s="225">
        <f t="shared" si="47"/>
        <v>0</v>
      </c>
      <c r="I106" s="225">
        <f t="shared" si="47"/>
        <v>0</v>
      </c>
      <c r="J106" s="225">
        <f t="shared" si="47"/>
        <v>0</v>
      </c>
      <c r="K106" s="225">
        <f t="shared" si="47"/>
        <v>0</v>
      </c>
      <c r="L106" s="225">
        <f t="shared" si="47"/>
        <v>0</v>
      </c>
      <c r="M106" s="225">
        <f t="shared" si="47"/>
        <v>0</v>
      </c>
      <c r="N106" s="225">
        <f t="shared" si="47"/>
        <v>0</v>
      </c>
      <c r="O106" s="225">
        <f t="shared" si="47"/>
        <v>0</v>
      </c>
      <c r="P106" s="225">
        <f t="shared" si="47"/>
        <v>0</v>
      </c>
      <c r="Q106" s="225">
        <f t="shared" si="47"/>
        <v>0</v>
      </c>
      <c r="R106" s="225">
        <f t="shared" si="47"/>
        <v>0</v>
      </c>
      <c r="S106" s="225">
        <f t="shared" si="47"/>
        <v>0</v>
      </c>
      <c r="T106" s="225">
        <f t="shared" si="47"/>
        <v>0</v>
      </c>
      <c r="U106" s="225">
        <f t="shared" si="47"/>
        <v>0</v>
      </c>
      <c r="V106" s="225">
        <f t="shared" si="47"/>
        <v>0</v>
      </c>
      <c r="W106" s="225">
        <f t="shared" si="47"/>
        <v>0</v>
      </c>
      <c r="X106" s="225">
        <f t="shared" si="47"/>
        <v>0</v>
      </c>
      <c r="Y106" s="225">
        <f t="shared" si="47"/>
        <v>0</v>
      </c>
      <c r="Z106" s="217">
        <f t="shared" si="47"/>
        <v>0</v>
      </c>
      <c r="AA106" s="217">
        <f t="shared" si="47"/>
        <v>0</v>
      </c>
      <c r="AB106" s="217">
        <f t="shared" si="47"/>
        <v>0</v>
      </c>
      <c r="AC106" s="217">
        <f t="shared" si="47"/>
        <v>0</v>
      </c>
      <c r="AD106" s="217">
        <f t="shared" si="47"/>
        <v>0</v>
      </c>
      <c r="AE106" s="217">
        <f t="shared" si="47"/>
        <v>0</v>
      </c>
      <c r="AF106" s="217">
        <f t="shared" si="47"/>
        <v>0</v>
      </c>
      <c r="AG106" s="77">
        <f t="shared" si="47"/>
        <v>0</v>
      </c>
      <c r="AH106" s="77">
        <f t="shared" si="47"/>
        <v>0</v>
      </c>
      <c r="AI106" s="77">
        <f t="shared" si="47"/>
        <v>0</v>
      </c>
      <c r="AJ106" s="77">
        <f t="shared" si="47"/>
        <v>0</v>
      </c>
      <c r="AK106" s="77">
        <f t="shared" si="47"/>
        <v>0</v>
      </c>
      <c r="AL106" s="77">
        <f t="shared" si="47"/>
        <v>0</v>
      </c>
      <c r="AM106" s="77">
        <f t="shared" si="47"/>
        <v>0</v>
      </c>
      <c r="AN106" s="77">
        <f t="shared" si="47"/>
        <v>0</v>
      </c>
      <c r="AO106" s="77">
        <f t="shared" si="47"/>
        <v>0</v>
      </c>
      <c r="AP106" s="77">
        <f t="shared" si="47"/>
        <v>0</v>
      </c>
      <c r="AQ106" s="77">
        <f t="shared" si="47"/>
        <v>0</v>
      </c>
      <c r="AR106" s="77">
        <f t="shared" si="47"/>
        <v>0</v>
      </c>
      <c r="AS106" s="77">
        <f t="shared" si="47"/>
        <v>0</v>
      </c>
      <c r="AT106" s="77">
        <f t="shared" si="47"/>
        <v>0</v>
      </c>
      <c r="AU106" s="77">
        <f t="shared" si="47"/>
        <v>0</v>
      </c>
      <c r="AV106" s="77">
        <f t="shared" si="47"/>
        <v>0</v>
      </c>
      <c r="AW106" s="77">
        <f t="shared" si="47"/>
        <v>0</v>
      </c>
      <c r="AX106" s="77">
        <f t="shared" si="47"/>
        <v>0</v>
      </c>
      <c r="AY106" s="77">
        <f t="shared" si="47"/>
        <v>0</v>
      </c>
      <c r="AZ106" s="77">
        <f t="shared" si="47"/>
        <v>0</v>
      </c>
    </row>
    <row r="107" spans="1:52">
      <c r="A107" s="69" t="s">
        <v>36</v>
      </c>
      <c r="B107" s="225">
        <f t="shared" si="44"/>
        <v>0</v>
      </c>
      <c r="C107" s="225">
        <f t="shared" si="46"/>
        <v>0</v>
      </c>
      <c r="D107" s="225">
        <f t="shared" si="47"/>
        <v>0</v>
      </c>
      <c r="E107" s="225">
        <f t="shared" si="47"/>
        <v>0</v>
      </c>
      <c r="F107" s="225">
        <f t="shared" si="47"/>
        <v>0</v>
      </c>
      <c r="G107" s="225">
        <f t="shared" si="47"/>
        <v>0</v>
      </c>
      <c r="H107" s="225">
        <f t="shared" si="47"/>
        <v>0</v>
      </c>
      <c r="I107" s="225">
        <f t="shared" si="47"/>
        <v>0</v>
      </c>
      <c r="J107" s="225">
        <f t="shared" si="47"/>
        <v>0</v>
      </c>
      <c r="K107" s="225">
        <f t="shared" si="47"/>
        <v>0</v>
      </c>
      <c r="L107" s="225">
        <f t="shared" si="47"/>
        <v>0</v>
      </c>
      <c r="M107" s="225">
        <f t="shared" si="47"/>
        <v>0</v>
      </c>
      <c r="N107" s="225">
        <f t="shared" si="47"/>
        <v>0</v>
      </c>
      <c r="O107" s="225">
        <f t="shared" si="47"/>
        <v>0</v>
      </c>
      <c r="P107" s="225">
        <f t="shared" si="47"/>
        <v>0</v>
      </c>
      <c r="Q107" s="225">
        <f t="shared" si="47"/>
        <v>0</v>
      </c>
      <c r="R107" s="225">
        <f t="shared" si="47"/>
        <v>0</v>
      </c>
      <c r="S107" s="225">
        <f t="shared" si="47"/>
        <v>0</v>
      </c>
      <c r="T107" s="225">
        <f t="shared" si="47"/>
        <v>0</v>
      </c>
      <c r="U107" s="225">
        <f t="shared" si="47"/>
        <v>0</v>
      </c>
      <c r="V107" s="225">
        <f t="shared" si="47"/>
        <v>0</v>
      </c>
      <c r="W107" s="225">
        <f t="shared" si="47"/>
        <v>0</v>
      </c>
      <c r="X107" s="225">
        <f t="shared" si="47"/>
        <v>0</v>
      </c>
      <c r="Y107" s="225">
        <f>(Y$108-X$108)/13+Y106</f>
        <v>0</v>
      </c>
      <c r="Z107" s="217">
        <f>(Z$108-Y$108)/13+Z106</f>
        <v>0</v>
      </c>
      <c r="AA107" s="217">
        <f>(AA$108-Z$108)/13+AA106</f>
        <v>0</v>
      </c>
      <c r="AB107" s="217">
        <f>(AB$108-AA$108)/13+AB106</f>
        <v>0</v>
      </c>
      <c r="AC107" s="217">
        <f>(AC$108-AB$108)/13+AC106</f>
        <v>0</v>
      </c>
      <c r="AD107" s="217">
        <f t="shared" si="47"/>
        <v>0</v>
      </c>
      <c r="AE107" s="217">
        <f t="shared" si="47"/>
        <v>0</v>
      </c>
      <c r="AF107" s="217">
        <f t="shared" si="47"/>
        <v>0</v>
      </c>
      <c r="AG107" s="77">
        <f t="shared" si="47"/>
        <v>0</v>
      </c>
      <c r="AH107" s="77">
        <f t="shared" si="47"/>
        <v>0</v>
      </c>
      <c r="AI107" s="77">
        <f t="shared" si="47"/>
        <v>0</v>
      </c>
      <c r="AJ107" s="77">
        <f t="shared" si="47"/>
        <v>0</v>
      </c>
      <c r="AK107" s="77">
        <f t="shared" si="47"/>
        <v>0</v>
      </c>
      <c r="AL107" s="77">
        <f t="shared" si="47"/>
        <v>0</v>
      </c>
      <c r="AM107" s="77">
        <f t="shared" si="47"/>
        <v>0</v>
      </c>
      <c r="AN107" s="77">
        <f t="shared" si="47"/>
        <v>0</v>
      </c>
      <c r="AO107" s="77">
        <f t="shared" si="47"/>
        <v>0</v>
      </c>
      <c r="AP107" s="77">
        <f t="shared" si="47"/>
        <v>0</v>
      </c>
      <c r="AQ107" s="77">
        <f t="shared" si="47"/>
        <v>0</v>
      </c>
      <c r="AR107" s="77">
        <f t="shared" si="47"/>
        <v>0</v>
      </c>
      <c r="AS107" s="77">
        <f t="shared" si="47"/>
        <v>0</v>
      </c>
      <c r="AT107" s="77">
        <f t="shared" si="47"/>
        <v>0</v>
      </c>
      <c r="AU107" s="77">
        <f t="shared" si="47"/>
        <v>0</v>
      </c>
      <c r="AV107" s="77">
        <f t="shared" si="47"/>
        <v>0</v>
      </c>
      <c r="AW107" s="77">
        <f t="shared" si="47"/>
        <v>0</v>
      </c>
      <c r="AX107" s="77">
        <f t="shared" si="47"/>
        <v>0</v>
      </c>
      <c r="AY107" s="77">
        <f t="shared" si="47"/>
        <v>0</v>
      </c>
      <c r="AZ107" s="77">
        <f t="shared" si="47"/>
        <v>0</v>
      </c>
    </row>
    <row r="108" spans="1:52" ht="12" thickBot="1">
      <c r="A108" s="69" t="s">
        <v>37</v>
      </c>
      <c r="B108" s="219">
        <f t="shared" ref="B108:AZ108" si="48">B11</f>
        <v>0</v>
      </c>
      <c r="C108" s="219">
        <f t="shared" si="48"/>
        <v>0</v>
      </c>
      <c r="D108" s="219">
        <f t="shared" si="48"/>
        <v>0</v>
      </c>
      <c r="E108" s="219">
        <f t="shared" si="48"/>
        <v>0</v>
      </c>
      <c r="F108" s="219">
        <f t="shared" si="48"/>
        <v>0</v>
      </c>
      <c r="G108" s="219">
        <f t="shared" si="48"/>
        <v>0</v>
      </c>
      <c r="H108" s="219">
        <f t="shared" si="48"/>
        <v>0</v>
      </c>
      <c r="I108" s="219">
        <f t="shared" si="48"/>
        <v>0</v>
      </c>
      <c r="J108" s="219">
        <f t="shared" si="48"/>
        <v>0</v>
      </c>
      <c r="K108" s="219">
        <f t="shared" si="48"/>
        <v>0</v>
      </c>
      <c r="L108" s="219">
        <f t="shared" si="48"/>
        <v>0</v>
      </c>
      <c r="M108" s="219">
        <f t="shared" si="48"/>
        <v>0</v>
      </c>
      <c r="N108" s="219">
        <f t="shared" si="48"/>
        <v>0</v>
      </c>
      <c r="O108" s="219">
        <f t="shared" si="48"/>
        <v>0</v>
      </c>
      <c r="P108" s="219">
        <f t="shared" si="48"/>
        <v>0</v>
      </c>
      <c r="Q108" s="219">
        <f t="shared" si="48"/>
        <v>0</v>
      </c>
      <c r="R108" s="219">
        <f t="shared" si="48"/>
        <v>0</v>
      </c>
      <c r="S108" s="219">
        <f t="shared" si="48"/>
        <v>0</v>
      </c>
      <c r="T108" s="219">
        <f t="shared" si="48"/>
        <v>0</v>
      </c>
      <c r="U108" s="219">
        <f t="shared" si="48"/>
        <v>0</v>
      </c>
      <c r="V108" s="219">
        <f t="shared" si="48"/>
        <v>0</v>
      </c>
      <c r="W108" s="219">
        <f t="shared" si="48"/>
        <v>0</v>
      </c>
      <c r="X108" s="219">
        <f t="shared" si="48"/>
        <v>0</v>
      </c>
      <c r="Y108" s="219">
        <f t="shared" si="48"/>
        <v>0</v>
      </c>
      <c r="Z108" s="220">
        <f t="shared" si="48"/>
        <v>0</v>
      </c>
      <c r="AA108" s="220">
        <f t="shared" si="48"/>
        <v>0</v>
      </c>
      <c r="AB108" s="220">
        <f t="shared" si="48"/>
        <v>0</v>
      </c>
      <c r="AC108" s="220">
        <f t="shared" si="48"/>
        <v>0</v>
      </c>
      <c r="AD108" s="220">
        <f t="shared" si="48"/>
        <v>0</v>
      </c>
      <c r="AE108" s="220">
        <f t="shared" si="48"/>
        <v>0</v>
      </c>
      <c r="AF108" s="220">
        <f t="shared" si="48"/>
        <v>0</v>
      </c>
      <c r="AG108" s="221">
        <f t="shared" si="48"/>
        <v>0</v>
      </c>
      <c r="AH108" s="221">
        <f t="shared" si="48"/>
        <v>0</v>
      </c>
      <c r="AI108" s="221">
        <f t="shared" si="48"/>
        <v>0</v>
      </c>
      <c r="AJ108" s="221">
        <f t="shared" si="48"/>
        <v>0</v>
      </c>
      <c r="AK108" s="221">
        <f t="shared" si="48"/>
        <v>0</v>
      </c>
      <c r="AL108" s="221">
        <f t="shared" si="48"/>
        <v>0</v>
      </c>
      <c r="AM108" s="221">
        <f t="shared" si="48"/>
        <v>0</v>
      </c>
      <c r="AN108" s="221">
        <f t="shared" si="48"/>
        <v>0</v>
      </c>
      <c r="AO108" s="221">
        <f t="shared" si="48"/>
        <v>0</v>
      </c>
      <c r="AP108" s="221">
        <f t="shared" si="48"/>
        <v>0</v>
      </c>
      <c r="AQ108" s="221">
        <f t="shared" si="48"/>
        <v>0</v>
      </c>
      <c r="AR108" s="221">
        <f t="shared" si="48"/>
        <v>0</v>
      </c>
      <c r="AS108" s="221">
        <f t="shared" si="48"/>
        <v>0</v>
      </c>
      <c r="AT108" s="221">
        <f t="shared" si="48"/>
        <v>0</v>
      </c>
      <c r="AU108" s="221">
        <f t="shared" si="48"/>
        <v>0</v>
      </c>
      <c r="AV108" s="221">
        <f t="shared" si="48"/>
        <v>0</v>
      </c>
      <c r="AW108" s="221">
        <f t="shared" si="48"/>
        <v>0</v>
      </c>
      <c r="AX108" s="221">
        <f t="shared" si="48"/>
        <v>0</v>
      </c>
      <c r="AY108" s="221">
        <f t="shared" si="48"/>
        <v>0</v>
      </c>
      <c r="AZ108" s="221">
        <f t="shared" si="48"/>
        <v>0</v>
      </c>
    </row>
    <row r="109" spans="1:52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  <c r="AD109" s="199"/>
      <c r="AE109" s="199"/>
      <c r="AF109" s="199"/>
      <c r="AG109" s="199"/>
      <c r="AH109" s="199"/>
      <c r="AI109" s="199"/>
      <c r="AJ109" s="199"/>
      <c r="AK109" s="199"/>
      <c r="AL109" s="199"/>
      <c r="AM109" s="199"/>
      <c r="AN109" s="199"/>
      <c r="AO109" s="199"/>
      <c r="AP109" s="199"/>
      <c r="AQ109" s="199"/>
      <c r="AR109" s="199"/>
      <c r="AS109" s="199"/>
      <c r="AT109" s="199"/>
      <c r="AU109" s="199"/>
      <c r="AV109" s="199"/>
      <c r="AW109" s="199"/>
      <c r="AX109" s="199"/>
      <c r="AY109" s="199"/>
      <c r="AZ109" s="199"/>
    </row>
    <row r="110" spans="1:52" ht="12" thickBot="1">
      <c r="A110" s="69" t="s">
        <v>355</v>
      </c>
    </row>
    <row r="111" spans="1:52" ht="12" thickBot="1">
      <c r="A111" s="202"/>
      <c r="B111" s="203" t="str">
        <f>B$2</f>
        <v xml:space="preserve">93/94 </v>
      </c>
      <c r="C111" s="203" t="str">
        <f t="shared" ref="C111:AZ111" si="49">C$2</f>
        <v xml:space="preserve">94/95 </v>
      </c>
      <c r="D111" s="203" t="str">
        <f t="shared" si="49"/>
        <v xml:space="preserve">95/96 </v>
      </c>
      <c r="E111" s="203" t="str">
        <f t="shared" si="49"/>
        <v xml:space="preserve">96/97 </v>
      </c>
      <c r="F111" s="203" t="str">
        <f t="shared" si="49"/>
        <v xml:space="preserve">97/98 </v>
      </c>
      <c r="G111" s="203" t="str">
        <f t="shared" si="49"/>
        <v xml:space="preserve">98/99 </v>
      </c>
      <c r="H111" s="203" t="str">
        <f t="shared" si="49"/>
        <v xml:space="preserve">99/00 </v>
      </c>
      <c r="I111" s="203" t="str">
        <f t="shared" si="49"/>
        <v xml:space="preserve">00/01 </v>
      </c>
      <c r="J111" s="203" t="str">
        <f t="shared" si="49"/>
        <v xml:space="preserve">01/02 </v>
      </c>
      <c r="K111" s="203" t="str">
        <f t="shared" si="49"/>
        <v xml:space="preserve">02/03 </v>
      </c>
      <c r="L111" s="203" t="str">
        <f t="shared" si="49"/>
        <v xml:space="preserve">03/04 </v>
      </c>
      <c r="M111" s="203" t="str">
        <f t="shared" si="49"/>
        <v xml:space="preserve">04/05 </v>
      </c>
      <c r="N111" s="203" t="str">
        <f t="shared" si="49"/>
        <v xml:space="preserve">05/06 </v>
      </c>
      <c r="O111" s="203" t="str">
        <f t="shared" si="49"/>
        <v xml:space="preserve">06/07 </v>
      </c>
      <c r="P111" s="203" t="str">
        <f t="shared" si="49"/>
        <v xml:space="preserve">07/08 </v>
      </c>
      <c r="Q111" s="203" t="str">
        <f t="shared" si="49"/>
        <v xml:space="preserve">08/09 </v>
      </c>
      <c r="R111" s="203" t="str">
        <f t="shared" si="49"/>
        <v xml:space="preserve">09/10 </v>
      </c>
      <c r="S111" s="203" t="str">
        <f t="shared" si="49"/>
        <v xml:space="preserve">10/11 </v>
      </c>
      <c r="T111" s="203" t="str">
        <f t="shared" si="49"/>
        <v xml:space="preserve">11/12 </v>
      </c>
      <c r="U111" s="203" t="str">
        <f t="shared" si="49"/>
        <v xml:space="preserve">12/13 </v>
      </c>
      <c r="V111" s="203" t="str">
        <f t="shared" si="49"/>
        <v xml:space="preserve">13/14 </v>
      </c>
      <c r="W111" s="203" t="str">
        <f t="shared" si="49"/>
        <v xml:space="preserve">14/15 </v>
      </c>
      <c r="X111" s="203" t="str">
        <f t="shared" si="49"/>
        <v xml:space="preserve">15/16 </v>
      </c>
      <c r="Y111" s="203" t="str">
        <f t="shared" si="49"/>
        <v xml:space="preserve">16/17 </v>
      </c>
      <c r="Z111" s="203" t="str">
        <f t="shared" si="49"/>
        <v xml:space="preserve">17/18 </v>
      </c>
      <c r="AA111" s="203" t="str">
        <f t="shared" si="49"/>
        <v xml:space="preserve">18/19 </v>
      </c>
      <c r="AB111" s="203" t="str">
        <f t="shared" si="49"/>
        <v xml:space="preserve">19/20 </v>
      </c>
      <c r="AC111" s="203" t="str">
        <f t="shared" si="49"/>
        <v xml:space="preserve">20/21 </v>
      </c>
      <c r="AD111" s="203" t="str">
        <f t="shared" si="49"/>
        <v>21/22</v>
      </c>
      <c r="AE111" s="203" t="str">
        <f t="shared" si="49"/>
        <v>22/23</v>
      </c>
      <c r="AF111" s="203" t="str">
        <f t="shared" si="49"/>
        <v>23/24</v>
      </c>
      <c r="AG111" s="203" t="str">
        <f t="shared" si="49"/>
        <v>24/25</v>
      </c>
      <c r="AH111" s="203" t="str">
        <f t="shared" si="49"/>
        <v>25/26</v>
      </c>
      <c r="AI111" s="203" t="str">
        <f t="shared" si="49"/>
        <v>26/27</v>
      </c>
      <c r="AJ111" s="203" t="str">
        <f t="shared" si="49"/>
        <v>27/28</v>
      </c>
      <c r="AK111" s="203" t="str">
        <f t="shared" si="49"/>
        <v>28/29</v>
      </c>
      <c r="AL111" s="203" t="str">
        <f t="shared" si="49"/>
        <v>29/30</v>
      </c>
      <c r="AM111" s="203" t="str">
        <f t="shared" si="49"/>
        <v>30/31</v>
      </c>
      <c r="AN111" s="203" t="str">
        <f t="shared" si="49"/>
        <v>31/32</v>
      </c>
      <c r="AO111" s="203" t="str">
        <f t="shared" si="49"/>
        <v>32/33</v>
      </c>
      <c r="AP111" s="203" t="str">
        <f t="shared" si="49"/>
        <v>33/34</v>
      </c>
      <c r="AQ111" s="203" t="str">
        <f t="shared" si="49"/>
        <v>34/35</v>
      </c>
      <c r="AR111" s="203" t="str">
        <f t="shared" si="49"/>
        <v>35/36</v>
      </c>
      <c r="AS111" s="203" t="str">
        <f t="shared" si="49"/>
        <v>36/37</v>
      </c>
      <c r="AT111" s="203" t="str">
        <f t="shared" si="49"/>
        <v>37/38</v>
      </c>
      <c r="AU111" s="203" t="str">
        <f t="shared" si="49"/>
        <v>38/39</v>
      </c>
      <c r="AV111" s="203" t="str">
        <f t="shared" si="49"/>
        <v>39/40</v>
      </c>
      <c r="AW111" s="203" t="str">
        <f t="shared" si="49"/>
        <v>40/41</v>
      </c>
      <c r="AX111" s="203" t="str">
        <f t="shared" si="49"/>
        <v>41/42</v>
      </c>
      <c r="AY111" s="203" t="str">
        <f t="shared" si="49"/>
        <v>42/43</v>
      </c>
      <c r="AZ111" s="203" t="str">
        <f t="shared" si="49"/>
        <v>43/44</v>
      </c>
    </row>
    <row r="112" spans="1:52">
      <c r="A112" s="69" t="s">
        <v>38</v>
      </c>
      <c r="I112" s="87">
        <v>97.5</v>
      </c>
      <c r="J112" s="87">
        <v>92.5</v>
      </c>
      <c r="K112" s="87">
        <v>100.1521</v>
      </c>
      <c r="L112" s="87">
        <v>107.43470000000001</v>
      </c>
      <c r="M112" s="87">
        <v>76.619</v>
      </c>
      <c r="N112" s="87">
        <v>60</v>
      </c>
      <c r="O112" s="87">
        <v>86.931799999999996</v>
      </c>
      <c r="P112" s="87">
        <v>120.21729999999999</v>
      </c>
      <c r="Q112" s="87">
        <v>127.2826</v>
      </c>
      <c r="R112" s="87">
        <v>114.5454</v>
      </c>
      <c r="S112" s="87">
        <v>146.78569999999999</v>
      </c>
      <c r="T112" s="87">
        <v>212.02379999999999</v>
      </c>
      <c r="U112" s="87">
        <v>272.4348</v>
      </c>
      <c r="V112" s="87">
        <v>219.13040000000001</v>
      </c>
      <c r="W112" s="87">
        <v>98.912999999999997</v>
      </c>
      <c r="X112" s="87">
        <v>123.63639999999999</v>
      </c>
      <c r="Y112" s="87">
        <v>112.381</v>
      </c>
      <c r="Z112" s="87">
        <v>113.13639999999999</v>
      </c>
      <c r="AA112" s="87">
        <v>141.41300000000001</v>
      </c>
      <c r="AB112" s="87">
        <v>141.41300000000001</v>
      </c>
      <c r="AC112" s="87">
        <v>177.38640000000001</v>
      </c>
      <c r="AD112" s="87">
        <v>178.21430000000001</v>
      </c>
      <c r="AE112" s="87">
        <v>234.28569999999999</v>
      </c>
      <c r="AF112" s="217">
        <f t="shared" ref="AF112:AF116" si="50">AF$124*SUM(AA112:AE112)/SUM(AA$124:AE$124)</f>
        <v>186.13657093597806</v>
      </c>
      <c r="AG112" s="217">
        <f t="shared" ref="AG112:AG123" si="51">AG$124*SUM(AB112:AF112)/SUM(AB$124:AF$124)</f>
        <v>167.08599072279685</v>
      </c>
      <c r="AH112" s="217">
        <f t="shared" ref="AH112:AW123" si="52">AH$124*SUM(AC112:AG112)/SUM(AC$124:AG$124)</f>
        <v>167.90121988163409</v>
      </c>
      <c r="AI112" s="217">
        <f t="shared" si="52"/>
        <v>171.02922621554819</v>
      </c>
      <c r="AJ112" s="217">
        <f t="shared" si="52"/>
        <v>177.10714050285384</v>
      </c>
      <c r="AK112" s="217">
        <f t="shared" si="52"/>
        <v>176.01848788434492</v>
      </c>
      <c r="AL112" s="217">
        <f t="shared" si="52"/>
        <v>177.47983499250179</v>
      </c>
      <c r="AM112" s="217">
        <f t="shared" si="52"/>
        <v>179.39516524274703</v>
      </c>
      <c r="AN112" s="217">
        <f t="shared" si="52"/>
        <v>181.53362752957378</v>
      </c>
      <c r="AO112" s="217">
        <f t="shared" si="52"/>
        <v>183.52001807093393</v>
      </c>
      <c r="AP112" s="217">
        <f t="shared" si="52"/>
        <v>184.64282725751616</v>
      </c>
      <c r="AQ112" s="217">
        <f t="shared" si="52"/>
        <v>186.22890457121807</v>
      </c>
      <c r="AR112" s="217">
        <f t="shared" si="52"/>
        <v>187.86132379328998</v>
      </c>
      <c r="AS112" s="217">
        <f t="shared" si="52"/>
        <v>189.4404761589318</v>
      </c>
      <c r="AT112" s="217">
        <f t="shared" si="52"/>
        <v>190.91664145851311</v>
      </c>
      <c r="AU112" s="217">
        <f t="shared" si="52"/>
        <v>192.29497826442261</v>
      </c>
      <c r="AV112" s="217">
        <f t="shared" si="52"/>
        <v>193.72942491562301</v>
      </c>
      <c r="AW112" s="217">
        <f t="shared" si="52"/>
        <v>195.13910492655657</v>
      </c>
      <c r="AX112" s="217">
        <f t="shared" ref="AX112:AZ123" si="53">AX$124*SUM(AS112:AW112)/SUM(AS$124:AW$124)</f>
        <v>196.29742435769651</v>
      </c>
      <c r="AY112" s="217">
        <f t="shared" si="53"/>
        <v>197.30966480634274</v>
      </c>
      <c r="AZ112" s="217">
        <f t="shared" si="53"/>
        <v>198.19435752740574</v>
      </c>
    </row>
    <row r="113" spans="1:52">
      <c r="A113" s="69" t="s">
        <v>39</v>
      </c>
      <c r="I113" s="87"/>
      <c r="J113" s="87">
        <v>88.452299999999994</v>
      </c>
      <c r="K113" s="87">
        <v>97.210499999999996</v>
      </c>
      <c r="L113" s="87">
        <v>125.61109999999999</v>
      </c>
      <c r="M113" s="87">
        <v>72.5</v>
      </c>
      <c r="N113" s="87">
        <v>60.75</v>
      </c>
      <c r="O113" s="87">
        <v>109.875</v>
      </c>
      <c r="P113" s="87">
        <v>133.25</v>
      </c>
      <c r="Q113" s="87">
        <v>122.52630000000001</v>
      </c>
      <c r="R113" s="87">
        <v>126.625</v>
      </c>
      <c r="S113" s="87">
        <v>160.59520000000001</v>
      </c>
      <c r="T113" s="87">
        <v>218.92850000000001</v>
      </c>
      <c r="U113" s="87">
        <v>259</v>
      </c>
      <c r="V113" s="87">
        <v>214.375</v>
      </c>
      <c r="W113" s="87">
        <v>109.7368</v>
      </c>
      <c r="X113" s="87">
        <v>132.75</v>
      </c>
      <c r="Y113" s="87">
        <v>106.90479999999999</v>
      </c>
      <c r="Z113" s="87">
        <v>118.8571</v>
      </c>
      <c r="AA113" s="87">
        <v>142.5</v>
      </c>
      <c r="AB113" s="87">
        <v>142.5</v>
      </c>
      <c r="AC113" s="87">
        <v>196.875</v>
      </c>
      <c r="AD113" s="87">
        <v>183.45240000000001</v>
      </c>
      <c r="AE113" s="87">
        <v>228.57140000000001</v>
      </c>
      <c r="AF113" s="217">
        <f t="shared" si="50"/>
        <v>190.6553148503283</v>
      </c>
      <c r="AG113" s="217">
        <f t="shared" si="51"/>
        <v>171.56951556376114</v>
      </c>
      <c r="AH113" s="217">
        <f t="shared" si="52"/>
        <v>172.88865744168461</v>
      </c>
      <c r="AI113" s="217">
        <f t="shared" si="52"/>
        <v>173.50474641359037</v>
      </c>
      <c r="AJ113" s="217">
        <f t="shared" si="52"/>
        <v>179.16239341554564</v>
      </c>
      <c r="AK113" s="217">
        <f t="shared" si="52"/>
        <v>179.76874238526153</v>
      </c>
      <c r="AL113" s="217">
        <f t="shared" si="52"/>
        <v>181.14700528461947</v>
      </c>
      <c r="AM113" s="217">
        <f t="shared" si="52"/>
        <v>182.88917979626962</v>
      </c>
      <c r="AN113" s="217">
        <f t="shared" si="52"/>
        <v>184.71545028967745</v>
      </c>
      <c r="AO113" s="217">
        <f t="shared" si="52"/>
        <v>186.84414807235584</v>
      </c>
      <c r="AP113" s="217">
        <f t="shared" si="52"/>
        <v>188.22432599115047</v>
      </c>
      <c r="AQ113" s="217">
        <f t="shared" si="52"/>
        <v>189.77213833317876</v>
      </c>
      <c r="AR113" s="217">
        <f t="shared" si="52"/>
        <v>191.37601468681993</v>
      </c>
      <c r="AS113" s="217">
        <f t="shared" si="52"/>
        <v>192.95646985921434</v>
      </c>
      <c r="AT113" s="217">
        <f t="shared" si="52"/>
        <v>194.49843766750004</v>
      </c>
      <c r="AU113" s="217">
        <f t="shared" si="52"/>
        <v>195.92697990055987</v>
      </c>
      <c r="AV113" s="217">
        <f t="shared" si="52"/>
        <v>197.36927912083692</v>
      </c>
      <c r="AW113" s="217">
        <f t="shared" si="52"/>
        <v>198.7963851091933</v>
      </c>
      <c r="AX113" s="217">
        <f t="shared" si="53"/>
        <v>199.97767731859449</v>
      </c>
      <c r="AY113" s="217">
        <f t="shared" si="53"/>
        <v>201.0161701506303</v>
      </c>
      <c r="AZ113" s="217">
        <f t="shared" si="53"/>
        <v>201.91842031640931</v>
      </c>
    </row>
    <row r="114" spans="1:52">
      <c r="A114" s="69" t="s">
        <v>40</v>
      </c>
      <c r="I114" s="87">
        <v>85.961500000000001</v>
      </c>
      <c r="J114" s="87">
        <v>84.973600000000005</v>
      </c>
      <c r="K114" s="87">
        <v>97.2</v>
      </c>
      <c r="L114" s="87">
        <v>131.4761</v>
      </c>
      <c r="M114" s="87">
        <v>70</v>
      </c>
      <c r="N114" s="87">
        <v>72.625</v>
      </c>
      <c r="O114" s="87">
        <v>130</v>
      </c>
      <c r="P114" s="87">
        <v>148.5</v>
      </c>
      <c r="Q114" s="87">
        <v>105.25</v>
      </c>
      <c r="R114" s="87">
        <v>127.7045</v>
      </c>
      <c r="S114" s="87">
        <v>165.4545</v>
      </c>
      <c r="T114" s="87">
        <v>188.09520000000001</v>
      </c>
      <c r="U114" s="87">
        <v>260</v>
      </c>
      <c r="V114" s="87">
        <v>214.52379999999999</v>
      </c>
      <c r="W114" s="87">
        <v>156.93180000000001</v>
      </c>
      <c r="X114" s="87">
        <v>125</v>
      </c>
      <c r="Y114" s="87">
        <v>110.47620000000001</v>
      </c>
      <c r="Z114" s="87">
        <v>127.75</v>
      </c>
      <c r="AA114" s="87">
        <v>153.75</v>
      </c>
      <c r="AB114" s="87">
        <v>145.45240000000001</v>
      </c>
      <c r="AC114" s="87">
        <v>206.47730000000001</v>
      </c>
      <c r="AD114" s="87">
        <v>191.42859999999999</v>
      </c>
      <c r="AE114" s="87">
        <v>238.33330000000001</v>
      </c>
      <c r="AF114" s="217">
        <f t="shared" si="50"/>
        <v>199.51577602754907</v>
      </c>
      <c r="AG114" s="217">
        <f t="shared" si="51"/>
        <v>178.70021638765641</v>
      </c>
      <c r="AH114" s="217">
        <f t="shared" si="52"/>
        <v>180.60295389643122</v>
      </c>
      <c r="AI114" s="217">
        <f t="shared" si="52"/>
        <v>181.09673354424191</v>
      </c>
      <c r="AJ114" s="217">
        <f t="shared" si="52"/>
        <v>187.01170198487367</v>
      </c>
      <c r="AK114" s="217">
        <f t="shared" si="52"/>
        <v>187.69565872428134</v>
      </c>
      <c r="AL114" s="217">
        <f t="shared" si="52"/>
        <v>189.04101299170742</v>
      </c>
      <c r="AM114" s="217">
        <f t="shared" si="52"/>
        <v>190.93047917014107</v>
      </c>
      <c r="AN114" s="217">
        <f t="shared" si="52"/>
        <v>192.81382557326654</v>
      </c>
      <c r="AO114" s="217">
        <f t="shared" si="52"/>
        <v>195.03891439985225</v>
      </c>
      <c r="AP114" s="217">
        <f t="shared" si="52"/>
        <v>196.48138239287459</v>
      </c>
      <c r="AQ114" s="217">
        <f t="shared" si="52"/>
        <v>198.08871511548102</v>
      </c>
      <c r="AR114" s="217">
        <f t="shared" si="52"/>
        <v>199.77202964436174</v>
      </c>
      <c r="AS114" s="217">
        <f t="shared" si="52"/>
        <v>201.4182094881177</v>
      </c>
      <c r="AT114" s="217">
        <f t="shared" si="52"/>
        <v>203.02820106285884</v>
      </c>
      <c r="AU114" s="217">
        <f t="shared" si="52"/>
        <v>204.51925238015477</v>
      </c>
      <c r="AV114" s="217">
        <f t="shared" si="52"/>
        <v>206.02427498643826</v>
      </c>
      <c r="AW114" s="217">
        <f t="shared" si="52"/>
        <v>207.51503999850885</v>
      </c>
      <c r="AX114" s="217">
        <f t="shared" si="53"/>
        <v>208.74756941038731</v>
      </c>
      <c r="AY114" s="217">
        <f t="shared" si="53"/>
        <v>209.83165397130821</v>
      </c>
      <c r="AZ114" s="217">
        <f t="shared" si="53"/>
        <v>210.7734491591838</v>
      </c>
    </row>
    <row r="115" spans="1:52">
      <c r="A115" s="69" t="s">
        <v>30</v>
      </c>
      <c r="I115" s="87">
        <v>97.083299999999994</v>
      </c>
      <c r="J115" s="87">
        <v>79.795400000000001</v>
      </c>
      <c r="K115" s="87">
        <v>92.047600000000003</v>
      </c>
      <c r="L115" s="87">
        <v>123.5</v>
      </c>
      <c r="M115" s="87">
        <v>70</v>
      </c>
      <c r="N115" s="87">
        <v>83.55</v>
      </c>
      <c r="O115" s="87">
        <v>128.35</v>
      </c>
      <c r="P115" s="87">
        <v>166.19040000000001</v>
      </c>
      <c r="Q115" s="87">
        <v>120.125</v>
      </c>
      <c r="R115" s="87">
        <v>121.2368</v>
      </c>
      <c r="S115" s="87">
        <v>176.5</v>
      </c>
      <c r="T115" s="87">
        <v>188.75</v>
      </c>
      <c r="U115" s="87">
        <v>261.90480000000002</v>
      </c>
      <c r="V115" s="87">
        <v>193.09520000000001</v>
      </c>
      <c r="W115" s="87">
        <v>186.375</v>
      </c>
      <c r="X115" s="87">
        <v>133.65790000000001</v>
      </c>
      <c r="Y115" s="87">
        <v>104</v>
      </c>
      <c r="Z115" s="87">
        <v>143.07140000000001</v>
      </c>
      <c r="AA115" s="87">
        <v>150.95240000000001</v>
      </c>
      <c r="AB115" s="87">
        <v>149.78569999999999</v>
      </c>
      <c r="AC115" s="87">
        <v>220.7895</v>
      </c>
      <c r="AD115" s="87">
        <v>202.625</v>
      </c>
      <c r="AE115" s="87">
        <v>245</v>
      </c>
      <c r="AF115" s="217">
        <f t="shared" si="50"/>
        <v>206.7058307842166</v>
      </c>
      <c r="AG115" s="217">
        <f t="shared" si="51"/>
        <v>186.65873693249864</v>
      </c>
      <c r="AH115" s="217">
        <f t="shared" si="52"/>
        <v>189.02799990455586</v>
      </c>
      <c r="AI115" s="217">
        <f t="shared" si="52"/>
        <v>188.68746818770103</v>
      </c>
      <c r="AJ115" s="217">
        <f t="shared" si="52"/>
        <v>194.2438589381222</v>
      </c>
      <c r="AK115" s="217">
        <f t="shared" si="52"/>
        <v>195.47065698612943</v>
      </c>
      <c r="AL115" s="217">
        <f t="shared" si="52"/>
        <v>197.09372363394107</v>
      </c>
      <c r="AM115" s="217">
        <f t="shared" si="52"/>
        <v>198.99223025601748</v>
      </c>
      <c r="AN115" s="217">
        <f t="shared" si="52"/>
        <v>200.79039251380451</v>
      </c>
      <c r="AO115" s="217">
        <f t="shared" si="52"/>
        <v>203.08717431064363</v>
      </c>
      <c r="AP115" s="217">
        <f t="shared" si="52"/>
        <v>204.68886643462446</v>
      </c>
      <c r="AQ115" s="217">
        <f t="shared" si="52"/>
        <v>206.37679332137338</v>
      </c>
      <c r="AR115" s="217">
        <f t="shared" si="52"/>
        <v>208.10114957783892</v>
      </c>
      <c r="AS115" s="217">
        <f t="shared" si="52"/>
        <v>209.79519784671231</v>
      </c>
      <c r="AT115" s="217">
        <f t="shared" si="52"/>
        <v>211.48087113153076</v>
      </c>
      <c r="AU115" s="217">
        <f t="shared" si="52"/>
        <v>213.04870008407175</v>
      </c>
      <c r="AV115" s="217">
        <f t="shared" si="52"/>
        <v>214.61377719644111</v>
      </c>
      <c r="AW115" s="217">
        <f t="shared" si="52"/>
        <v>216.1606778470001</v>
      </c>
      <c r="AX115" s="217">
        <f t="shared" si="53"/>
        <v>217.44331716223112</v>
      </c>
      <c r="AY115" s="217">
        <f t="shared" si="53"/>
        <v>218.57530001951267</v>
      </c>
      <c r="AZ115" s="217">
        <f t="shared" si="53"/>
        <v>219.55785996555542</v>
      </c>
    </row>
    <row r="116" spans="1:52">
      <c r="A116" s="69" t="s">
        <v>31</v>
      </c>
      <c r="I116" s="87">
        <v>101.86839999999999</v>
      </c>
      <c r="J116" s="87">
        <v>76.105199999999996</v>
      </c>
      <c r="K116" s="87">
        <v>91.526300000000006</v>
      </c>
      <c r="L116" s="87">
        <v>122.8947</v>
      </c>
      <c r="M116" s="87">
        <v>69.052599999999998</v>
      </c>
      <c r="N116" s="87">
        <v>84.868399999999994</v>
      </c>
      <c r="O116" s="87">
        <v>129.86840000000001</v>
      </c>
      <c r="P116" s="87">
        <v>164.5</v>
      </c>
      <c r="Q116" s="87">
        <v>133.94730000000001</v>
      </c>
      <c r="R116" s="87">
        <v>113.8947</v>
      </c>
      <c r="S116" s="87">
        <v>190.13149999999999</v>
      </c>
      <c r="T116" s="87">
        <v>191.125</v>
      </c>
      <c r="U116" s="87">
        <v>269.63159999999999</v>
      </c>
      <c r="V116" s="87">
        <v>218.02629999999999</v>
      </c>
      <c r="W116" s="87">
        <v>186.84209999999999</v>
      </c>
      <c r="X116" s="87">
        <v>141.75</v>
      </c>
      <c r="Y116" s="87">
        <v>95.526300000000006</v>
      </c>
      <c r="Z116" s="87">
        <v>155.05260000000001</v>
      </c>
      <c r="AA116" s="87">
        <v>137.8947</v>
      </c>
      <c r="AB116" s="87">
        <v>153.7895</v>
      </c>
      <c r="AC116" s="87">
        <v>237.63159999999999</v>
      </c>
      <c r="AD116" s="87">
        <v>218.94739999999999</v>
      </c>
      <c r="AE116" s="87">
        <v>245.65790000000001</v>
      </c>
      <c r="AF116" s="217">
        <f t="shared" si="50"/>
        <v>211.98858333503151</v>
      </c>
      <c r="AG116" s="217">
        <f t="shared" si="51"/>
        <v>194.50985927145211</v>
      </c>
      <c r="AH116" s="217">
        <f t="shared" si="52"/>
        <v>197.38760219401217</v>
      </c>
      <c r="AI116" s="217">
        <f t="shared" si="52"/>
        <v>195.73542526704568</v>
      </c>
      <c r="AJ116" s="217">
        <f t="shared" si="52"/>
        <v>199.82589102705398</v>
      </c>
      <c r="AK116" s="217">
        <f t="shared" si="52"/>
        <v>202.38039621654352</v>
      </c>
      <c r="AL116" s="217">
        <f t="shared" si="52"/>
        <v>204.47898011376071</v>
      </c>
      <c r="AM116" s="217">
        <f t="shared" si="52"/>
        <v>206.271842606159</v>
      </c>
      <c r="AN116" s="217">
        <f t="shared" si="52"/>
        <v>207.8381498389486</v>
      </c>
      <c r="AO116" s="217">
        <f t="shared" si="52"/>
        <v>210.12806096115762</v>
      </c>
      <c r="AP116" s="217">
        <f t="shared" si="52"/>
        <v>212.02221985583284</v>
      </c>
      <c r="AQ116" s="217">
        <f t="shared" si="52"/>
        <v>213.78979689173701</v>
      </c>
      <c r="AR116" s="217">
        <f t="shared" si="52"/>
        <v>215.51334973045311</v>
      </c>
      <c r="AS116" s="217">
        <f t="shared" si="52"/>
        <v>217.22839322664643</v>
      </c>
      <c r="AT116" s="217">
        <f t="shared" si="52"/>
        <v>218.98739561063067</v>
      </c>
      <c r="AU116" s="217">
        <f t="shared" si="52"/>
        <v>220.64521485258769</v>
      </c>
      <c r="AV116" s="217">
        <f t="shared" si="52"/>
        <v>222.25895136928676</v>
      </c>
      <c r="AW116" s="217">
        <f t="shared" si="52"/>
        <v>223.84843075354172</v>
      </c>
      <c r="AX116" s="217">
        <f t="shared" si="53"/>
        <v>225.17442423032878</v>
      </c>
      <c r="AY116" s="217">
        <f t="shared" si="53"/>
        <v>226.35194898477121</v>
      </c>
      <c r="AZ116" s="217">
        <f t="shared" si="53"/>
        <v>227.37306875474178</v>
      </c>
    </row>
    <row r="117" spans="1:52">
      <c r="A117" s="69" t="s">
        <v>32</v>
      </c>
      <c r="I117" s="87">
        <v>98.5227</v>
      </c>
      <c r="J117" s="87">
        <v>71.849999999999994</v>
      </c>
      <c r="K117" s="87">
        <v>94</v>
      </c>
      <c r="L117" s="87">
        <v>119.3043</v>
      </c>
      <c r="M117" s="87">
        <v>68.590900000000005</v>
      </c>
      <c r="N117" s="87">
        <v>85.891300000000001</v>
      </c>
      <c r="O117" s="87">
        <v>129.61359999999999</v>
      </c>
      <c r="P117" s="87">
        <v>163.75</v>
      </c>
      <c r="Q117" s="87">
        <v>125.11360000000001</v>
      </c>
      <c r="R117" s="87">
        <v>108.913</v>
      </c>
      <c r="S117" s="87">
        <v>197.5</v>
      </c>
      <c r="T117" s="87">
        <v>202.15899999999999</v>
      </c>
      <c r="U117" s="87">
        <v>268.85000000000002</v>
      </c>
      <c r="V117" s="87">
        <v>252.381</v>
      </c>
      <c r="W117" s="87">
        <v>194.31819999999999</v>
      </c>
      <c r="X117" s="87">
        <v>134.86359999999999</v>
      </c>
      <c r="Y117" s="87">
        <v>96.304299999999998</v>
      </c>
      <c r="Z117" s="87">
        <v>162.30950000000001</v>
      </c>
      <c r="AA117" s="87">
        <v>140.71430000000001</v>
      </c>
      <c r="AB117" s="87">
        <v>164.43180000000001</v>
      </c>
      <c r="AC117" s="87">
        <v>226.19569999999999</v>
      </c>
      <c r="AD117" s="87">
        <v>268.58699999999999</v>
      </c>
      <c r="AE117" s="217">
        <f>AE$124*SUM(Z117:AD117)/SUM(Z$124:AD$124)</f>
        <v>267.55622906663717</v>
      </c>
      <c r="AF117" s="217">
        <f>AF$124*SUM(AA117:AE117)/SUM(AA$124:AE$124)</f>
        <v>227.67867494028584</v>
      </c>
      <c r="AG117" s="217">
        <f t="shared" si="51"/>
        <v>210.25153636721734</v>
      </c>
      <c r="AH117" s="217">
        <f t="shared" si="52"/>
        <v>213.68331873407922</v>
      </c>
      <c r="AI117" s="217">
        <f t="shared" si="52"/>
        <v>217.58348861615164</v>
      </c>
      <c r="AJ117" s="217">
        <f t="shared" si="52"/>
        <v>217.31293767879708</v>
      </c>
      <c r="AK117" s="217">
        <f t="shared" si="52"/>
        <v>220.00990148774292</v>
      </c>
      <c r="AL117" s="217">
        <f t="shared" si="52"/>
        <v>222.86483560223883</v>
      </c>
      <c r="AM117" s="217">
        <f t="shared" si="52"/>
        <v>225.17949522345995</v>
      </c>
      <c r="AN117" s="217">
        <f t="shared" si="52"/>
        <v>227.25976077181934</v>
      </c>
      <c r="AO117" s="217">
        <f t="shared" si="52"/>
        <v>229.03137263769938</v>
      </c>
      <c r="AP117" s="217">
        <f t="shared" si="52"/>
        <v>231.19658089546837</v>
      </c>
      <c r="AQ117" s="217">
        <f t="shared" si="52"/>
        <v>233.26223595880302</v>
      </c>
      <c r="AR117" s="217">
        <f t="shared" si="52"/>
        <v>235.19173072912344</v>
      </c>
      <c r="AS117" s="217">
        <f t="shared" si="52"/>
        <v>237.04838159009469</v>
      </c>
      <c r="AT117" s="217">
        <f t="shared" si="52"/>
        <v>238.87394530485983</v>
      </c>
      <c r="AU117" s="217">
        <f t="shared" si="52"/>
        <v>240.71890728688757</v>
      </c>
      <c r="AV117" s="217">
        <f t="shared" si="52"/>
        <v>242.50295550853411</v>
      </c>
      <c r="AW117" s="217">
        <f t="shared" si="52"/>
        <v>244.23724402381333</v>
      </c>
      <c r="AX117" s="217">
        <f t="shared" si="53"/>
        <v>245.67406006510558</v>
      </c>
      <c r="AY117" s="217">
        <f t="shared" si="53"/>
        <v>246.94987109234336</v>
      </c>
      <c r="AZ117" s="217">
        <f t="shared" si="53"/>
        <v>248.07228954069038</v>
      </c>
    </row>
    <row r="118" spans="1:52">
      <c r="A118" s="69" t="s">
        <v>33</v>
      </c>
      <c r="I118" s="87">
        <v>91.25</v>
      </c>
      <c r="J118" s="87">
        <v>69.113600000000005</v>
      </c>
      <c r="K118" s="87">
        <v>91.857100000000003</v>
      </c>
      <c r="L118" s="87">
        <v>112.238</v>
      </c>
      <c r="M118" s="87">
        <v>66.142799999999994</v>
      </c>
      <c r="N118" s="87">
        <v>91.263099999999994</v>
      </c>
      <c r="O118" s="87">
        <v>121.9</v>
      </c>
      <c r="P118" s="87">
        <v>170.4545</v>
      </c>
      <c r="Q118" s="87">
        <v>128.52379999999999</v>
      </c>
      <c r="R118" s="87">
        <v>106.1904</v>
      </c>
      <c r="S118" s="87">
        <v>204.25</v>
      </c>
      <c r="T118" s="87">
        <v>205</v>
      </c>
      <c r="U118" s="87">
        <v>244.0909</v>
      </c>
      <c r="V118" s="87">
        <v>242.97620000000001</v>
      </c>
      <c r="W118" s="87">
        <v>196.66669999999999</v>
      </c>
      <c r="X118" s="87">
        <v>123.71429999999999</v>
      </c>
      <c r="Y118" s="87">
        <v>92.1053</v>
      </c>
      <c r="Z118" s="87">
        <v>169.69049999999999</v>
      </c>
      <c r="AA118" s="87">
        <v>135.47620000000001</v>
      </c>
      <c r="AB118" s="87">
        <v>195.47620000000001</v>
      </c>
      <c r="AC118" s="87">
        <v>215.59520000000001</v>
      </c>
      <c r="AD118" s="87">
        <v>286.25</v>
      </c>
      <c r="AE118" s="217">
        <f t="shared" ref="AE118:AF123" si="54">AE$124*SUM(Z118:AD118)/SUM(Z$124:AD$124)</f>
        <v>278.74793148451676</v>
      </c>
      <c r="AF118" s="217">
        <f t="shared" si="54"/>
        <v>237.07612458553032</v>
      </c>
      <c r="AG118" s="217">
        <f t="shared" si="51"/>
        <v>220.94142462228376</v>
      </c>
      <c r="AH118" s="217">
        <f t="shared" si="52"/>
        <v>220.50924410779461</v>
      </c>
      <c r="AI118" s="217">
        <f t="shared" si="52"/>
        <v>227.79954374294485</v>
      </c>
      <c r="AJ118" s="217">
        <f t="shared" si="52"/>
        <v>226.55045954800744</v>
      </c>
      <c r="AK118" s="217">
        <f t="shared" si="52"/>
        <v>229.39882967989982</v>
      </c>
      <c r="AL118" s="217">
        <f t="shared" si="52"/>
        <v>232.44144360149528</v>
      </c>
      <c r="AM118" s="217">
        <f t="shared" si="52"/>
        <v>234.51406218110506</v>
      </c>
      <c r="AN118" s="217">
        <f t="shared" si="52"/>
        <v>237.09926704622836</v>
      </c>
      <c r="AO118" s="217">
        <f t="shared" si="52"/>
        <v>238.78383243493531</v>
      </c>
      <c r="AP118" s="217">
        <f t="shared" si="52"/>
        <v>241.04451818715279</v>
      </c>
      <c r="AQ118" s="217">
        <f t="shared" si="52"/>
        <v>243.19456740498271</v>
      </c>
      <c r="AR118" s="217">
        <f t="shared" si="52"/>
        <v>245.18836451055699</v>
      </c>
      <c r="AS118" s="217">
        <f t="shared" si="52"/>
        <v>247.17243074659251</v>
      </c>
      <c r="AT118" s="217">
        <f t="shared" si="52"/>
        <v>249.04860258020071</v>
      </c>
      <c r="AU118" s="217">
        <f t="shared" si="52"/>
        <v>250.97275554260881</v>
      </c>
      <c r="AV118" s="217">
        <f t="shared" si="52"/>
        <v>252.8328579239753</v>
      </c>
      <c r="AW118" s="217">
        <f t="shared" si="52"/>
        <v>254.64182846575719</v>
      </c>
      <c r="AX118" s="217">
        <f t="shared" si="53"/>
        <v>256.144469007834</v>
      </c>
      <c r="AY118" s="217">
        <f t="shared" si="53"/>
        <v>257.47032239543972</v>
      </c>
      <c r="AZ118" s="217">
        <f t="shared" si="53"/>
        <v>258.6409128227225</v>
      </c>
    </row>
    <row r="119" spans="1:52">
      <c r="A119" s="69" t="s">
        <v>14</v>
      </c>
      <c r="I119" s="87">
        <v>88.159000000000006</v>
      </c>
      <c r="J119" s="87">
        <v>69.545400000000001</v>
      </c>
      <c r="K119" s="87">
        <v>84.071399999999997</v>
      </c>
      <c r="L119" s="87">
        <v>99.3</v>
      </c>
      <c r="M119" s="87">
        <v>61.761899999999997</v>
      </c>
      <c r="N119" s="87">
        <v>92.704499999999996</v>
      </c>
      <c r="O119" s="87">
        <v>107.5</v>
      </c>
      <c r="P119" s="87">
        <v>176.66659999999999</v>
      </c>
      <c r="Q119" s="87">
        <v>143.75</v>
      </c>
      <c r="R119" s="87">
        <v>121.575</v>
      </c>
      <c r="S119" s="87">
        <v>205</v>
      </c>
      <c r="T119" s="87">
        <v>205</v>
      </c>
      <c r="U119" s="87">
        <v>234.5455</v>
      </c>
      <c r="V119" s="87">
        <v>219.7619</v>
      </c>
      <c r="W119" s="87">
        <v>180.75</v>
      </c>
      <c r="X119" s="87">
        <v>147.2619</v>
      </c>
      <c r="Y119" s="87">
        <v>94.886399999999995</v>
      </c>
      <c r="Z119" s="87">
        <v>178.2955</v>
      </c>
      <c r="AA119" s="87">
        <v>119.5455</v>
      </c>
      <c r="AB119" s="87">
        <v>152</v>
      </c>
      <c r="AC119" s="87">
        <v>245.125</v>
      </c>
      <c r="AD119" s="87">
        <v>267.8571</v>
      </c>
      <c r="AE119" s="217">
        <f t="shared" si="54"/>
        <v>267.71883627397676</v>
      </c>
      <c r="AF119" s="217">
        <f t="shared" si="54"/>
        <v>224.42850981336019</v>
      </c>
      <c r="AG119" s="217">
        <f t="shared" si="51"/>
        <v>210.73963308499467</v>
      </c>
      <c r="AH119" s="217">
        <f t="shared" si="52"/>
        <v>216.46056808784246</v>
      </c>
      <c r="AI119" s="217">
        <f t="shared" si="52"/>
        <v>217.48234802395311</v>
      </c>
      <c r="AJ119" s="217">
        <f t="shared" si="52"/>
        <v>217.32759038061238</v>
      </c>
      <c r="AK119" s="217">
        <f t="shared" si="52"/>
        <v>219.99546238019272</v>
      </c>
      <c r="AL119" s="217">
        <f t="shared" si="52"/>
        <v>223.51853491202121</v>
      </c>
      <c r="AM119" s="217">
        <f t="shared" si="52"/>
        <v>225.86651663390845</v>
      </c>
      <c r="AN119" s="217">
        <f t="shared" si="52"/>
        <v>227.51521664605696</v>
      </c>
      <c r="AO119" s="217">
        <f t="shared" si="52"/>
        <v>229.35998542432313</v>
      </c>
      <c r="AP119" s="217">
        <f t="shared" si="52"/>
        <v>231.58940187825567</v>
      </c>
      <c r="AQ119" s="217">
        <f t="shared" si="52"/>
        <v>233.7383220172089</v>
      </c>
      <c r="AR119" s="217">
        <f t="shared" si="52"/>
        <v>235.63094592393927</v>
      </c>
      <c r="AS119" s="217">
        <f t="shared" si="52"/>
        <v>237.43641222964857</v>
      </c>
      <c r="AT119" s="217">
        <f t="shared" si="52"/>
        <v>239.28884724340671</v>
      </c>
      <c r="AU119" s="217">
        <f t="shared" si="52"/>
        <v>241.15118232411211</v>
      </c>
      <c r="AV119" s="217">
        <f t="shared" si="52"/>
        <v>242.94300855751044</v>
      </c>
      <c r="AW119" s="217">
        <f t="shared" si="52"/>
        <v>244.66964645562192</v>
      </c>
      <c r="AX119" s="217">
        <f t="shared" si="53"/>
        <v>246.10434603725383</v>
      </c>
      <c r="AY119" s="217">
        <f t="shared" si="53"/>
        <v>247.38792304227681</v>
      </c>
      <c r="AZ119" s="217">
        <f t="shared" si="53"/>
        <v>248.51412673249001</v>
      </c>
    </row>
    <row r="120" spans="1:52">
      <c r="A120" s="69" t="s">
        <v>34</v>
      </c>
      <c r="I120" s="87">
        <v>82.023799999999994</v>
      </c>
      <c r="J120" s="87">
        <v>69.7</v>
      </c>
      <c r="K120" s="87">
        <v>87.666600000000003</v>
      </c>
      <c r="L120" s="87">
        <v>88.571399999999997</v>
      </c>
      <c r="M120" s="87">
        <v>56.681800000000003</v>
      </c>
      <c r="N120" s="87">
        <v>85.795400000000001</v>
      </c>
      <c r="O120" s="87">
        <v>106.1904</v>
      </c>
      <c r="P120" s="87">
        <v>178.09520000000001</v>
      </c>
      <c r="Q120" s="87">
        <v>153.2954</v>
      </c>
      <c r="R120" s="87">
        <v>110.3409</v>
      </c>
      <c r="S120" s="87">
        <v>205</v>
      </c>
      <c r="T120" s="87">
        <v>214.881</v>
      </c>
      <c r="U120" s="87">
        <v>243.75</v>
      </c>
      <c r="V120" s="87">
        <v>185</v>
      </c>
      <c r="W120" s="87">
        <v>158.4545</v>
      </c>
      <c r="X120" s="87">
        <v>173.63640000000001</v>
      </c>
      <c r="Y120" s="87">
        <v>99.318200000000004</v>
      </c>
      <c r="Z120" s="87">
        <v>163.3571</v>
      </c>
      <c r="AA120" s="87">
        <v>126.375</v>
      </c>
      <c r="AB120" s="87">
        <v>140.4545</v>
      </c>
      <c r="AC120" s="87">
        <v>206.5909</v>
      </c>
      <c r="AD120" s="87">
        <v>248.69049999999999</v>
      </c>
      <c r="AE120" s="217">
        <f t="shared" si="54"/>
        <v>246.20977884498788</v>
      </c>
      <c r="AF120" s="217">
        <f t="shared" si="54"/>
        <v>206.5283943789552</v>
      </c>
      <c r="AG120" s="217">
        <f t="shared" si="51"/>
        <v>190.95101437222132</v>
      </c>
      <c r="AH120" s="217">
        <f t="shared" si="52"/>
        <v>195.64918771092397</v>
      </c>
      <c r="AI120" s="217">
        <f t="shared" si="52"/>
        <v>199.31447797625577</v>
      </c>
      <c r="AJ120" s="217">
        <f t="shared" si="52"/>
        <v>198.559100866714</v>
      </c>
      <c r="AK120" s="217">
        <f t="shared" si="52"/>
        <v>200.67031111077608</v>
      </c>
      <c r="AL120" s="217">
        <f t="shared" si="52"/>
        <v>203.50907955645596</v>
      </c>
      <c r="AM120" s="217">
        <f t="shared" si="52"/>
        <v>205.83732242341327</v>
      </c>
      <c r="AN120" s="217">
        <f t="shared" si="52"/>
        <v>207.67284995148563</v>
      </c>
      <c r="AO120" s="217">
        <f t="shared" si="52"/>
        <v>209.19215596950886</v>
      </c>
      <c r="AP120" s="217">
        <f t="shared" si="52"/>
        <v>211.15535284560477</v>
      </c>
      <c r="AQ120" s="217">
        <f t="shared" si="52"/>
        <v>213.097015763402</v>
      </c>
      <c r="AR120" s="217">
        <f t="shared" si="52"/>
        <v>214.87805217079409</v>
      </c>
      <c r="AS120" s="217">
        <f t="shared" si="52"/>
        <v>216.55245327856602</v>
      </c>
      <c r="AT120" s="217">
        <f t="shared" si="52"/>
        <v>218.20733259157373</v>
      </c>
      <c r="AU120" s="217">
        <f t="shared" si="52"/>
        <v>219.89761987794532</v>
      </c>
      <c r="AV120" s="217">
        <f t="shared" si="52"/>
        <v>221.53627354560476</v>
      </c>
      <c r="AW120" s="217">
        <f t="shared" si="52"/>
        <v>223.12010228376695</v>
      </c>
      <c r="AX120" s="217">
        <f t="shared" si="53"/>
        <v>224.428325416397</v>
      </c>
      <c r="AY120" s="217">
        <f t="shared" si="53"/>
        <v>225.59301798641948</v>
      </c>
      <c r="AZ120" s="217">
        <f t="shared" si="53"/>
        <v>226.62003128669519</v>
      </c>
    </row>
    <row r="121" spans="1:52">
      <c r="A121" s="69" t="s">
        <v>35</v>
      </c>
      <c r="I121" s="87">
        <v>83.547600000000003</v>
      </c>
      <c r="J121" s="87">
        <v>80.714200000000005</v>
      </c>
      <c r="K121" s="87">
        <v>86.476100000000002</v>
      </c>
      <c r="L121" s="87">
        <v>84.523799999999994</v>
      </c>
      <c r="M121" s="87">
        <v>67.25</v>
      </c>
      <c r="N121" s="87">
        <v>79.75</v>
      </c>
      <c r="O121" s="87">
        <v>109.1666</v>
      </c>
      <c r="P121" s="87">
        <v>168.97720000000001</v>
      </c>
      <c r="Q121" s="87">
        <v>109.2045</v>
      </c>
      <c r="R121" s="87">
        <v>107.1904</v>
      </c>
      <c r="S121" s="87">
        <v>205</v>
      </c>
      <c r="T121" s="87">
        <v>266.04759999999999</v>
      </c>
      <c r="U121" s="87">
        <v>241.5909</v>
      </c>
      <c r="V121" s="87">
        <v>149.22730000000001</v>
      </c>
      <c r="W121" s="87">
        <v>158.06819999999999</v>
      </c>
      <c r="X121" s="87">
        <v>148</v>
      </c>
      <c r="Y121" s="87">
        <v>102.7</v>
      </c>
      <c r="Z121" s="87">
        <v>142.619</v>
      </c>
      <c r="AA121" s="87">
        <v>137.1591</v>
      </c>
      <c r="AB121" s="87">
        <v>135.56819999999999</v>
      </c>
      <c r="AC121" s="87">
        <v>178.33330000000001</v>
      </c>
      <c r="AD121" s="87">
        <v>226.5</v>
      </c>
      <c r="AE121" s="217">
        <f t="shared" si="54"/>
        <v>228.05594095909802</v>
      </c>
      <c r="AF121" s="217">
        <f t="shared" si="54"/>
        <v>193.15453466345639</v>
      </c>
      <c r="AG121" s="217">
        <f t="shared" si="51"/>
        <v>175.13144756454372</v>
      </c>
      <c r="AH121" s="217">
        <f t="shared" si="52"/>
        <v>178.23872757260534</v>
      </c>
      <c r="AI121" s="217">
        <f t="shared" si="52"/>
        <v>183.38655512426988</v>
      </c>
      <c r="AJ121" s="217">
        <f t="shared" si="52"/>
        <v>183.13443847848359</v>
      </c>
      <c r="AK121" s="217">
        <f t="shared" si="52"/>
        <v>184.88472571102744</v>
      </c>
      <c r="AL121" s="217">
        <f t="shared" si="52"/>
        <v>186.90677939698057</v>
      </c>
      <c r="AM121" s="217">
        <f t="shared" si="52"/>
        <v>189.09496077219612</v>
      </c>
      <c r="AN121" s="217">
        <f t="shared" si="52"/>
        <v>191.08959746759646</v>
      </c>
      <c r="AO121" s="217">
        <f t="shared" si="52"/>
        <v>192.49007540571407</v>
      </c>
      <c r="AP121" s="217">
        <f t="shared" si="52"/>
        <v>194.20842448259</v>
      </c>
      <c r="AQ121" s="217">
        <f t="shared" si="52"/>
        <v>195.92855269027464</v>
      </c>
      <c r="AR121" s="217">
        <f t="shared" si="52"/>
        <v>197.60843916370715</v>
      </c>
      <c r="AS121" s="217">
        <f t="shared" si="52"/>
        <v>199.18914957481189</v>
      </c>
      <c r="AT121" s="217">
        <f t="shared" si="52"/>
        <v>200.69738929897545</v>
      </c>
      <c r="AU121" s="217">
        <f t="shared" si="52"/>
        <v>202.23474887964375</v>
      </c>
      <c r="AV121" s="217">
        <f t="shared" si="52"/>
        <v>203.73896991915444</v>
      </c>
      <c r="AW121" s="217">
        <f t="shared" si="52"/>
        <v>205.20560822903153</v>
      </c>
      <c r="AX121" s="217">
        <f t="shared" si="53"/>
        <v>206.41223913737619</v>
      </c>
      <c r="AY121" s="217">
        <f t="shared" si="53"/>
        <v>207.47924971531143</v>
      </c>
      <c r="AZ121" s="217">
        <f t="shared" si="53"/>
        <v>208.42160436762251</v>
      </c>
    </row>
    <row r="122" spans="1:52">
      <c r="A122" s="69" t="s">
        <v>36</v>
      </c>
      <c r="I122" s="87">
        <v>88.478200000000001</v>
      </c>
      <c r="J122" s="87">
        <v>91.75</v>
      </c>
      <c r="K122" s="87">
        <v>87.761899999999997</v>
      </c>
      <c r="L122" s="87">
        <v>84.590900000000005</v>
      </c>
      <c r="M122" s="87">
        <v>69.173900000000003</v>
      </c>
      <c r="N122" s="87">
        <v>81.195599999999999</v>
      </c>
      <c r="O122" s="87">
        <v>111.0869</v>
      </c>
      <c r="P122" s="87">
        <v>147.14279999999999</v>
      </c>
      <c r="Q122" s="87">
        <v>89.761899999999997</v>
      </c>
      <c r="R122" s="87">
        <v>112.6818</v>
      </c>
      <c r="S122" s="87">
        <v>205</v>
      </c>
      <c r="T122" s="87">
        <v>302.1739</v>
      </c>
      <c r="U122" s="87">
        <v>237.72730000000001</v>
      </c>
      <c r="V122" s="87">
        <v>118.0714</v>
      </c>
      <c r="W122" s="87">
        <v>149.7619</v>
      </c>
      <c r="X122" s="87">
        <v>143.69569999999999</v>
      </c>
      <c r="Y122" s="87">
        <v>115.587</v>
      </c>
      <c r="Z122" s="87">
        <v>147.9348</v>
      </c>
      <c r="AA122" s="87">
        <v>132.72730000000001</v>
      </c>
      <c r="AB122" s="87">
        <v>138.21430000000001</v>
      </c>
      <c r="AC122" s="87">
        <v>199.31819999999999</v>
      </c>
      <c r="AD122" s="87">
        <v>213.80430000000001</v>
      </c>
      <c r="AE122" s="217">
        <f t="shared" si="54"/>
        <v>231.34236942303187</v>
      </c>
      <c r="AF122" s="217">
        <f t="shared" si="54"/>
        <v>195.24258075284988</v>
      </c>
      <c r="AG122" s="217">
        <f t="shared" si="51"/>
        <v>178.10182906912758</v>
      </c>
      <c r="AH122" s="217">
        <f t="shared" si="52"/>
        <v>181.20008030833858</v>
      </c>
      <c r="AI122" s="217">
        <f t="shared" si="52"/>
        <v>183.1320161862576</v>
      </c>
      <c r="AJ122" s="217">
        <f t="shared" si="52"/>
        <v>185.24718444810492</v>
      </c>
      <c r="AK122" s="217">
        <f t="shared" si="52"/>
        <v>186.8849421044315</v>
      </c>
      <c r="AL122" s="217">
        <f t="shared" si="52"/>
        <v>188.92921042132386</v>
      </c>
      <c r="AM122" s="217">
        <f t="shared" si="52"/>
        <v>190.91920885878068</v>
      </c>
      <c r="AN122" s="217">
        <f t="shared" si="52"/>
        <v>192.6772113335237</v>
      </c>
      <c r="AO122" s="217">
        <f t="shared" si="52"/>
        <v>194.45535319556032</v>
      </c>
      <c r="AP122" s="217">
        <f t="shared" si="52"/>
        <v>196.14128134206939</v>
      </c>
      <c r="AQ122" s="217">
        <f t="shared" si="52"/>
        <v>197.84563019094185</v>
      </c>
      <c r="AR122" s="217">
        <f t="shared" si="52"/>
        <v>199.50221328416464</v>
      </c>
      <c r="AS122" s="217">
        <f t="shared" si="52"/>
        <v>201.09559870875577</v>
      </c>
      <c r="AT122" s="217">
        <f t="shared" si="52"/>
        <v>202.66772239171829</v>
      </c>
      <c r="AU122" s="217">
        <f t="shared" si="52"/>
        <v>204.20471098144057</v>
      </c>
      <c r="AV122" s="217">
        <f t="shared" si="52"/>
        <v>205.71517871585564</v>
      </c>
      <c r="AW122" s="217">
        <f t="shared" si="52"/>
        <v>207.192642733171</v>
      </c>
      <c r="AX122" s="217">
        <f t="shared" si="53"/>
        <v>208.41497860348707</v>
      </c>
      <c r="AY122" s="217">
        <f t="shared" si="53"/>
        <v>209.49768181937424</v>
      </c>
      <c r="AZ122" s="217">
        <f t="shared" si="53"/>
        <v>210.44556913865279</v>
      </c>
    </row>
    <row r="123" spans="1:52">
      <c r="A123" s="69" t="s">
        <v>37</v>
      </c>
      <c r="I123" s="87">
        <v>92.5</v>
      </c>
      <c r="J123" s="87">
        <v>97.875</v>
      </c>
      <c r="K123" s="87">
        <v>94.571399999999997</v>
      </c>
      <c r="L123" s="87">
        <v>83.333299999999994</v>
      </c>
      <c r="M123" s="87">
        <v>63</v>
      </c>
      <c r="N123" s="87">
        <v>84.75</v>
      </c>
      <c r="O123" s="87">
        <v>113.15779999999999</v>
      </c>
      <c r="P123" s="87">
        <v>131.78569999999999</v>
      </c>
      <c r="Q123" s="87">
        <v>91.904700000000005</v>
      </c>
      <c r="R123" s="87">
        <v>127.14279999999999</v>
      </c>
      <c r="S123" s="87">
        <v>208.33330000000001</v>
      </c>
      <c r="T123" s="87">
        <v>289.47370000000001</v>
      </c>
      <c r="U123" s="87">
        <v>239.25</v>
      </c>
      <c r="V123" s="87">
        <v>119.0476</v>
      </c>
      <c r="W123" s="87">
        <v>135.47620000000001</v>
      </c>
      <c r="X123" s="87">
        <v>125.9524</v>
      </c>
      <c r="Y123" s="87">
        <v>115.375</v>
      </c>
      <c r="Z123" s="87">
        <v>143.55260000000001</v>
      </c>
      <c r="AA123" s="87">
        <v>140.125</v>
      </c>
      <c r="AB123" s="87">
        <v>156.30950000000001</v>
      </c>
      <c r="AC123" s="87">
        <v>196.42859999999999</v>
      </c>
      <c r="AD123" s="87">
        <v>230.3571</v>
      </c>
      <c r="AE123" s="217">
        <f t="shared" si="54"/>
        <v>241.01146444236369</v>
      </c>
      <c r="AF123" s="217">
        <f t="shared" si="54"/>
        <v>205.65626844214913</v>
      </c>
      <c r="AG123" s="217">
        <f t="shared" si="51"/>
        <v>187.54328945167194</v>
      </c>
      <c r="AH123" s="217">
        <f t="shared" si="52"/>
        <v>188.88871934515075</v>
      </c>
      <c r="AI123" s="217">
        <f t="shared" si="52"/>
        <v>192.98127580572546</v>
      </c>
      <c r="AJ123" s="217">
        <f t="shared" si="52"/>
        <v>194.24404660536644</v>
      </c>
      <c r="AK123" s="217">
        <f t="shared" si="52"/>
        <v>196.27854151360037</v>
      </c>
      <c r="AL123" s="217">
        <f t="shared" si="52"/>
        <v>198.30161645375142</v>
      </c>
      <c r="AM123" s="217">
        <f t="shared" si="52"/>
        <v>200.26527307463647</v>
      </c>
      <c r="AN123" s="217">
        <f t="shared" si="52"/>
        <v>202.35280948319439</v>
      </c>
      <c r="AO123" s="217">
        <f t="shared" si="52"/>
        <v>204.08582754386171</v>
      </c>
      <c r="AP123" s="217">
        <f t="shared" si="52"/>
        <v>205.89176608898714</v>
      </c>
      <c r="AQ123" s="217">
        <f t="shared" si="52"/>
        <v>207.65962864553262</v>
      </c>
      <c r="AR123" s="217">
        <f t="shared" si="52"/>
        <v>209.39824164128086</v>
      </c>
      <c r="AS123" s="217">
        <f t="shared" si="52"/>
        <v>211.09613767743798</v>
      </c>
      <c r="AT123" s="217">
        <f t="shared" si="52"/>
        <v>212.72724148446946</v>
      </c>
      <c r="AU123" s="217">
        <f t="shared" si="52"/>
        <v>214.34490532069347</v>
      </c>
      <c r="AV123" s="217">
        <f t="shared" si="52"/>
        <v>215.9281896287161</v>
      </c>
      <c r="AW123" s="217">
        <f t="shared" si="52"/>
        <v>217.48070535973679</v>
      </c>
      <c r="AX123" s="217">
        <f t="shared" si="53"/>
        <v>218.76581188495692</v>
      </c>
      <c r="AY123" s="217">
        <f t="shared" si="53"/>
        <v>219.89959358516998</v>
      </c>
      <c r="AZ123" s="217">
        <f t="shared" si="53"/>
        <v>220.89521072728257</v>
      </c>
    </row>
    <row r="124" spans="1:52" ht="12" thickBot="1">
      <c r="A124" s="69" t="s">
        <v>338</v>
      </c>
      <c r="I124" s="87">
        <f>AVERAGE(I112:I123)</f>
        <v>91.535863636363629</v>
      </c>
      <c r="J124" s="87">
        <f t="shared" ref="J124:AD124" si="55">AVERAGE(J112:J123)</f>
        <v>81.031224999999992</v>
      </c>
      <c r="K124" s="87">
        <f t="shared" si="55"/>
        <v>92.045083333333324</v>
      </c>
      <c r="L124" s="87">
        <f t="shared" si="55"/>
        <v>106.89819166666666</v>
      </c>
      <c r="M124" s="87">
        <f t="shared" si="55"/>
        <v>67.564408333333333</v>
      </c>
      <c r="N124" s="87">
        <f t="shared" si="55"/>
        <v>80.261941666666658</v>
      </c>
      <c r="O124" s="87">
        <f t="shared" si="55"/>
        <v>115.303375</v>
      </c>
      <c r="P124" s="87">
        <f t="shared" si="55"/>
        <v>155.79414166666666</v>
      </c>
      <c r="Q124" s="87">
        <f t="shared" si="55"/>
        <v>120.89042500000001</v>
      </c>
      <c r="R124" s="87">
        <f t="shared" si="55"/>
        <v>116.50339166666667</v>
      </c>
      <c r="S124" s="87">
        <f t="shared" si="55"/>
        <v>189.12918333333332</v>
      </c>
      <c r="T124" s="87">
        <f t="shared" si="55"/>
        <v>223.63814166666668</v>
      </c>
      <c r="U124" s="87">
        <f t="shared" si="55"/>
        <v>252.73131666666666</v>
      </c>
      <c r="V124" s="87">
        <f t="shared" si="55"/>
        <v>195.4680083333333</v>
      </c>
      <c r="W124" s="87">
        <f t="shared" si="55"/>
        <v>159.35786666666667</v>
      </c>
      <c r="X124" s="87">
        <f t="shared" si="55"/>
        <v>137.82655</v>
      </c>
      <c r="Y124" s="87">
        <f t="shared" si="55"/>
        <v>103.79704166666669</v>
      </c>
      <c r="Z124" s="87">
        <f t="shared" si="55"/>
        <v>147.13554166666663</v>
      </c>
      <c r="AA124" s="87">
        <f t="shared" si="55"/>
        <v>138.21937499999999</v>
      </c>
      <c r="AB124" s="87">
        <f t="shared" si="55"/>
        <v>151.28292500000001</v>
      </c>
      <c r="AC124" s="87">
        <f t="shared" si="55"/>
        <v>208.89555833333335</v>
      </c>
      <c r="AD124" s="87">
        <f t="shared" si="55"/>
        <v>226.39280833333336</v>
      </c>
      <c r="AE124" s="217">
        <v>242.44440106576278</v>
      </c>
      <c r="AF124" s="217">
        <v>206.29684968008121</v>
      </c>
      <c r="AG124" s="217">
        <v>188.55399977422906</v>
      </c>
      <c r="AH124" s="217">
        <v>190.9515284787069</v>
      </c>
      <c r="AI124" s="217">
        <v>193.19794131646108</v>
      </c>
      <c r="AJ124" s="217">
        <v>195.26942482246082</v>
      </c>
      <c r="AK124" s="217">
        <v>197.28212260336088</v>
      </c>
      <c r="AL124" s="217">
        <v>199.40043454941829</v>
      </c>
      <c r="AM124" s="217">
        <v>201.38085077979517</v>
      </c>
      <c r="AN124" s="217">
        <v>203.27178370100523</v>
      </c>
      <c r="AO124" s="217">
        <v>205.14847966806761</v>
      </c>
      <c r="AP124" s="217">
        <v>206.96094867828685</v>
      </c>
      <c r="AQ124" s="217">
        <v>208.74121276626872</v>
      </c>
      <c r="AR124" s="217">
        <v>210.47534052382113</v>
      </c>
      <c r="AS124" s="217">
        <v>212.16444557939121</v>
      </c>
      <c r="AT124" s="217">
        <v>213.82533751556616</v>
      </c>
      <c r="AU124" s="217">
        <v>215.4494754362602</v>
      </c>
      <c r="AV124" s="217">
        <v>217.03924626071958</v>
      </c>
      <c r="AW124" s="217">
        <v>218.59707700734404</v>
      </c>
      <c r="AX124" s="217">
        <v>219.88832781049999</v>
      </c>
      <c r="AY124" s="217">
        <v>221.03095362160616</v>
      </c>
      <c r="AZ124" s="217">
        <v>222.03095362160599</v>
      </c>
    </row>
    <row r="125" spans="1:52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99"/>
      <c r="AE125" s="199"/>
      <c r="AF125" s="199"/>
      <c r="AG125" s="199"/>
      <c r="AH125" s="199"/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  <c r="AS125" s="199"/>
      <c r="AT125" s="199"/>
      <c r="AU125" s="199"/>
      <c r="AV125" s="199"/>
      <c r="AW125" s="199"/>
      <c r="AX125" s="199"/>
      <c r="AY125" s="199"/>
      <c r="AZ125" s="199"/>
    </row>
    <row r="126" spans="1:52">
      <c r="I126" s="226" t="s">
        <v>38</v>
      </c>
      <c r="J126" s="87">
        <f>J65+J81</f>
        <v>210.02774905877419</v>
      </c>
      <c r="K126" s="87">
        <f t="shared" ref="K126:AZ132" si="56">K65+K81</f>
        <v>291.06251866067038</v>
      </c>
      <c r="L126" s="87">
        <f t="shared" si="56"/>
        <v>454.84303495113301</v>
      </c>
      <c r="M126" s="87">
        <f t="shared" si="56"/>
        <v>602.56799410212261</v>
      </c>
      <c r="N126" s="87">
        <f t="shared" si="56"/>
        <v>799.28819335109563</v>
      </c>
      <c r="O126" s="87">
        <f t="shared" si="56"/>
        <v>981.00118947471651</v>
      </c>
      <c r="P126" s="87">
        <f t="shared" si="56"/>
        <v>1394.9432448176276</v>
      </c>
      <c r="Q126" s="87">
        <f t="shared" si="56"/>
        <v>2038.2734522649603</v>
      </c>
      <c r="R126" s="87">
        <f t="shared" si="56"/>
        <v>2368.4467541063686</v>
      </c>
      <c r="S126" s="87">
        <f t="shared" si="56"/>
        <v>2998.2628510496852</v>
      </c>
      <c r="T126" s="87">
        <f t="shared" si="56"/>
        <v>3013.9945368515255</v>
      </c>
      <c r="U126" s="87">
        <f t="shared" si="56"/>
        <v>2738.7925866187661</v>
      </c>
      <c r="V126" s="87">
        <f t="shared" si="56"/>
        <v>2811.9236094611742</v>
      </c>
      <c r="W126" s="87">
        <f t="shared" si="56"/>
        <v>3064.0746824947178</v>
      </c>
      <c r="X126" s="87">
        <f t="shared" si="56"/>
        <v>3982.4869998027225</v>
      </c>
      <c r="Y126" s="87">
        <f t="shared" si="56"/>
        <v>3957.2269998384204</v>
      </c>
      <c r="Z126" s="87">
        <f t="shared" si="56"/>
        <v>4033.7460000000001</v>
      </c>
      <c r="AA126" s="87">
        <f t="shared" si="56"/>
        <v>4049.7670000000003</v>
      </c>
      <c r="AB126" s="87">
        <f t="shared" si="56"/>
        <v>3716.1580000000004</v>
      </c>
      <c r="AC126" s="87">
        <f t="shared" si="56"/>
        <v>3466.1629999999996</v>
      </c>
      <c r="AD126" s="87">
        <f t="shared" si="56"/>
        <v>3680.6570000000002</v>
      </c>
      <c r="AE126" s="87">
        <f t="shared" si="56"/>
        <v>3656.66</v>
      </c>
      <c r="AF126" s="217">
        <f t="shared" si="56"/>
        <v>3776.6750000000002</v>
      </c>
      <c r="AG126" s="217">
        <f t="shared" si="56"/>
        <v>3559.2948096725549</v>
      </c>
      <c r="AH126" s="217">
        <f t="shared" si="56"/>
        <v>3393.1013124686315</v>
      </c>
      <c r="AI126" s="217">
        <f t="shared" si="56"/>
        <v>3370.6386677044152</v>
      </c>
      <c r="AJ126" s="217">
        <f t="shared" si="56"/>
        <v>3369.1769468172215</v>
      </c>
      <c r="AK126" s="217">
        <f t="shared" si="56"/>
        <v>3439.9878361101423</v>
      </c>
      <c r="AL126" s="217">
        <f t="shared" si="56"/>
        <v>3464.6045914246351</v>
      </c>
      <c r="AM126" s="217">
        <f t="shared" si="56"/>
        <v>3481.0900132432139</v>
      </c>
      <c r="AN126" s="217">
        <f t="shared" si="56"/>
        <v>3514.1043016300418</v>
      </c>
      <c r="AO126" s="217">
        <f t="shared" si="56"/>
        <v>3542.7695291320688</v>
      </c>
      <c r="AP126" s="217">
        <f t="shared" si="56"/>
        <v>3580.3880314766657</v>
      </c>
      <c r="AQ126" s="217">
        <f t="shared" si="56"/>
        <v>3609.6343692703649</v>
      </c>
      <c r="AR126" s="217">
        <f t="shared" si="56"/>
        <v>3637.5874716834032</v>
      </c>
      <c r="AS126" s="217">
        <f t="shared" si="56"/>
        <v>3669.8436082812514</v>
      </c>
      <c r="AT126" s="217">
        <f t="shared" si="56"/>
        <v>3702.7527671730149</v>
      </c>
      <c r="AU126" s="217">
        <f t="shared" si="56"/>
        <v>3735.5379884885579</v>
      </c>
      <c r="AV126" s="217">
        <f t="shared" si="56"/>
        <v>3767.7052625175156</v>
      </c>
      <c r="AW126" s="217">
        <f t="shared" si="56"/>
        <v>3800.1397922941369</v>
      </c>
      <c r="AX126" s="217">
        <f t="shared" si="56"/>
        <v>3833.4154807093028</v>
      </c>
      <c r="AY126" s="217">
        <f t="shared" si="56"/>
        <v>3939.5149050801797</v>
      </c>
      <c r="AZ126" s="217">
        <f t="shared" si="56"/>
        <v>1997.4727820555668</v>
      </c>
    </row>
    <row r="127" spans="1:52">
      <c r="I127" s="226" t="s">
        <v>39</v>
      </c>
      <c r="J127" s="87">
        <f t="shared" ref="J127:Y137" si="57">J66+J82</f>
        <v>280.51042789092679</v>
      </c>
      <c r="K127" s="87">
        <f t="shared" si="57"/>
        <v>308.31284370835863</v>
      </c>
      <c r="L127" s="87">
        <f t="shared" si="57"/>
        <v>443.91276881215049</v>
      </c>
      <c r="M127" s="87">
        <f t="shared" si="57"/>
        <v>588.16790741541502</v>
      </c>
      <c r="N127" s="87">
        <f t="shared" si="57"/>
        <v>766.75918399310001</v>
      </c>
      <c r="O127" s="87">
        <f t="shared" si="57"/>
        <v>934.79366538976035</v>
      </c>
      <c r="P127" s="87">
        <f t="shared" si="57"/>
        <v>1473.1506841436465</v>
      </c>
      <c r="Q127" s="87">
        <f t="shared" si="57"/>
        <v>2125.4551675496482</v>
      </c>
      <c r="R127" s="87">
        <f t="shared" si="57"/>
        <v>2535.5299033096949</v>
      </c>
      <c r="S127" s="87">
        <f t="shared" si="57"/>
        <v>3128.8366604815164</v>
      </c>
      <c r="T127" s="87">
        <f t="shared" si="57"/>
        <v>3167.5730137108612</v>
      </c>
      <c r="U127" s="87">
        <f t="shared" si="57"/>
        <v>2761.595479153681</v>
      </c>
      <c r="V127" s="87">
        <f t="shared" si="57"/>
        <v>3076.4720355630734</v>
      </c>
      <c r="W127" s="87">
        <f t="shared" si="57"/>
        <v>3154.4802838993537</v>
      </c>
      <c r="X127" s="87">
        <f t="shared" si="57"/>
        <v>4129.4849997997253</v>
      </c>
      <c r="Y127" s="87">
        <f t="shared" si="57"/>
        <v>4064.5669998400945</v>
      </c>
      <c r="Z127" s="87">
        <f t="shared" si="56"/>
        <v>4221.0879999999997</v>
      </c>
      <c r="AA127" s="87">
        <f t="shared" si="56"/>
        <v>4191.1369999999997</v>
      </c>
      <c r="AB127" s="87">
        <f t="shared" si="56"/>
        <v>3939.2939999999999</v>
      </c>
      <c r="AC127" s="87">
        <f t="shared" si="56"/>
        <v>3639.152</v>
      </c>
      <c r="AD127" s="87">
        <f t="shared" si="56"/>
        <v>4041.011</v>
      </c>
      <c r="AE127" s="87">
        <f t="shared" si="56"/>
        <v>4043.194</v>
      </c>
      <c r="AF127" s="217">
        <f t="shared" si="56"/>
        <v>4067.3709999999992</v>
      </c>
      <c r="AG127" s="217">
        <f t="shared" si="56"/>
        <v>3959.2719365617704</v>
      </c>
      <c r="AH127" s="217">
        <f t="shared" si="56"/>
        <v>3971.9364852681201</v>
      </c>
      <c r="AI127" s="217">
        <f t="shared" si="56"/>
        <v>3988.6198605555956</v>
      </c>
      <c r="AJ127" s="217">
        <f t="shared" si="56"/>
        <v>4022.4129861290362</v>
      </c>
      <c r="AK127" s="217">
        <f t="shared" si="56"/>
        <v>4075.5630455987871</v>
      </c>
      <c r="AL127" s="217">
        <f t="shared" si="56"/>
        <v>4081.2299004492843</v>
      </c>
      <c r="AM127" s="217">
        <f t="shared" si="56"/>
        <v>4114.4449960934253</v>
      </c>
      <c r="AN127" s="217">
        <f t="shared" si="56"/>
        <v>4159.8984090526019</v>
      </c>
      <c r="AO127" s="217">
        <f t="shared" si="56"/>
        <v>4195.1482049571259</v>
      </c>
      <c r="AP127" s="217">
        <f t="shared" si="56"/>
        <v>4231.6366201792271</v>
      </c>
      <c r="AQ127" s="217">
        <f t="shared" si="56"/>
        <v>4262.6021126196565</v>
      </c>
      <c r="AR127" s="217">
        <f t="shared" si="56"/>
        <v>4299.0470869296742</v>
      </c>
      <c r="AS127" s="217">
        <f t="shared" si="56"/>
        <v>4337.7267032774762</v>
      </c>
      <c r="AT127" s="217">
        <f t="shared" si="56"/>
        <v>4374.5004483161529</v>
      </c>
      <c r="AU127" s="217">
        <f t="shared" si="56"/>
        <v>4411.382440339703</v>
      </c>
      <c r="AV127" s="217">
        <f t="shared" si="56"/>
        <v>4448.4652395435223</v>
      </c>
      <c r="AW127" s="217">
        <f t="shared" si="56"/>
        <v>4486.5593709126379</v>
      </c>
      <c r="AX127" s="217">
        <f t="shared" si="56"/>
        <v>4525.1781274549439</v>
      </c>
      <c r="AY127" s="217">
        <f t="shared" si="56"/>
        <v>4804.4397601318469</v>
      </c>
      <c r="AZ127" s="217">
        <f t="shared" si="56"/>
        <v>2450.3843525674451</v>
      </c>
    </row>
    <row r="128" spans="1:52">
      <c r="I128" s="226" t="s">
        <v>40</v>
      </c>
      <c r="J128" s="87">
        <f t="shared" si="57"/>
        <v>252.07585334225041</v>
      </c>
      <c r="K128" s="87">
        <f t="shared" si="56"/>
        <v>428.91647607972709</v>
      </c>
      <c r="L128" s="87">
        <f t="shared" si="56"/>
        <v>501.54269897748003</v>
      </c>
      <c r="M128" s="87">
        <f t="shared" si="56"/>
        <v>690.21618735197262</v>
      </c>
      <c r="N128" s="87">
        <f t="shared" si="56"/>
        <v>794.8625069035063</v>
      </c>
      <c r="O128" s="87">
        <f t="shared" si="56"/>
        <v>995.39067772057808</v>
      </c>
      <c r="P128" s="87">
        <f t="shared" si="56"/>
        <v>1515.0687995112924</v>
      </c>
      <c r="Q128" s="87">
        <f t="shared" si="56"/>
        <v>2114.4830540189523</v>
      </c>
      <c r="R128" s="87">
        <f t="shared" si="56"/>
        <v>2654.9976732809605</v>
      </c>
      <c r="S128" s="87">
        <f t="shared" si="56"/>
        <v>3139.4126889716176</v>
      </c>
      <c r="T128" s="87">
        <f t="shared" si="56"/>
        <v>3214.9222950486046</v>
      </c>
      <c r="U128" s="87">
        <f t="shared" si="56"/>
        <v>2756.4219243921057</v>
      </c>
      <c r="V128" s="87">
        <f t="shared" si="56"/>
        <v>3070.0551567824773</v>
      </c>
      <c r="W128" s="87">
        <f t="shared" si="56"/>
        <v>3208.5887144504923</v>
      </c>
      <c r="X128" s="87">
        <f t="shared" si="56"/>
        <v>4030.1319998075955</v>
      </c>
      <c r="Y128" s="87">
        <f t="shared" si="56"/>
        <v>4118.033999812993</v>
      </c>
      <c r="Z128" s="87">
        <f t="shared" si="56"/>
        <v>4309.08</v>
      </c>
      <c r="AA128" s="87">
        <f t="shared" si="56"/>
        <v>4118.9369999999999</v>
      </c>
      <c r="AB128" s="87">
        <f t="shared" si="56"/>
        <v>4027.4869999999996</v>
      </c>
      <c r="AC128" s="87">
        <f t="shared" si="56"/>
        <v>3686.0079999999998</v>
      </c>
      <c r="AD128" s="87">
        <f t="shared" si="56"/>
        <v>4235.4809999999998</v>
      </c>
      <c r="AE128" s="87">
        <f t="shared" si="56"/>
        <v>4197.26</v>
      </c>
      <c r="AF128" s="217">
        <f t="shared" si="56"/>
        <v>4036.3390000000004</v>
      </c>
      <c r="AG128" s="217">
        <f t="shared" si="56"/>
        <v>4126.0439569570208</v>
      </c>
      <c r="AH128" s="217">
        <f t="shared" si="56"/>
        <v>4048.1005931258896</v>
      </c>
      <c r="AI128" s="217">
        <f t="shared" si="56"/>
        <v>4069.3851956168828</v>
      </c>
      <c r="AJ128" s="217">
        <f t="shared" si="56"/>
        <v>4038.0986435283839</v>
      </c>
      <c r="AK128" s="217">
        <f t="shared" si="56"/>
        <v>4045.8925284000843</v>
      </c>
      <c r="AL128" s="217">
        <f t="shared" si="56"/>
        <v>4066.4400974738141</v>
      </c>
      <c r="AM128" s="217">
        <f t="shared" si="56"/>
        <v>4134.6908871526848</v>
      </c>
      <c r="AN128" s="217">
        <f t="shared" si="56"/>
        <v>4172.425622587024</v>
      </c>
      <c r="AO128" s="217">
        <f t="shared" si="56"/>
        <v>4196.7170449802725</v>
      </c>
      <c r="AP128" s="217">
        <f t="shared" si="56"/>
        <v>4230.953016491937</v>
      </c>
      <c r="AQ128" s="217">
        <f t="shared" si="56"/>
        <v>4266.9323303453812</v>
      </c>
      <c r="AR128" s="217">
        <f t="shared" si="56"/>
        <v>4307.7182260349418</v>
      </c>
      <c r="AS128" s="217">
        <f t="shared" si="56"/>
        <v>4342.7183673686177</v>
      </c>
      <c r="AT128" s="217">
        <f t="shared" si="56"/>
        <v>4379.1822576652185</v>
      </c>
      <c r="AU128" s="217">
        <f t="shared" si="56"/>
        <v>4416.3051567756438</v>
      </c>
      <c r="AV128" s="217">
        <f t="shared" si="56"/>
        <v>4454.6102633846267</v>
      </c>
      <c r="AW128" s="217">
        <f t="shared" si="56"/>
        <v>4493.0304770931562</v>
      </c>
      <c r="AX128" s="217">
        <f t="shared" si="56"/>
        <v>4531.1402258664693</v>
      </c>
      <c r="AY128" s="217">
        <f t="shared" si="56"/>
        <v>4786.4057322745593</v>
      </c>
      <c r="AZ128" s="217">
        <f t="shared" si="56"/>
        <v>2439.7933830347847</v>
      </c>
    </row>
    <row r="129" spans="9:52">
      <c r="I129" s="226" t="s">
        <v>30</v>
      </c>
      <c r="J129" s="87">
        <f t="shared" si="57"/>
        <v>248.42493774940195</v>
      </c>
      <c r="K129" s="87">
        <f t="shared" si="56"/>
        <v>378.56358591132914</v>
      </c>
      <c r="L129" s="87">
        <f t="shared" si="56"/>
        <v>568.85290324943185</v>
      </c>
      <c r="M129" s="87">
        <f t="shared" si="56"/>
        <v>656.52269712572934</v>
      </c>
      <c r="N129" s="87">
        <f t="shared" si="56"/>
        <v>802.49988937196451</v>
      </c>
      <c r="O129" s="87">
        <f t="shared" si="56"/>
        <v>987.23387271916272</v>
      </c>
      <c r="P129" s="87">
        <f t="shared" si="56"/>
        <v>1565.6101374557018</v>
      </c>
      <c r="Q129" s="87">
        <f t="shared" si="56"/>
        <v>2149.2293137149541</v>
      </c>
      <c r="R129" s="87">
        <f t="shared" si="56"/>
        <v>2774.2657929610232</v>
      </c>
      <c r="S129" s="87">
        <f t="shared" si="56"/>
        <v>3241.8731176631395</v>
      </c>
      <c r="T129" s="87">
        <f t="shared" si="56"/>
        <v>3383.2716534561287</v>
      </c>
      <c r="U129" s="87">
        <f t="shared" si="56"/>
        <v>2795.6084870313398</v>
      </c>
      <c r="V129" s="87">
        <f t="shared" si="56"/>
        <v>3348.3599863146119</v>
      </c>
      <c r="W129" s="87">
        <f t="shared" si="56"/>
        <v>3383.2025946488029</v>
      </c>
      <c r="X129" s="87">
        <f t="shared" si="56"/>
        <v>4231.5949998343785</v>
      </c>
      <c r="Y129" s="87">
        <f t="shared" si="56"/>
        <v>4431.7739998036241</v>
      </c>
      <c r="Z129" s="87">
        <f t="shared" si="56"/>
        <v>4372.9830000000002</v>
      </c>
      <c r="AA129" s="87">
        <f t="shared" si="56"/>
        <v>4171.8720000000003</v>
      </c>
      <c r="AB129" s="87">
        <f t="shared" si="56"/>
        <v>4214.8730000000005</v>
      </c>
      <c r="AC129" s="87">
        <f t="shared" si="56"/>
        <v>3701.0930000000003</v>
      </c>
      <c r="AD129" s="87">
        <f t="shared" si="56"/>
        <v>4441.1100000000006</v>
      </c>
      <c r="AE129" s="87">
        <f t="shared" si="56"/>
        <v>3954.1240000000003</v>
      </c>
      <c r="AF129" s="217">
        <f t="shared" si="56"/>
        <v>4230.4939999999997</v>
      </c>
      <c r="AG129" s="217">
        <f t="shared" si="56"/>
        <v>4118.7588454960569</v>
      </c>
      <c r="AH129" s="217">
        <f t="shared" si="56"/>
        <v>3966.2701760275086</v>
      </c>
      <c r="AI129" s="217">
        <f t="shared" si="56"/>
        <v>4085.3798442114785</v>
      </c>
      <c r="AJ129" s="217">
        <f t="shared" si="56"/>
        <v>4034.7536728961695</v>
      </c>
      <c r="AK129" s="217">
        <f t="shared" si="56"/>
        <v>4100.3025913483971</v>
      </c>
      <c r="AL129" s="217">
        <f t="shared" si="56"/>
        <v>4118.815079755107</v>
      </c>
      <c r="AM129" s="217">
        <f t="shared" si="56"/>
        <v>4148.1952257982703</v>
      </c>
      <c r="AN129" s="217">
        <f t="shared" si="56"/>
        <v>4200.5682521941308</v>
      </c>
      <c r="AO129" s="217">
        <f t="shared" si="56"/>
        <v>4225.2917151201245</v>
      </c>
      <c r="AP129" s="217">
        <f t="shared" si="56"/>
        <v>4265.334684874013</v>
      </c>
      <c r="AQ129" s="217">
        <f t="shared" si="56"/>
        <v>4297.5732887886516</v>
      </c>
      <c r="AR129" s="217">
        <f t="shared" si="56"/>
        <v>4334.5636551129901</v>
      </c>
      <c r="AS129" s="217">
        <f t="shared" si="56"/>
        <v>4372.9524150367988</v>
      </c>
      <c r="AT129" s="217">
        <f t="shared" si="56"/>
        <v>4409.4416508619615</v>
      </c>
      <c r="AU129" s="217">
        <f t="shared" si="56"/>
        <v>4446.9199057984079</v>
      </c>
      <c r="AV129" s="217">
        <f t="shared" si="56"/>
        <v>4484.4188380151945</v>
      </c>
      <c r="AW129" s="217">
        <f t="shared" si="56"/>
        <v>4522.6284559733331</v>
      </c>
      <c r="AX129" s="217">
        <f t="shared" si="56"/>
        <v>4561.4419485416238</v>
      </c>
      <c r="AY129" s="217">
        <f t="shared" si="56"/>
        <v>4870.3942758750254</v>
      </c>
      <c r="AZ129" s="217">
        <f t="shared" si="56"/>
        <v>2486.0835953804258</v>
      </c>
    </row>
    <row r="130" spans="9:52">
      <c r="I130" s="226" t="s">
        <v>31</v>
      </c>
      <c r="J130" s="87">
        <f t="shared" si="57"/>
        <v>273.79001115683155</v>
      </c>
      <c r="K130" s="87">
        <f t="shared" si="56"/>
        <v>412.01972952794108</v>
      </c>
      <c r="L130" s="87">
        <f t="shared" si="56"/>
        <v>543.71075811676951</v>
      </c>
      <c r="M130" s="87">
        <f t="shared" si="56"/>
        <v>612.85601862605199</v>
      </c>
      <c r="N130" s="87">
        <f t="shared" si="56"/>
        <v>788.43791631682791</v>
      </c>
      <c r="O130" s="87">
        <f t="shared" si="56"/>
        <v>1042.8002919966252</v>
      </c>
      <c r="P130" s="87">
        <f t="shared" si="56"/>
        <v>1704.4175333454493</v>
      </c>
      <c r="Q130" s="87">
        <f t="shared" si="56"/>
        <v>2044.32384325249</v>
      </c>
      <c r="R130" s="87">
        <f t="shared" si="56"/>
        <v>2865.3930248395036</v>
      </c>
      <c r="S130" s="87">
        <f t="shared" si="56"/>
        <v>3139.2675988839615</v>
      </c>
      <c r="T130" s="87">
        <f t="shared" si="56"/>
        <v>3300.3644207278949</v>
      </c>
      <c r="U130" s="87">
        <f t="shared" si="56"/>
        <v>2726.6576523821473</v>
      </c>
      <c r="V130" s="87">
        <f t="shared" si="56"/>
        <v>3202.3477957936329</v>
      </c>
      <c r="W130" s="87">
        <f t="shared" si="56"/>
        <v>4268.4449997344745</v>
      </c>
      <c r="X130" s="87">
        <f t="shared" si="56"/>
        <v>4080.9489998392701</v>
      </c>
      <c r="Y130" s="87">
        <f t="shared" si="56"/>
        <v>4375.5250000000005</v>
      </c>
      <c r="Z130" s="87">
        <f t="shared" si="56"/>
        <v>4376.9950000000008</v>
      </c>
      <c r="AA130" s="87">
        <f t="shared" si="56"/>
        <v>4043.9470000000001</v>
      </c>
      <c r="AB130" s="87">
        <f t="shared" si="56"/>
        <v>4195.1400000000003</v>
      </c>
      <c r="AC130" s="87">
        <f t="shared" si="56"/>
        <v>3568.1900000000005</v>
      </c>
      <c r="AD130" s="87">
        <f t="shared" si="56"/>
        <v>4254.9580000000005</v>
      </c>
      <c r="AE130" s="87">
        <f t="shared" si="56"/>
        <v>3952.8810000000003</v>
      </c>
      <c r="AF130" s="217">
        <f t="shared" si="56"/>
        <v>3921.74</v>
      </c>
      <c r="AG130" s="217">
        <f t="shared" si="56"/>
        <v>3933.0621458793262</v>
      </c>
      <c r="AH130" s="217">
        <f t="shared" si="56"/>
        <v>3718.3629156566076</v>
      </c>
      <c r="AI130" s="217">
        <f t="shared" si="56"/>
        <v>3798.5362514653061</v>
      </c>
      <c r="AJ130" s="217">
        <f t="shared" si="56"/>
        <v>3812.8723094321949</v>
      </c>
      <c r="AK130" s="217">
        <f t="shared" si="56"/>
        <v>3833.0144803052322</v>
      </c>
      <c r="AL130" s="217">
        <f t="shared" si="56"/>
        <v>3871.0762111077784</v>
      </c>
      <c r="AM130" s="217">
        <f t="shared" si="56"/>
        <v>3893.7889087164463</v>
      </c>
      <c r="AN130" s="217">
        <f t="shared" si="56"/>
        <v>3944.0580921892379</v>
      </c>
      <c r="AO130" s="217">
        <f t="shared" si="56"/>
        <v>3970.1950869624961</v>
      </c>
      <c r="AP130" s="217">
        <f t="shared" si="56"/>
        <v>4001.7768850024636</v>
      </c>
      <c r="AQ130" s="217">
        <f t="shared" si="56"/>
        <v>4033.7505704147543</v>
      </c>
      <c r="AR130" s="217">
        <f t="shared" si="56"/>
        <v>4069.0289622147334</v>
      </c>
      <c r="AS130" s="217">
        <f t="shared" si="56"/>
        <v>4104.193399406523</v>
      </c>
      <c r="AT130" s="217">
        <f t="shared" si="56"/>
        <v>4139.3399209211138</v>
      </c>
      <c r="AU130" s="217">
        <f t="shared" si="56"/>
        <v>4172.8643630304978</v>
      </c>
      <c r="AV130" s="217">
        <f t="shared" si="56"/>
        <v>4208.1602749905815</v>
      </c>
      <c r="AW130" s="217">
        <f t="shared" si="56"/>
        <v>4243.8307087918665</v>
      </c>
      <c r="AX130" s="217">
        <f t="shared" si="56"/>
        <v>4544.6509012631395</v>
      </c>
      <c r="AY130" s="217">
        <f t="shared" si="56"/>
        <v>4650.2465798380808</v>
      </c>
      <c r="AZ130" s="217">
        <f t="shared" si="56"/>
        <v>2380.991603208422</v>
      </c>
    </row>
    <row r="131" spans="9:52">
      <c r="I131" s="226" t="s">
        <v>32</v>
      </c>
      <c r="J131" s="87">
        <f t="shared" si="57"/>
        <v>253.31653942969541</v>
      </c>
      <c r="K131" s="87">
        <f t="shared" si="56"/>
        <v>439.7864081376045</v>
      </c>
      <c r="L131" s="87">
        <f t="shared" si="56"/>
        <v>586.91638172532339</v>
      </c>
      <c r="M131" s="87">
        <f t="shared" si="56"/>
        <v>643.25930591239239</v>
      </c>
      <c r="N131" s="87">
        <f t="shared" si="56"/>
        <v>853.32203573294055</v>
      </c>
      <c r="O131" s="87">
        <f t="shared" si="56"/>
        <v>1128.8358028545049</v>
      </c>
      <c r="P131" s="87">
        <f t="shared" si="56"/>
        <v>1694.9679872155216</v>
      </c>
      <c r="Q131" s="87">
        <f t="shared" si="56"/>
        <v>1895.4097957357726</v>
      </c>
      <c r="R131" s="87">
        <f t="shared" si="56"/>
        <v>2686.3639501929033</v>
      </c>
      <c r="S131" s="87">
        <f t="shared" si="56"/>
        <v>2863.4018789601128</v>
      </c>
      <c r="T131" s="87">
        <f t="shared" si="56"/>
        <v>3084.1205671908065</v>
      </c>
      <c r="U131" s="87">
        <f t="shared" si="56"/>
        <v>2519.3118977145255</v>
      </c>
      <c r="V131" s="87">
        <f t="shared" si="56"/>
        <v>2934.1108765292306</v>
      </c>
      <c r="W131" s="87">
        <f t="shared" si="56"/>
        <v>3761.858999692301</v>
      </c>
      <c r="X131" s="87">
        <f t="shared" si="56"/>
        <v>3843.8689998059081</v>
      </c>
      <c r="Y131" s="87">
        <f t="shared" si="56"/>
        <v>3923.7519999999995</v>
      </c>
      <c r="Z131" s="87">
        <f t="shared" si="56"/>
        <v>3940.5860000000002</v>
      </c>
      <c r="AA131" s="87">
        <f t="shared" si="56"/>
        <v>3692.7569999999996</v>
      </c>
      <c r="AB131" s="87">
        <f t="shared" si="56"/>
        <v>3851.7529999999997</v>
      </c>
      <c r="AC131" s="87">
        <f t="shared" si="56"/>
        <v>2943.92</v>
      </c>
      <c r="AD131" s="87">
        <f t="shared" si="56"/>
        <v>3791.5650000000001</v>
      </c>
      <c r="AE131" s="87">
        <f t="shared" si="56"/>
        <v>3530.3910000000005</v>
      </c>
      <c r="AF131" s="217">
        <f t="shared" si="56"/>
        <v>3820.3879999999999</v>
      </c>
      <c r="AG131" s="217">
        <f t="shared" si="56"/>
        <v>3535.0138224566776</v>
      </c>
      <c r="AH131" s="217">
        <f t="shared" si="56"/>
        <v>3381.8883897784908</v>
      </c>
      <c r="AI131" s="217">
        <f t="shared" si="56"/>
        <v>3515.5976155791323</v>
      </c>
      <c r="AJ131" s="217">
        <f t="shared" si="56"/>
        <v>3556.3389052206653</v>
      </c>
      <c r="AK131" s="217">
        <f t="shared" si="56"/>
        <v>3595.7736831026305</v>
      </c>
      <c r="AL131" s="217">
        <f t="shared" si="56"/>
        <v>3584.1349000385703</v>
      </c>
      <c r="AM131" s="217">
        <f t="shared" si="56"/>
        <v>3619.3079635399254</v>
      </c>
      <c r="AN131" s="217">
        <f t="shared" si="56"/>
        <v>3659.9569947008495</v>
      </c>
      <c r="AO131" s="217">
        <f t="shared" si="56"/>
        <v>3691.7059287596444</v>
      </c>
      <c r="AP131" s="217">
        <f t="shared" si="56"/>
        <v>3720.5514785110649</v>
      </c>
      <c r="AQ131" s="217">
        <f t="shared" si="56"/>
        <v>3745.0888784742233</v>
      </c>
      <c r="AR131" s="217">
        <f t="shared" si="56"/>
        <v>3779.0074487967154</v>
      </c>
      <c r="AS131" s="217">
        <f t="shared" si="56"/>
        <v>3811.069678920383</v>
      </c>
      <c r="AT131" s="217">
        <f t="shared" si="56"/>
        <v>3842.678609140562</v>
      </c>
      <c r="AU131" s="217">
        <f t="shared" si="56"/>
        <v>3873.7407471573283</v>
      </c>
      <c r="AV131" s="217">
        <f t="shared" si="56"/>
        <v>3905.4861525634105</v>
      </c>
      <c r="AW131" s="217">
        <f t="shared" si="56"/>
        <v>3938.3219140195024</v>
      </c>
      <c r="AX131" s="217">
        <f t="shared" si="56"/>
        <v>4257.5670198272064</v>
      </c>
      <c r="AY131" s="217">
        <f t="shared" si="56"/>
        <v>4310.7953128222507</v>
      </c>
      <c r="AZ131" s="217">
        <f t="shared" si="56"/>
        <v>2205.639416809081</v>
      </c>
    </row>
    <row r="132" spans="9:52">
      <c r="I132" s="226" t="s">
        <v>33</v>
      </c>
      <c r="J132" s="87">
        <f t="shared" si="57"/>
        <v>302.70523651070454</v>
      </c>
      <c r="K132" s="87">
        <f t="shared" si="56"/>
        <v>479.90240841388743</v>
      </c>
      <c r="L132" s="87">
        <f t="shared" si="56"/>
        <v>674.76368460683943</v>
      </c>
      <c r="M132" s="87">
        <f t="shared" si="56"/>
        <v>707.58019858548266</v>
      </c>
      <c r="N132" s="87">
        <f t="shared" si="56"/>
        <v>881.22545223825523</v>
      </c>
      <c r="O132" s="87">
        <f t="shared" si="56"/>
        <v>1232.9919285032843</v>
      </c>
      <c r="P132" s="87">
        <f t="shared" si="56"/>
        <v>1848.8156152484021</v>
      </c>
      <c r="Q132" s="87">
        <f t="shared" si="56"/>
        <v>2092.7545111855857</v>
      </c>
      <c r="R132" s="87">
        <f t="shared" si="56"/>
        <v>2998.9080168674473</v>
      </c>
      <c r="S132" s="87">
        <f t="shared" si="56"/>
        <v>3217.7103120394904</v>
      </c>
      <c r="T132" s="87">
        <f t="shared" si="56"/>
        <v>3130.3577461777713</v>
      </c>
      <c r="U132" s="87">
        <f t="shared" si="56"/>
        <v>2848.7529457895371</v>
      </c>
      <c r="V132" s="87">
        <f t="shared" si="56"/>
        <v>3211.9912286475419</v>
      </c>
      <c r="W132" s="87">
        <f t="shared" si="56"/>
        <v>4153.1739997474633</v>
      </c>
      <c r="X132" s="87">
        <f t="shared" si="56"/>
        <v>4106.2949998347412</v>
      </c>
      <c r="Y132" s="87">
        <f t="shared" si="56"/>
        <v>4298.4629999999997</v>
      </c>
      <c r="Z132" s="87">
        <f t="shared" si="56"/>
        <v>4312.6260000000002</v>
      </c>
      <c r="AA132" s="87">
        <f t="shared" si="56"/>
        <v>3961.5619999999999</v>
      </c>
      <c r="AB132" s="87">
        <f t="shared" si="56"/>
        <v>3681.8310000000001</v>
      </c>
      <c r="AC132" s="87">
        <f t="shared" ref="K132:AZ137" si="58">AC71+AC87</f>
        <v>3697.2189999999996</v>
      </c>
      <c r="AD132" s="87">
        <f t="shared" si="58"/>
        <v>4208.0479999999998</v>
      </c>
      <c r="AE132" s="87">
        <f t="shared" si="58"/>
        <v>3911.3310000000001</v>
      </c>
      <c r="AF132" s="217">
        <f t="shared" si="58"/>
        <v>4021.9549999999999</v>
      </c>
      <c r="AG132" s="217">
        <f>AG71+AG87</f>
        <v>3818.7461362348208</v>
      </c>
      <c r="AH132" s="217">
        <f t="shared" si="58"/>
        <v>3823.7228520315512</v>
      </c>
      <c r="AI132" s="217">
        <f t="shared" si="58"/>
        <v>3841.0592832147581</v>
      </c>
      <c r="AJ132" s="217">
        <f t="shared" si="58"/>
        <v>3832.1062557654682</v>
      </c>
      <c r="AK132" s="217">
        <f t="shared" si="58"/>
        <v>3849.3703725626083</v>
      </c>
      <c r="AL132" s="217">
        <f t="shared" si="58"/>
        <v>3897.6711159070082</v>
      </c>
      <c r="AM132" s="217">
        <f t="shared" si="58"/>
        <v>3950.2311491116261</v>
      </c>
      <c r="AN132" s="217">
        <f t="shared" si="58"/>
        <v>3969.6139398688874</v>
      </c>
      <c r="AO132" s="217">
        <f t="shared" si="58"/>
        <v>3998.4531961976368</v>
      </c>
      <c r="AP132" s="217">
        <f t="shared" si="58"/>
        <v>4032.5403162406851</v>
      </c>
      <c r="AQ132" s="217">
        <f t="shared" si="58"/>
        <v>4068.520283447242</v>
      </c>
      <c r="AR132" s="217">
        <f t="shared" si="58"/>
        <v>4105.4791356945725</v>
      </c>
      <c r="AS132" s="217">
        <f t="shared" si="58"/>
        <v>4137.4351638568078</v>
      </c>
      <c r="AT132" s="217">
        <f t="shared" si="58"/>
        <v>4171.81747842397</v>
      </c>
      <c r="AU132" s="217">
        <f t="shared" si="58"/>
        <v>4207.3669944918611</v>
      </c>
      <c r="AV132" s="217">
        <f t="shared" si="58"/>
        <v>4243.5314122674354</v>
      </c>
      <c r="AW132" s="217">
        <f t="shared" si="58"/>
        <v>4279.337566718812</v>
      </c>
      <c r="AX132" s="217">
        <f t="shared" si="58"/>
        <v>4562.4109148819543</v>
      </c>
      <c r="AY132" s="217">
        <f t="shared" si="58"/>
        <v>4604.6669851264196</v>
      </c>
      <c r="AZ132" s="217">
        <f t="shared" si="58"/>
        <v>2350.1032004065241</v>
      </c>
    </row>
    <row r="133" spans="9:52">
      <c r="I133" s="226" t="s">
        <v>14</v>
      </c>
      <c r="J133" s="87">
        <f t="shared" si="57"/>
        <v>241.51111302347977</v>
      </c>
      <c r="K133" s="87">
        <f t="shared" si="58"/>
        <v>505.11511933646938</v>
      </c>
      <c r="L133" s="87">
        <f t="shared" si="58"/>
        <v>639.12897882099821</v>
      </c>
      <c r="M133" s="87">
        <f t="shared" si="58"/>
        <v>617.22242942676098</v>
      </c>
      <c r="N133" s="87">
        <f t="shared" si="58"/>
        <v>930.5798995255393</v>
      </c>
      <c r="O133" s="87">
        <f t="shared" si="58"/>
        <v>1315.1507668127169</v>
      </c>
      <c r="P133" s="87">
        <f t="shared" si="58"/>
        <v>1958.4486064488431</v>
      </c>
      <c r="Q133" s="87">
        <f t="shared" si="58"/>
        <v>2158.8651105024528</v>
      </c>
      <c r="R133" s="87">
        <f t="shared" si="58"/>
        <v>2852.8924352534068</v>
      </c>
      <c r="S133" s="87">
        <f t="shared" si="58"/>
        <v>3071.319586825025</v>
      </c>
      <c r="T133" s="87">
        <f t="shared" si="58"/>
        <v>3083.8215728307332</v>
      </c>
      <c r="U133" s="87">
        <f t="shared" si="58"/>
        <v>2945.9439293132482</v>
      </c>
      <c r="V133" s="87">
        <f t="shared" si="58"/>
        <v>3275.3608562534282</v>
      </c>
      <c r="W133" s="87">
        <f t="shared" si="58"/>
        <v>3823.9579997797218</v>
      </c>
      <c r="X133" s="87">
        <f t="shared" si="58"/>
        <v>3811.4669998379527</v>
      </c>
      <c r="Y133" s="87">
        <f t="shared" si="58"/>
        <v>3945.172</v>
      </c>
      <c r="Z133" s="87">
        <f t="shared" si="58"/>
        <v>4106.107</v>
      </c>
      <c r="AA133" s="87">
        <f t="shared" si="58"/>
        <v>3975.012999999999</v>
      </c>
      <c r="AB133" s="87">
        <f t="shared" si="58"/>
        <v>2182.6350000000002</v>
      </c>
      <c r="AC133" s="87">
        <f t="shared" si="58"/>
        <v>3582.8310000000001</v>
      </c>
      <c r="AD133" s="87">
        <f t="shared" si="58"/>
        <v>3883.3500000000004</v>
      </c>
      <c r="AE133" s="87">
        <f t="shared" si="58"/>
        <v>3764.0050000000001</v>
      </c>
      <c r="AF133" s="217">
        <f t="shared" si="58"/>
        <v>3842.6469999999999</v>
      </c>
      <c r="AG133" s="217">
        <f t="shared" si="58"/>
        <v>3506.3415693182005</v>
      </c>
      <c r="AH133" s="217">
        <f t="shared" si="58"/>
        <v>3754.507402292345</v>
      </c>
      <c r="AI133" s="217">
        <f t="shared" si="58"/>
        <v>3765.496729720704</v>
      </c>
      <c r="AJ133" s="217">
        <f t="shared" si="58"/>
        <v>3776.7168392830495</v>
      </c>
      <c r="AK133" s="217">
        <f t="shared" si="58"/>
        <v>3816.4407006421279</v>
      </c>
      <c r="AL133" s="217">
        <f t="shared" si="58"/>
        <v>3818.995182990443</v>
      </c>
      <c r="AM133" s="217">
        <f t="shared" si="58"/>
        <v>3875.0897710392733</v>
      </c>
      <c r="AN133" s="217">
        <f t="shared" si="58"/>
        <v>3897.8721560404529</v>
      </c>
      <c r="AO133" s="217">
        <f t="shared" si="58"/>
        <v>3939.1085179615661</v>
      </c>
      <c r="AP133" s="217">
        <f t="shared" si="58"/>
        <v>3966.8534835075102</v>
      </c>
      <c r="AQ133" s="217">
        <f t="shared" si="58"/>
        <v>3997.8531118180308</v>
      </c>
      <c r="AR133" s="217">
        <f t="shared" si="58"/>
        <v>4033.5218239186515</v>
      </c>
      <c r="AS133" s="217">
        <f t="shared" si="58"/>
        <v>4066.1148023838696</v>
      </c>
      <c r="AT133" s="217">
        <f t="shared" si="58"/>
        <v>4101.9070248271091</v>
      </c>
      <c r="AU133" s="217">
        <f t="shared" si="58"/>
        <v>4135.9865550031209</v>
      </c>
      <c r="AV133" s="217">
        <f t="shared" si="58"/>
        <v>4169.8588279640662</v>
      </c>
      <c r="AW133" s="217">
        <f t="shared" si="58"/>
        <v>4205.4430657138537</v>
      </c>
      <c r="AX133" s="217">
        <f t="shared" si="58"/>
        <v>4464.2866618997314</v>
      </c>
      <c r="AY133" s="217">
        <f t="shared" si="58"/>
        <v>4490.0521210920424</v>
      </c>
      <c r="AZ133" s="217">
        <f t="shared" si="58"/>
        <v>2288.1565210497452</v>
      </c>
    </row>
    <row r="134" spans="9:52">
      <c r="I134" s="226" t="s">
        <v>34</v>
      </c>
      <c r="J134" s="87">
        <f t="shared" si="57"/>
        <v>266.80133946535778</v>
      </c>
      <c r="K134" s="87">
        <f t="shared" si="58"/>
        <v>491.49667694969986</v>
      </c>
      <c r="L134" s="87">
        <f t="shared" si="58"/>
        <v>688.65105321207272</v>
      </c>
      <c r="M134" s="87">
        <f t="shared" si="58"/>
        <v>785.91038084584534</v>
      </c>
      <c r="N134" s="87">
        <f t="shared" si="58"/>
        <v>847.93006118632513</v>
      </c>
      <c r="O134" s="87">
        <f t="shared" si="58"/>
        <v>1311.5243163612054</v>
      </c>
      <c r="P134" s="87">
        <f t="shared" si="58"/>
        <v>2004.5812186273997</v>
      </c>
      <c r="Q134" s="87">
        <f t="shared" si="58"/>
        <v>2290.618927006285</v>
      </c>
      <c r="R134" s="87">
        <f t="shared" si="58"/>
        <v>3000.5893508867871</v>
      </c>
      <c r="S134" s="87">
        <f t="shared" si="58"/>
        <v>3152.4940162409694</v>
      </c>
      <c r="T134" s="87">
        <f t="shared" si="58"/>
        <v>3164.8129338154795</v>
      </c>
      <c r="U134" s="87">
        <f t="shared" si="58"/>
        <v>3088.8941044568355</v>
      </c>
      <c r="V134" s="87">
        <f t="shared" si="58"/>
        <v>3350.6196885086642</v>
      </c>
      <c r="W134" s="87">
        <f t="shared" si="58"/>
        <v>4093.8989998068228</v>
      </c>
      <c r="X134" s="87">
        <f t="shared" si="58"/>
        <v>3941.8739998344822</v>
      </c>
      <c r="Y134" s="87">
        <f t="shared" si="58"/>
        <v>4183.7709999999997</v>
      </c>
      <c r="Z134" s="87">
        <f t="shared" si="58"/>
        <v>4252.8389999999999</v>
      </c>
      <c r="AA134" s="87">
        <f t="shared" si="58"/>
        <v>4169.567</v>
      </c>
      <c r="AB134" s="87">
        <f t="shared" si="58"/>
        <v>2396.3480000000004</v>
      </c>
      <c r="AC134" s="87">
        <f t="shared" si="58"/>
        <v>3770.0330000000004</v>
      </c>
      <c r="AD134" s="87">
        <f t="shared" si="58"/>
        <v>4030.0189999999998</v>
      </c>
      <c r="AE134" s="87">
        <f t="shared" si="58"/>
        <v>3903.7729999999997</v>
      </c>
      <c r="AF134" s="217">
        <f t="shared" si="58"/>
        <v>4027.2759999999998</v>
      </c>
      <c r="AG134" s="217">
        <f t="shared" si="58"/>
        <v>3671.055989315827</v>
      </c>
      <c r="AH134" s="217">
        <f t="shared" si="58"/>
        <v>3883.3483829315019</v>
      </c>
      <c r="AI134" s="217">
        <f t="shared" si="58"/>
        <v>3930.5803113570591</v>
      </c>
      <c r="AJ134" s="217">
        <f t="shared" si="58"/>
        <v>3934.541524900922</v>
      </c>
      <c r="AK134" s="217">
        <f t="shared" si="58"/>
        <v>3963.9374935312317</v>
      </c>
      <c r="AL134" s="217">
        <f t="shared" si="58"/>
        <v>3968.2702829977411</v>
      </c>
      <c r="AM134" s="217">
        <f t="shared" si="58"/>
        <v>4039.2440036860567</v>
      </c>
      <c r="AN134" s="217">
        <f t="shared" si="58"/>
        <v>4064.7490844432668</v>
      </c>
      <c r="AO134" s="217">
        <f t="shared" si="58"/>
        <v>4101.0381887105168</v>
      </c>
      <c r="AP134" s="217">
        <f t="shared" si="58"/>
        <v>4132.2312437244518</v>
      </c>
      <c r="AQ134" s="217">
        <f t="shared" si="58"/>
        <v>4167.1491935216336</v>
      </c>
      <c r="AR134" s="217">
        <f t="shared" si="58"/>
        <v>4207.0902326516371</v>
      </c>
      <c r="AS134" s="217">
        <f t="shared" si="58"/>
        <v>4241.4052478901031</v>
      </c>
      <c r="AT134" s="217">
        <f t="shared" si="58"/>
        <v>4278.1713169139384</v>
      </c>
      <c r="AU134" s="217">
        <f t="shared" si="58"/>
        <v>4315.376887571023</v>
      </c>
      <c r="AV134" s="217">
        <f t="shared" si="58"/>
        <v>4352.5184269718684</v>
      </c>
      <c r="AW134" s="217">
        <f t="shared" si="58"/>
        <v>4390.7220464094926</v>
      </c>
      <c r="AX134" s="217">
        <f t="shared" si="58"/>
        <v>4582.7824286437617</v>
      </c>
      <c r="AY134" s="217">
        <f t="shared" si="58"/>
        <v>4591.503565256774</v>
      </c>
      <c r="AZ134" s="217">
        <f t="shared" si="58"/>
        <v>2331.3799090545276</v>
      </c>
    </row>
    <row r="135" spans="9:52">
      <c r="I135" s="226" t="s">
        <v>35</v>
      </c>
      <c r="J135" s="87">
        <f t="shared" si="57"/>
        <v>291.46995964919302</v>
      </c>
      <c r="K135" s="87">
        <f t="shared" si="58"/>
        <v>492.82145085560421</v>
      </c>
      <c r="L135" s="87">
        <f t="shared" si="58"/>
        <v>603.97318637903561</v>
      </c>
      <c r="M135" s="87">
        <f t="shared" si="58"/>
        <v>703.47315254482442</v>
      </c>
      <c r="N135" s="87">
        <f t="shared" si="58"/>
        <v>991.55257536497561</v>
      </c>
      <c r="O135" s="87">
        <f t="shared" si="58"/>
        <v>1355.2520517544785</v>
      </c>
      <c r="P135" s="87">
        <f t="shared" si="58"/>
        <v>2015.0795392428158</v>
      </c>
      <c r="Q135" s="87">
        <f t="shared" si="58"/>
        <v>2450.9664990175761</v>
      </c>
      <c r="R135" s="87">
        <f t="shared" si="58"/>
        <v>2925.215701619285</v>
      </c>
      <c r="S135" s="87">
        <f t="shared" si="58"/>
        <v>3092.4922069754903</v>
      </c>
      <c r="T135" s="87">
        <f t="shared" si="58"/>
        <v>3090.9642364658202</v>
      </c>
      <c r="U135" s="87">
        <f t="shared" si="58"/>
        <v>3075.9759849203074</v>
      </c>
      <c r="V135" s="87">
        <f t="shared" si="58"/>
        <v>3370.3166391001919</v>
      </c>
      <c r="W135" s="87">
        <f t="shared" si="58"/>
        <v>4052.1519996779107</v>
      </c>
      <c r="X135" s="87">
        <f t="shared" si="58"/>
        <v>3897.4369998076918</v>
      </c>
      <c r="Y135" s="87">
        <f t="shared" si="58"/>
        <v>3990.19</v>
      </c>
      <c r="Z135" s="87">
        <f t="shared" si="58"/>
        <v>4136.5509999999995</v>
      </c>
      <c r="AA135" s="87">
        <f t="shared" si="58"/>
        <v>4039.1190000000001</v>
      </c>
      <c r="AB135" s="87">
        <f t="shared" si="58"/>
        <v>3093.875</v>
      </c>
      <c r="AC135" s="87">
        <f t="shared" si="58"/>
        <v>3840.4349999999995</v>
      </c>
      <c r="AD135" s="87">
        <f t="shared" si="58"/>
        <v>4057.3009999999995</v>
      </c>
      <c r="AE135" s="217">
        <f t="shared" si="58"/>
        <v>3907.2829999999994</v>
      </c>
      <c r="AF135" s="217">
        <f t="shared" si="58"/>
        <v>3661.09</v>
      </c>
      <c r="AG135" s="217">
        <f t="shared" si="58"/>
        <v>3699.1272269293395</v>
      </c>
      <c r="AH135" s="217">
        <f t="shared" si="58"/>
        <v>3772.9966455359258</v>
      </c>
      <c r="AI135" s="217">
        <f t="shared" si="58"/>
        <v>3780.0124564613684</v>
      </c>
      <c r="AJ135" s="217">
        <f t="shared" si="58"/>
        <v>3784.4849388837783</v>
      </c>
      <c r="AK135" s="217">
        <f t="shared" si="58"/>
        <v>3784.4368481395031</v>
      </c>
      <c r="AL135" s="217">
        <f t="shared" si="58"/>
        <v>3850.8606972678513</v>
      </c>
      <c r="AM135" s="217">
        <f t="shared" si="58"/>
        <v>3897.1455194484488</v>
      </c>
      <c r="AN135" s="217">
        <f t="shared" si="58"/>
        <v>3916.2228949179239</v>
      </c>
      <c r="AO135" s="217">
        <f t="shared" si="58"/>
        <v>3950.9261083094652</v>
      </c>
      <c r="AP135" s="217">
        <f t="shared" si="58"/>
        <v>3983.2051763593986</v>
      </c>
      <c r="AQ135" s="217">
        <f t="shared" si="58"/>
        <v>4021.6617536821645</v>
      </c>
      <c r="AR135" s="217">
        <f t="shared" si="58"/>
        <v>4056.5944955797468</v>
      </c>
      <c r="AS135" s="217">
        <f t="shared" si="58"/>
        <v>4090.9632325310586</v>
      </c>
      <c r="AT135" s="217">
        <f t="shared" si="58"/>
        <v>4126.7218486243928</v>
      </c>
      <c r="AU135" s="217">
        <f t="shared" si="58"/>
        <v>4163.1697962277249</v>
      </c>
      <c r="AV135" s="217">
        <f t="shared" si="58"/>
        <v>4199.843895916656</v>
      </c>
      <c r="AW135" s="217">
        <f t="shared" si="58"/>
        <v>4236.4993277725316</v>
      </c>
      <c r="AX135" s="217">
        <f t="shared" si="58"/>
        <v>4363.6833771480042</v>
      </c>
      <c r="AY135" s="217">
        <f t="shared" si="58"/>
        <v>4320.0900971576566</v>
      </c>
      <c r="AZ135" s="217">
        <f t="shared" si="58"/>
        <v>2183.3628475030964</v>
      </c>
    </row>
    <row r="136" spans="9:52">
      <c r="I136" s="226" t="s">
        <v>36</v>
      </c>
      <c r="J136" s="87">
        <f t="shared" si="57"/>
        <v>251.24218736403094</v>
      </c>
      <c r="K136" s="87">
        <f t="shared" si="58"/>
        <v>457.81890592762215</v>
      </c>
      <c r="L136" s="87">
        <f t="shared" si="58"/>
        <v>646.01587141670302</v>
      </c>
      <c r="M136" s="87">
        <f t="shared" si="58"/>
        <v>792.61978707077992</v>
      </c>
      <c r="N136" s="87">
        <f t="shared" si="58"/>
        <v>979.0304192686765</v>
      </c>
      <c r="O136" s="87">
        <f t="shared" si="58"/>
        <v>1375.7009435082598</v>
      </c>
      <c r="P136" s="87">
        <f t="shared" si="58"/>
        <v>2074.2832911179389</v>
      </c>
      <c r="Q136" s="87">
        <f t="shared" si="58"/>
        <v>2683.1800196843665</v>
      </c>
      <c r="R136" s="87">
        <f t="shared" si="58"/>
        <v>3029.8533665443319</v>
      </c>
      <c r="S136" s="87">
        <f t="shared" si="58"/>
        <v>3181.0815719550028</v>
      </c>
      <c r="T136" s="87">
        <f t="shared" si="58"/>
        <v>2909.8967996849019</v>
      </c>
      <c r="U136" s="87">
        <f t="shared" si="58"/>
        <v>3078.6837622273661</v>
      </c>
      <c r="V136" s="87">
        <f t="shared" si="58"/>
        <v>3449.958488689469</v>
      </c>
      <c r="W136" s="87">
        <f t="shared" si="58"/>
        <v>4083.6899997698856</v>
      </c>
      <c r="X136" s="87">
        <f t="shared" si="58"/>
        <v>4068.2629998177749</v>
      </c>
      <c r="Y136" s="87">
        <f t="shared" si="58"/>
        <v>4178.8329999999996</v>
      </c>
      <c r="Z136" s="87">
        <f t="shared" si="58"/>
        <v>4284.2569999999996</v>
      </c>
      <c r="AA136" s="87">
        <f t="shared" si="58"/>
        <v>3974.5250000000001</v>
      </c>
      <c r="AB136" s="87">
        <f t="shared" si="58"/>
        <v>3455.4629999999997</v>
      </c>
      <c r="AC136" s="87">
        <f t="shared" si="58"/>
        <v>3855.06</v>
      </c>
      <c r="AD136" s="87">
        <f t="shared" si="58"/>
        <v>4057.8050000000003</v>
      </c>
      <c r="AE136" s="217">
        <f t="shared" si="58"/>
        <v>3947.896999999999</v>
      </c>
      <c r="AF136" s="217">
        <f t="shared" si="58"/>
        <v>4022.3700000000003</v>
      </c>
      <c r="AG136" s="217">
        <f t="shared" si="58"/>
        <v>3615.3274267857414</v>
      </c>
      <c r="AH136" s="217">
        <f t="shared" si="58"/>
        <v>3645.6531635145611</v>
      </c>
      <c r="AI136" s="217">
        <f t="shared" si="58"/>
        <v>3629.1890551609913</v>
      </c>
      <c r="AJ136" s="217">
        <f t="shared" si="58"/>
        <v>3703.9788842284051</v>
      </c>
      <c r="AK136" s="217">
        <f t="shared" si="58"/>
        <v>3735.3685992696833</v>
      </c>
      <c r="AL136" s="217">
        <f t="shared" si="58"/>
        <v>3752.8537055798142</v>
      </c>
      <c r="AM136" s="217">
        <f t="shared" si="58"/>
        <v>3795.101116930462</v>
      </c>
      <c r="AN136" s="217">
        <f t="shared" si="58"/>
        <v>3821.402027356793</v>
      </c>
      <c r="AO136" s="217">
        <f t="shared" si="58"/>
        <v>3864.8754007159582</v>
      </c>
      <c r="AP136" s="217">
        <f t="shared" si="58"/>
        <v>3896.0050591847512</v>
      </c>
      <c r="AQ136" s="217">
        <f t="shared" si="58"/>
        <v>3927.2861957702521</v>
      </c>
      <c r="AR136" s="217">
        <f t="shared" si="58"/>
        <v>3964.3741134588718</v>
      </c>
      <c r="AS136" s="217">
        <f t="shared" si="58"/>
        <v>3999.6642404104914</v>
      </c>
      <c r="AT136" s="217">
        <f t="shared" si="58"/>
        <v>4036.3337065338537</v>
      </c>
      <c r="AU136" s="217">
        <f t="shared" si="58"/>
        <v>4071.5199020065593</v>
      </c>
      <c r="AV136" s="217">
        <f t="shared" si="58"/>
        <v>4107.5561229450677</v>
      </c>
      <c r="AW136" s="217">
        <f t="shared" si="58"/>
        <v>4144.5596386869483</v>
      </c>
      <c r="AX136" s="217">
        <f t="shared" si="58"/>
        <v>4171.0371899347401</v>
      </c>
      <c r="AY136" s="217">
        <f t="shared" si="58"/>
        <v>4360.8192608722411</v>
      </c>
      <c r="AZ136" s="217">
        <f t="shared" si="58"/>
        <v>2217.3265025117203</v>
      </c>
    </row>
    <row r="137" spans="9:52">
      <c r="I137" s="226" t="s">
        <v>37</v>
      </c>
      <c r="J137" s="87">
        <f t="shared" si="57"/>
        <v>253.53808664912182</v>
      </c>
      <c r="K137" s="87">
        <f t="shared" si="58"/>
        <v>530.21686424071572</v>
      </c>
      <c r="L137" s="87">
        <f t="shared" si="58"/>
        <v>669.93466103777416</v>
      </c>
      <c r="M137" s="87">
        <f t="shared" si="58"/>
        <v>837.05398960354046</v>
      </c>
      <c r="N137" s="87">
        <f t="shared" si="58"/>
        <v>998.11228009718923</v>
      </c>
      <c r="O137" s="87">
        <f t="shared" si="58"/>
        <v>1480.5262594040851</v>
      </c>
      <c r="P137" s="87">
        <f t="shared" si="58"/>
        <v>2189.7405595075206</v>
      </c>
      <c r="Q137" s="87">
        <f t="shared" si="58"/>
        <v>2629.1828756986788</v>
      </c>
      <c r="R137" s="87">
        <f t="shared" si="58"/>
        <v>3090.8956645865278</v>
      </c>
      <c r="S137" s="87">
        <f t="shared" si="58"/>
        <v>3193.0368135177237</v>
      </c>
      <c r="T137" s="87">
        <f t="shared" si="58"/>
        <v>2994.1586451836383</v>
      </c>
      <c r="U137" s="87">
        <f t="shared" si="58"/>
        <v>3004.0469110611439</v>
      </c>
      <c r="V137" s="87">
        <f t="shared" si="58"/>
        <v>3325.2183623293968</v>
      </c>
      <c r="W137" s="87">
        <f t="shared" si="58"/>
        <v>4040.6599997707744</v>
      </c>
      <c r="X137" s="87">
        <f t="shared" si="58"/>
        <v>4118.8979997823762</v>
      </c>
      <c r="Y137" s="87">
        <f t="shared" si="58"/>
        <v>4339.4349999999995</v>
      </c>
      <c r="Z137" s="87">
        <f t="shared" si="58"/>
        <v>4326.53</v>
      </c>
      <c r="AA137" s="87">
        <f t="shared" si="58"/>
        <v>4073.7979999999998</v>
      </c>
      <c r="AB137" s="87">
        <f t="shared" si="58"/>
        <v>3472.2619999999997</v>
      </c>
      <c r="AC137" s="87">
        <f t="shared" si="58"/>
        <v>3704.5870000000004</v>
      </c>
      <c r="AD137" s="87">
        <f t="shared" si="58"/>
        <v>4083.5140000000001</v>
      </c>
      <c r="AE137" s="217">
        <f t="shared" si="58"/>
        <v>3917.098</v>
      </c>
      <c r="AF137" s="217">
        <f t="shared" si="58"/>
        <v>4010.848</v>
      </c>
      <c r="AG137" s="217">
        <f t="shared" si="58"/>
        <v>3667.8409951616395</v>
      </c>
      <c r="AH137" s="217">
        <f t="shared" si="58"/>
        <v>3796.2122009252771</v>
      </c>
      <c r="AI137" s="217">
        <f t="shared" si="58"/>
        <v>3753.3072115413079</v>
      </c>
      <c r="AJ137" s="217">
        <f t="shared" si="58"/>
        <v>3786.9059086818338</v>
      </c>
      <c r="AK137" s="217">
        <f t="shared" si="58"/>
        <v>3822.6275102463815</v>
      </c>
      <c r="AL137" s="217">
        <f t="shared" si="58"/>
        <v>3857.0877834969533</v>
      </c>
      <c r="AM137" s="217">
        <f t="shared" si="58"/>
        <v>3903.7859806517326</v>
      </c>
      <c r="AN137" s="217">
        <f t="shared" si="58"/>
        <v>3918.4730913738445</v>
      </c>
      <c r="AO137" s="217">
        <f t="shared" si="58"/>
        <v>3961.5632452759396</v>
      </c>
      <c r="AP137" s="217">
        <f t="shared" si="58"/>
        <v>3993.5775737699423</v>
      </c>
      <c r="AQ137" s="217">
        <f t="shared" si="58"/>
        <v>4027.7739833483433</v>
      </c>
      <c r="AR137" s="217">
        <f t="shared" si="58"/>
        <v>4062.9352367165311</v>
      </c>
      <c r="AS137" s="217">
        <f t="shared" si="58"/>
        <v>4097.2436863967505</v>
      </c>
      <c r="AT137" s="217">
        <f t="shared" si="58"/>
        <v>4133.9758127313135</v>
      </c>
      <c r="AU137" s="217">
        <f t="shared" si="58"/>
        <v>4169.1916591255622</v>
      </c>
      <c r="AV137" s="217">
        <f t="shared" si="58"/>
        <v>4205.125663725591</v>
      </c>
      <c r="AW137" s="217">
        <f t="shared" si="58"/>
        <v>4241.5196895012614</v>
      </c>
      <c r="AX137" s="217">
        <f t="shared" si="58"/>
        <v>4421.7154639778846</v>
      </c>
      <c r="AY137" s="217">
        <f t="shared" si="58"/>
        <v>4407.6088667675303</v>
      </c>
      <c r="AZ137" s="217">
        <f t="shared" si="58"/>
        <v>2235.7521862117055</v>
      </c>
    </row>
    <row r="139" spans="9:52">
      <c r="AF139" s="69">
        <v>2024</v>
      </c>
      <c r="AG139" s="69">
        <v>2025</v>
      </c>
      <c r="AH139" s="69">
        <v>2026</v>
      </c>
      <c r="AI139" s="69">
        <v>2027</v>
      </c>
      <c r="AJ139" s="69">
        <v>2028</v>
      </c>
      <c r="AK139" s="69">
        <v>2029</v>
      </c>
      <c r="AL139" s="69">
        <v>2030</v>
      </c>
      <c r="AM139" s="69">
        <v>2031</v>
      </c>
      <c r="AN139" s="69">
        <v>2032</v>
      </c>
      <c r="AO139" s="69">
        <v>2033</v>
      </c>
      <c r="AP139" s="69">
        <v>2034</v>
      </c>
      <c r="AQ139" s="69">
        <v>2035</v>
      </c>
      <c r="AR139" s="69">
        <v>2036</v>
      </c>
      <c r="AS139" s="69">
        <v>2037</v>
      </c>
      <c r="AT139" s="69">
        <v>2038</v>
      </c>
      <c r="AU139" s="69">
        <v>2039</v>
      </c>
      <c r="AV139" s="69">
        <v>2040</v>
      </c>
      <c r="AW139" s="69">
        <v>2041</v>
      </c>
      <c r="AX139" s="69">
        <v>2042</v>
      </c>
      <c r="AY139" s="69">
        <v>2043</v>
      </c>
    </row>
    <row r="140" spans="9:52">
      <c r="AE140" s="69" t="s">
        <v>184</v>
      </c>
      <c r="AF140" s="76">
        <f>AVERAGE(AF115:AF117)</f>
        <v>215.45769635317799</v>
      </c>
      <c r="AG140" s="76">
        <f t="shared" ref="AG140:AY140" si="59">AVERAGE(AG115:AG117)</f>
        <v>197.14004419038937</v>
      </c>
      <c r="AH140" s="76">
        <f t="shared" si="59"/>
        <v>200.03297361088241</v>
      </c>
      <c r="AI140" s="76">
        <f t="shared" si="59"/>
        <v>200.66879402363278</v>
      </c>
      <c r="AJ140" s="76">
        <f t="shared" si="59"/>
        <v>203.79422921465775</v>
      </c>
      <c r="AK140" s="76">
        <f t="shared" si="59"/>
        <v>205.95365156347194</v>
      </c>
      <c r="AL140" s="76">
        <f t="shared" si="59"/>
        <v>208.14584644998021</v>
      </c>
      <c r="AM140" s="76">
        <f t="shared" si="59"/>
        <v>210.14785602854548</v>
      </c>
      <c r="AN140" s="76">
        <f t="shared" si="59"/>
        <v>211.96276770819085</v>
      </c>
      <c r="AO140" s="76">
        <f t="shared" si="59"/>
        <v>214.08220263650023</v>
      </c>
      <c r="AP140" s="76">
        <f t="shared" si="59"/>
        <v>215.96922239530855</v>
      </c>
      <c r="AQ140" s="76">
        <f t="shared" si="59"/>
        <v>217.80960872397114</v>
      </c>
      <c r="AR140" s="76">
        <f t="shared" si="59"/>
        <v>219.60207667913846</v>
      </c>
      <c r="AS140" s="76">
        <f t="shared" si="59"/>
        <v>221.35732422115112</v>
      </c>
      <c r="AT140" s="76">
        <f t="shared" si="59"/>
        <v>223.11407068234041</v>
      </c>
      <c r="AU140" s="76">
        <f t="shared" si="59"/>
        <v>224.80427407451566</v>
      </c>
      <c r="AV140" s="76">
        <f t="shared" si="59"/>
        <v>226.45856135808731</v>
      </c>
      <c r="AW140" s="76">
        <f t="shared" si="59"/>
        <v>228.08211754145171</v>
      </c>
      <c r="AX140" s="76">
        <f t="shared" si="59"/>
        <v>229.43060048588848</v>
      </c>
      <c r="AY140" s="76">
        <f t="shared" si="59"/>
        <v>230.62570669887577</v>
      </c>
    </row>
    <row r="141" spans="9:52">
      <c r="AE141" s="69" t="s">
        <v>185</v>
      </c>
      <c r="AF141" s="76">
        <f>AVERAGE(AF118:AF120)</f>
        <v>222.67767625928192</v>
      </c>
      <c r="AG141" s="76">
        <f t="shared" ref="AG141:AY141" si="60">AVERAGE(AG118:AG120)</f>
        <v>207.5440240264999</v>
      </c>
      <c r="AH141" s="76">
        <f t="shared" si="60"/>
        <v>210.87299996885369</v>
      </c>
      <c r="AI141" s="76">
        <f t="shared" si="60"/>
        <v>214.86545658105123</v>
      </c>
      <c r="AJ141" s="76">
        <f t="shared" si="60"/>
        <v>214.14571693177791</v>
      </c>
      <c r="AK141" s="76">
        <f t="shared" si="60"/>
        <v>216.68820105695622</v>
      </c>
      <c r="AL141" s="76">
        <f t="shared" si="60"/>
        <v>219.82301935665748</v>
      </c>
      <c r="AM141" s="76">
        <f t="shared" si="60"/>
        <v>222.07263374614226</v>
      </c>
      <c r="AN141" s="76">
        <f t="shared" si="60"/>
        <v>224.09577788125696</v>
      </c>
      <c r="AO141" s="76">
        <f t="shared" si="60"/>
        <v>225.77865794292242</v>
      </c>
      <c r="AP141" s="76">
        <f t="shared" si="60"/>
        <v>227.9297576370044</v>
      </c>
      <c r="AQ141" s="76">
        <f t="shared" si="60"/>
        <v>230.00996839519789</v>
      </c>
      <c r="AR141" s="76">
        <f t="shared" si="60"/>
        <v>231.89912086843015</v>
      </c>
      <c r="AS141" s="76">
        <f t="shared" si="60"/>
        <v>233.72043208493571</v>
      </c>
      <c r="AT141" s="76">
        <f t="shared" si="60"/>
        <v>235.51492747172702</v>
      </c>
      <c r="AU141" s="76">
        <f t="shared" si="60"/>
        <v>237.34051924822208</v>
      </c>
      <c r="AV141" s="76">
        <f t="shared" si="60"/>
        <v>239.10404667569685</v>
      </c>
      <c r="AW141" s="76">
        <f t="shared" si="60"/>
        <v>240.81052573504869</v>
      </c>
      <c r="AX141" s="76">
        <f t="shared" si="60"/>
        <v>242.22571348716164</v>
      </c>
      <c r="AY141" s="76">
        <f t="shared" si="60"/>
        <v>243.48375447471199</v>
      </c>
    </row>
    <row r="142" spans="9:52">
      <c r="AE142" s="69" t="s">
        <v>186</v>
      </c>
      <c r="AF142" s="76">
        <f>AVERAGE(AF121:AF123)</f>
        <v>198.01779461948513</v>
      </c>
      <c r="AG142" s="76">
        <f t="shared" ref="AG142:AY142" si="61">AVERAGE(AG121:AG123)</f>
        <v>180.25885536178109</v>
      </c>
      <c r="AH142" s="76">
        <f t="shared" si="61"/>
        <v>182.77584240869825</v>
      </c>
      <c r="AI142" s="76">
        <f t="shared" si="61"/>
        <v>186.49994903875097</v>
      </c>
      <c r="AJ142" s="76">
        <f t="shared" si="61"/>
        <v>187.54188984398499</v>
      </c>
      <c r="AK142" s="76">
        <f t="shared" si="61"/>
        <v>189.34940310968645</v>
      </c>
      <c r="AL142" s="76">
        <f t="shared" si="61"/>
        <v>191.37920209068525</v>
      </c>
      <c r="AM142" s="76">
        <f t="shared" si="61"/>
        <v>193.42648090187109</v>
      </c>
      <c r="AN142" s="76">
        <f t="shared" si="61"/>
        <v>195.37320609477152</v>
      </c>
      <c r="AO142" s="76">
        <f t="shared" si="61"/>
        <v>197.01041871504538</v>
      </c>
      <c r="AP142" s="76">
        <f t="shared" si="61"/>
        <v>198.74715730454886</v>
      </c>
      <c r="AQ142" s="76">
        <f t="shared" si="61"/>
        <v>200.47793717558304</v>
      </c>
      <c r="AR142" s="76">
        <f t="shared" si="61"/>
        <v>202.16963136305085</v>
      </c>
      <c r="AS142" s="76">
        <f t="shared" si="61"/>
        <v>203.79362865366852</v>
      </c>
      <c r="AT142" s="76">
        <f t="shared" si="61"/>
        <v>205.3641177250544</v>
      </c>
      <c r="AU142" s="76">
        <f t="shared" si="61"/>
        <v>206.92812172725925</v>
      </c>
      <c r="AV142" s="76">
        <f t="shared" si="61"/>
        <v>208.46077942124205</v>
      </c>
      <c r="AW142" s="76">
        <f t="shared" si="61"/>
        <v>209.9596521073131</v>
      </c>
      <c r="AX142" s="76">
        <f t="shared" si="61"/>
        <v>211.19767654194007</v>
      </c>
      <c r="AY142" s="76">
        <f t="shared" si="61"/>
        <v>212.29217503995187</v>
      </c>
    </row>
    <row r="143" spans="9:52">
      <c r="AE143" s="69" t="s">
        <v>187</v>
      </c>
      <c r="AF143" s="76">
        <f>AVERAGE(AG112:AG114)</f>
        <v>172.45190755807144</v>
      </c>
      <c r="AG143" s="76">
        <f t="shared" ref="AG143:AY143" si="62">AVERAGE(AH112:AH114)</f>
        <v>173.79761040658332</v>
      </c>
      <c r="AH143" s="76">
        <f t="shared" si="62"/>
        <v>175.21023539112684</v>
      </c>
      <c r="AI143" s="76">
        <f t="shared" si="62"/>
        <v>181.09374530109105</v>
      </c>
      <c r="AJ143" s="76">
        <f t="shared" si="62"/>
        <v>181.16096299796257</v>
      </c>
      <c r="AK143" s="76">
        <f t="shared" si="62"/>
        <v>182.55595108960952</v>
      </c>
      <c r="AL143" s="76">
        <f t="shared" si="62"/>
        <v>184.40494140305259</v>
      </c>
      <c r="AM143" s="76">
        <f t="shared" si="62"/>
        <v>186.35430113083927</v>
      </c>
      <c r="AN143" s="76">
        <f t="shared" si="62"/>
        <v>188.46769351438067</v>
      </c>
      <c r="AO143" s="76">
        <f t="shared" si="62"/>
        <v>189.78284521384708</v>
      </c>
      <c r="AP143" s="76">
        <f t="shared" si="62"/>
        <v>191.36325267329264</v>
      </c>
      <c r="AQ143" s="76">
        <f t="shared" si="62"/>
        <v>193.00312270815721</v>
      </c>
      <c r="AR143" s="76">
        <f t="shared" si="62"/>
        <v>194.60505183542128</v>
      </c>
      <c r="AS143" s="76">
        <f t="shared" si="62"/>
        <v>196.14776006295733</v>
      </c>
      <c r="AT143" s="76">
        <f t="shared" si="62"/>
        <v>197.58040351504576</v>
      </c>
      <c r="AU143" s="76">
        <f t="shared" si="62"/>
        <v>199.04099300763275</v>
      </c>
      <c r="AV143" s="76">
        <f t="shared" si="62"/>
        <v>200.48351001141955</v>
      </c>
      <c r="AW143" s="76">
        <f t="shared" si="62"/>
        <v>201.67422369555945</v>
      </c>
      <c r="AX143" s="76">
        <f t="shared" si="62"/>
        <v>202.71916297609377</v>
      </c>
      <c r="AY143" s="76">
        <f t="shared" si="62"/>
        <v>203.62874233433294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6845-27D9-4196-9E35-5E41EF762819}">
  <dimension ref="A1:AY125"/>
  <sheetViews>
    <sheetView zoomScale="160" zoomScaleNormal="160" workbookViewId="0">
      <pane xSplit="1" ySplit="2" topLeftCell="Z3" activePane="bottomRight" state="frozen"/>
      <selection activeCell="J39" sqref="J39"/>
      <selection pane="topRight" activeCell="J39" sqref="J39"/>
      <selection pane="bottomLeft" activeCell="J39" sqref="J39"/>
      <selection pane="bottomRight" activeCell="J39" sqref="J39"/>
    </sheetView>
  </sheetViews>
  <sheetFormatPr defaultColWidth="9.140625" defaultRowHeight="11.25"/>
  <cols>
    <col min="1" max="1" width="32" style="69" customWidth="1"/>
    <col min="2" max="31" width="9.140625" style="69"/>
    <col min="32" max="32" width="11" style="69" customWidth="1"/>
    <col min="33" max="16384" width="9.140625" style="69"/>
  </cols>
  <sheetData>
    <row r="1" spans="1:51" ht="12" thickBot="1">
      <c r="A1" s="83" t="s">
        <v>356</v>
      </c>
      <c r="AF1" s="193"/>
      <c r="AG1" s="194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</row>
    <row r="2" spans="1:51" ht="12" thickBot="1">
      <c r="A2" s="196"/>
      <c r="B2" s="197" t="str">
        <f>'DDG Balance Sheet'!B2</f>
        <v xml:space="preserve">93/94 </v>
      </c>
      <c r="C2" s="197" t="str">
        <f>'DDG Balance Sheet'!C2</f>
        <v xml:space="preserve">94/95 </v>
      </c>
      <c r="D2" s="197" t="str">
        <f>'DDG Balance Sheet'!D2</f>
        <v xml:space="preserve">95/96 </v>
      </c>
      <c r="E2" s="197" t="str">
        <f>'DDG Balance Sheet'!E2</f>
        <v xml:space="preserve">96/97 </v>
      </c>
      <c r="F2" s="197" t="str">
        <f>'DDG Balance Sheet'!F2</f>
        <v xml:space="preserve">97/98 </v>
      </c>
      <c r="G2" s="197" t="str">
        <f>'DDG Balance Sheet'!G2</f>
        <v xml:space="preserve">98/99 </v>
      </c>
      <c r="H2" s="197" t="str">
        <f>'DDG Balance Sheet'!H2</f>
        <v xml:space="preserve">99/00 </v>
      </c>
      <c r="I2" s="197" t="str">
        <f>'DDG Balance Sheet'!I2</f>
        <v xml:space="preserve">00/01 </v>
      </c>
      <c r="J2" s="197" t="str">
        <f>'DDG Balance Sheet'!J2</f>
        <v xml:space="preserve">01/02 </v>
      </c>
      <c r="K2" s="197" t="str">
        <f>'DDG Balance Sheet'!K2</f>
        <v xml:space="preserve">02/03 </v>
      </c>
      <c r="L2" s="197" t="str">
        <f>'DDG Balance Sheet'!L2</f>
        <v xml:space="preserve">03/04 </v>
      </c>
      <c r="M2" s="197" t="str">
        <f>'DDG Balance Sheet'!M2</f>
        <v xml:space="preserve">04/05 </v>
      </c>
      <c r="N2" s="197" t="str">
        <f>'DDG Balance Sheet'!N2</f>
        <v xml:space="preserve">05/06 </v>
      </c>
      <c r="O2" s="197" t="str">
        <f>'DDG Balance Sheet'!O2</f>
        <v xml:space="preserve">06/07 </v>
      </c>
      <c r="P2" s="197" t="str">
        <f>'DDG Balance Sheet'!P2</f>
        <v xml:space="preserve">07/08 </v>
      </c>
      <c r="Q2" s="197" t="str">
        <f>'DDG Balance Sheet'!Q2</f>
        <v xml:space="preserve">08/09 </v>
      </c>
      <c r="R2" s="197" t="str">
        <f>'DDG Balance Sheet'!R2</f>
        <v xml:space="preserve">09/10 </v>
      </c>
      <c r="S2" s="197" t="str">
        <f>'DDG Balance Sheet'!S2</f>
        <v xml:space="preserve">10/11 </v>
      </c>
      <c r="T2" s="197" t="str">
        <f>'DDG Balance Sheet'!T2</f>
        <v xml:space="preserve">11/12 </v>
      </c>
      <c r="U2" s="197" t="str">
        <f>'DDG Balance Sheet'!U2</f>
        <v xml:space="preserve">12/13 </v>
      </c>
      <c r="V2" s="197" t="str">
        <f>'DDG Balance Sheet'!V2</f>
        <v xml:space="preserve">13/14 </v>
      </c>
      <c r="W2" s="197" t="str">
        <f>'DDG Balance Sheet'!W2</f>
        <v xml:space="preserve">14/15 </v>
      </c>
      <c r="X2" s="197" t="str">
        <f>'DDG Balance Sheet'!X2</f>
        <v xml:space="preserve">15/16 </v>
      </c>
      <c r="Y2" s="197" t="str">
        <f>'DDG Balance Sheet'!Y2</f>
        <v xml:space="preserve">16/17 </v>
      </c>
      <c r="Z2" s="197" t="str">
        <f>'DDG Balance Sheet'!Z2</f>
        <v xml:space="preserve">17/18 </v>
      </c>
      <c r="AA2" s="197" t="str">
        <f>'DDG Balance Sheet'!AA2</f>
        <v xml:space="preserve">18/19 </v>
      </c>
      <c r="AB2" s="197" t="str">
        <f>'DDG Balance Sheet'!AB2</f>
        <v xml:space="preserve">19/20 </v>
      </c>
      <c r="AC2" s="197" t="str">
        <f>'DDG Balance Sheet'!AC2</f>
        <v xml:space="preserve">20/21 </v>
      </c>
      <c r="AD2" s="197" t="str">
        <f>'DDG Balance Sheet'!AD2</f>
        <v>21/22</v>
      </c>
      <c r="AE2" s="197" t="str">
        <f>'DDG Balance Sheet'!AE2</f>
        <v>22/23</v>
      </c>
      <c r="AF2" s="197" t="str">
        <f>'DDG Balance Sheet'!AF2</f>
        <v>23/24</v>
      </c>
      <c r="AG2" s="197" t="str">
        <f>'DDG Balance Sheet'!AG2</f>
        <v>24/25</v>
      </c>
      <c r="AH2" s="197" t="str">
        <f>'DDG Balance Sheet'!AH2</f>
        <v>25/26</v>
      </c>
      <c r="AI2" s="197" t="str">
        <f>'DDG Balance Sheet'!AI2</f>
        <v>26/27</v>
      </c>
      <c r="AJ2" s="197" t="str">
        <f>'DDG Balance Sheet'!AJ2</f>
        <v>27/28</v>
      </c>
      <c r="AK2" s="197" t="str">
        <f>'DDG Balance Sheet'!AK2</f>
        <v>28/29</v>
      </c>
      <c r="AL2" s="197" t="str">
        <f>'DDG Balance Sheet'!AL2</f>
        <v>29/30</v>
      </c>
      <c r="AM2" s="197" t="str">
        <f>'DDG Balance Sheet'!AM2</f>
        <v>30/31</v>
      </c>
      <c r="AN2" s="197" t="str">
        <f>'DDG Balance Sheet'!AN2</f>
        <v>31/32</v>
      </c>
      <c r="AO2" s="197" t="str">
        <f>'DDG Balance Sheet'!AO2</f>
        <v>32/33</v>
      </c>
      <c r="AP2" s="197" t="str">
        <f>'DDG Balance Sheet'!AP2</f>
        <v>33/34</v>
      </c>
      <c r="AQ2" s="197" t="str">
        <f>'DDG Balance Sheet'!AQ2</f>
        <v>34/35</v>
      </c>
      <c r="AR2" s="197" t="str">
        <f>'DDG Balance Sheet'!AR2</f>
        <v>35/36</v>
      </c>
      <c r="AS2" s="197" t="str">
        <f>'DDG Balance Sheet'!AS2</f>
        <v>36/37</v>
      </c>
      <c r="AT2" s="197" t="str">
        <f>'DDG Balance Sheet'!AT2</f>
        <v>37/38</v>
      </c>
      <c r="AU2" s="197" t="str">
        <f>'DDG Balance Sheet'!AU2</f>
        <v>38/39</v>
      </c>
      <c r="AV2" s="197" t="str">
        <f>'DDG Balance Sheet'!AV2</f>
        <v>39/40</v>
      </c>
      <c r="AW2" s="197" t="str">
        <f>'DDG Balance Sheet'!AW2</f>
        <v>40/41</v>
      </c>
      <c r="AX2" s="197" t="str">
        <f>'DDG Balance Sheet'!AX2</f>
        <v>41/42</v>
      </c>
      <c r="AY2" s="197" t="str">
        <f>'DDG Balance Sheet'!AY2</f>
        <v>42/43</v>
      </c>
    </row>
    <row r="3" spans="1:51">
      <c r="A3" s="199" t="s">
        <v>357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</row>
    <row r="4" spans="1:51">
      <c r="A4" s="82" t="s">
        <v>332</v>
      </c>
      <c r="B4" s="227">
        <v>0</v>
      </c>
      <c r="C4" s="227">
        <f>B11</f>
        <v>0</v>
      </c>
      <c r="D4" s="227">
        <f t="shared" ref="D4:AY4" si="0">C11</f>
        <v>0</v>
      </c>
      <c r="E4" s="227">
        <f t="shared" si="0"/>
        <v>0</v>
      </c>
      <c r="F4" s="227">
        <f t="shared" si="0"/>
        <v>0</v>
      </c>
      <c r="G4" s="227">
        <f t="shared" si="0"/>
        <v>0</v>
      </c>
      <c r="H4" s="227">
        <f t="shared" si="0"/>
        <v>0</v>
      </c>
      <c r="I4" s="227">
        <f t="shared" si="0"/>
        <v>0</v>
      </c>
      <c r="J4" s="227">
        <f t="shared" si="0"/>
        <v>0</v>
      </c>
      <c r="K4" s="227">
        <f t="shared" si="0"/>
        <v>0</v>
      </c>
      <c r="L4" s="227">
        <f t="shared" si="0"/>
        <v>0</v>
      </c>
      <c r="M4" s="227">
        <f t="shared" si="0"/>
        <v>0</v>
      </c>
      <c r="N4" s="227">
        <f t="shared" si="0"/>
        <v>0</v>
      </c>
      <c r="O4" s="227">
        <f t="shared" si="0"/>
        <v>0</v>
      </c>
      <c r="P4" s="227">
        <f t="shared" si="0"/>
        <v>0</v>
      </c>
      <c r="Q4" s="227">
        <f t="shared" si="0"/>
        <v>0</v>
      </c>
      <c r="R4" s="227">
        <f t="shared" si="0"/>
        <v>0</v>
      </c>
      <c r="S4" s="227">
        <f t="shared" si="0"/>
        <v>0</v>
      </c>
      <c r="T4" s="227">
        <f t="shared" si="0"/>
        <v>0</v>
      </c>
      <c r="U4" s="227">
        <f t="shared" si="0"/>
        <v>0</v>
      </c>
      <c r="V4" s="227">
        <f t="shared" si="0"/>
        <v>0</v>
      </c>
      <c r="W4" s="227">
        <f t="shared" si="0"/>
        <v>0</v>
      </c>
      <c r="X4" s="80">
        <f t="shared" si="0"/>
        <v>0</v>
      </c>
      <c r="Y4" s="80">
        <f t="shared" si="0"/>
        <v>0</v>
      </c>
      <c r="Z4" s="80">
        <f t="shared" si="0"/>
        <v>0</v>
      </c>
      <c r="AA4" s="118">
        <f t="shared" si="0"/>
        <v>0</v>
      </c>
      <c r="AB4" s="118">
        <f t="shared" si="0"/>
        <v>0</v>
      </c>
      <c r="AC4" s="118">
        <f t="shared" si="0"/>
        <v>0</v>
      </c>
      <c r="AD4" s="118">
        <f t="shared" si="0"/>
        <v>0</v>
      </c>
      <c r="AE4" s="118">
        <f t="shared" si="0"/>
        <v>0</v>
      </c>
      <c r="AF4" s="118">
        <f t="shared" si="0"/>
        <v>0</v>
      </c>
      <c r="AG4" s="118">
        <f t="shared" si="0"/>
        <v>0</v>
      </c>
      <c r="AH4" s="81">
        <f t="shared" si="0"/>
        <v>0</v>
      </c>
      <c r="AI4" s="81">
        <f t="shared" si="0"/>
        <v>0</v>
      </c>
      <c r="AJ4" s="81">
        <f t="shared" si="0"/>
        <v>0</v>
      </c>
      <c r="AK4" s="81">
        <f t="shared" si="0"/>
        <v>0</v>
      </c>
      <c r="AL4" s="81">
        <f t="shared" si="0"/>
        <v>0</v>
      </c>
      <c r="AM4" s="81">
        <f t="shared" si="0"/>
        <v>0</v>
      </c>
      <c r="AN4" s="81">
        <f t="shared" si="0"/>
        <v>0</v>
      </c>
      <c r="AO4" s="81">
        <f t="shared" si="0"/>
        <v>0</v>
      </c>
      <c r="AP4" s="81">
        <f t="shared" si="0"/>
        <v>0</v>
      </c>
      <c r="AQ4" s="81">
        <f t="shared" si="0"/>
        <v>0</v>
      </c>
      <c r="AR4" s="81">
        <f t="shared" si="0"/>
        <v>0</v>
      </c>
      <c r="AS4" s="81">
        <f t="shared" si="0"/>
        <v>0</v>
      </c>
      <c r="AT4" s="81">
        <f t="shared" si="0"/>
        <v>0</v>
      </c>
      <c r="AU4" s="81">
        <f t="shared" si="0"/>
        <v>0</v>
      </c>
      <c r="AV4" s="81">
        <f t="shared" si="0"/>
        <v>0</v>
      </c>
      <c r="AW4" s="81">
        <f t="shared" si="0"/>
        <v>0</v>
      </c>
      <c r="AX4" s="81">
        <f t="shared" si="0"/>
        <v>0</v>
      </c>
      <c r="AY4" s="81">
        <f t="shared" si="0"/>
        <v>0</v>
      </c>
    </row>
    <row r="5" spans="1:51">
      <c r="A5" s="69" t="s">
        <v>124</v>
      </c>
      <c r="B5" s="108">
        <f>B29</f>
        <v>1562.3558898834663</v>
      </c>
      <c r="C5" s="108">
        <f t="shared" ref="C5:AY5" si="1">C29</f>
        <v>1611.8636210651982</v>
      </c>
      <c r="D5" s="108">
        <f t="shared" si="1"/>
        <v>1555.6238212264959</v>
      </c>
      <c r="E5" s="108">
        <f t="shared" si="1"/>
        <v>1573.498200598561</v>
      </c>
      <c r="F5" s="108">
        <f t="shared" si="1"/>
        <v>1645.069426867735</v>
      </c>
      <c r="G5" s="108">
        <f t="shared" si="1"/>
        <v>1657.4647868583972</v>
      </c>
      <c r="H5" s="108">
        <f t="shared" si="1"/>
        <v>1688.5084684207393</v>
      </c>
      <c r="I5" s="108">
        <f t="shared" si="1"/>
        <v>1693.7172222721172</v>
      </c>
      <c r="J5" s="108">
        <f t="shared" si="1"/>
        <v>1741.025974823197</v>
      </c>
      <c r="K5" s="108">
        <f t="shared" si="1"/>
        <v>1773.9000911116132</v>
      </c>
      <c r="L5" s="108">
        <f t="shared" si="1"/>
        <v>1733.2128440461297</v>
      </c>
      <c r="M5" s="108">
        <f t="shared" si="1"/>
        <v>1738.9375593639181</v>
      </c>
      <c r="N5" s="108">
        <f t="shared" si="1"/>
        <v>1779.8459327721487</v>
      </c>
      <c r="O5" s="108">
        <f t="shared" si="1"/>
        <v>1779.7637191318961</v>
      </c>
      <c r="P5" s="108">
        <f t="shared" si="1"/>
        <v>1752.4681172668149</v>
      </c>
      <c r="Q5" s="108">
        <f t="shared" si="1"/>
        <v>1748.4835835803144</v>
      </c>
      <c r="R5" s="108">
        <f t="shared" si="1"/>
        <v>1537.2834322618573</v>
      </c>
      <c r="S5" s="108">
        <f t="shared" si="1"/>
        <v>1472.1642757806098</v>
      </c>
      <c r="T5" s="108">
        <f t="shared" si="1"/>
        <v>1611.3541824354929</v>
      </c>
      <c r="U5" s="108">
        <f t="shared" si="1"/>
        <v>1825.7006848450185</v>
      </c>
      <c r="V5" s="108">
        <f t="shared" si="1"/>
        <v>1799.7617626034908</v>
      </c>
      <c r="W5" s="108">
        <f t="shared" si="1"/>
        <v>5603.0358983083288</v>
      </c>
      <c r="X5" s="76">
        <f t="shared" si="1"/>
        <v>7528.0270000000019</v>
      </c>
      <c r="Y5" s="76">
        <f t="shared" si="1"/>
        <v>7681.3119999999999</v>
      </c>
      <c r="Z5" s="76">
        <f>Z29</f>
        <v>7078.7090000000007</v>
      </c>
      <c r="AA5" s="76">
        <f t="shared" si="1"/>
        <v>6436.3770000000004</v>
      </c>
      <c r="AB5" s="76">
        <f t="shared" si="1"/>
        <v>6300.0560000000005</v>
      </c>
      <c r="AC5" s="76">
        <f t="shared" si="1"/>
        <v>5942.7000000000007</v>
      </c>
      <c r="AD5" s="76">
        <f t="shared" si="1"/>
        <v>5768.3730000000005</v>
      </c>
      <c r="AE5" s="76">
        <f t="shared" si="1"/>
        <v>5559.5300000000007</v>
      </c>
      <c r="AF5" s="76">
        <f t="shared" si="1"/>
        <v>5567.2170000000006</v>
      </c>
      <c r="AG5" s="88">
        <f t="shared" si="1"/>
        <v>5495.381141503789</v>
      </c>
      <c r="AH5" s="88">
        <f t="shared" si="1"/>
        <v>5634.4219992386052</v>
      </c>
      <c r="AI5" s="88">
        <f t="shared" si="1"/>
        <v>5603.608425372543</v>
      </c>
      <c r="AJ5" s="88">
        <f t="shared" si="1"/>
        <v>5596.2018937217181</v>
      </c>
      <c r="AK5" s="88">
        <f t="shared" si="1"/>
        <v>5566.9630190692051</v>
      </c>
      <c r="AL5" s="88">
        <f t="shared" si="1"/>
        <v>5540.0048872339548</v>
      </c>
      <c r="AM5" s="88">
        <f t="shared" si="1"/>
        <v>5511.959686123867</v>
      </c>
      <c r="AN5" s="88">
        <f t="shared" si="1"/>
        <v>5482.9981886852065</v>
      </c>
      <c r="AO5" s="88">
        <f t="shared" si="1"/>
        <v>5454.0931517776471</v>
      </c>
      <c r="AP5" s="88">
        <f t="shared" si="1"/>
        <v>5425.3626831380807</v>
      </c>
      <c r="AQ5" s="88">
        <f t="shared" si="1"/>
        <v>5396.7317709702156</v>
      </c>
      <c r="AR5" s="88">
        <f t="shared" si="1"/>
        <v>5368.0477067417314</v>
      </c>
      <c r="AS5" s="88">
        <f t="shared" si="1"/>
        <v>5339.3220647590188</v>
      </c>
      <c r="AT5" s="88">
        <f t="shared" si="1"/>
        <v>5310.6059304618329</v>
      </c>
      <c r="AU5" s="88">
        <f t="shared" si="1"/>
        <v>5281.9053253344728</v>
      </c>
      <c r="AV5" s="88">
        <f t="shared" si="1"/>
        <v>5253.1999311794279</v>
      </c>
      <c r="AW5" s="88">
        <f t="shared" si="1"/>
        <v>5224.492929928505</v>
      </c>
      <c r="AX5" s="88">
        <f t="shared" si="1"/>
        <v>5080.9627604036241</v>
      </c>
      <c r="AY5" s="88">
        <f t="shared" si="1"/>
        <v>4994.8442779996831</v>
      </c>
    </row>
    <row r="6" spans="1:51">
      <c r="A6" s="69" t="s">
        <v>125</v>
      </c>
      <c r="B6" s="108">
        <f>B61</f>
        <v>5.8989999617266387</v>
      </c>
      <c r="C6" s="108">
        <f t="shared" ref="C6:AF6" si="2">C61</f>
        <v>9.8329999362024125</v>
      </c>
      <c r="D6" s="108">
        <f t="shared" si="2"/>
        <v>14.476999906071633</v>
      </c>
      <c r="E6" s="108">
        <f t="shared" si="2"/>
        <v>13.420999912923076</v>
      </c>
      <c r="F6" s="108">
        <f t="shared" si="2"/>
        <v>12.246999920540118</v>
      </c>
      <c r="G6" s="108">
        <f t="shared" si="2"/>
        <v>11.39699992605501</v>
      </c>
      <c r="H6" s="108">
        <f t="shared" si="2"/>
        <v>13.388999913130693</v>
      </c>
      <c r="I6" s="108">
        <f t="shared" si="2"/>
        <v>10.931999929071981</v>
      </c>
      <c r="J6" s="108">
        <f t="shared" si="2"/>
        <v>14.136999908277589</v>
      </c>
      <c r="K6" s="108">
        <f t="shared" si="2"/>
        <v>13.925999909646579</v>
      </c>
      <c r="L6" s="108">
        <f t="shared" si="2"/>
        <v>12.162999921085117</v>
      </c>
      <c r="M6" s="108">
        <f t="shared" si="2"/>
        <v>10.361999932770205</v>
      </c>
      <c r="N6" s="108">
        <f t="shared" si="2"/>
        <v>12.051999921805297</v>
      </c>
      <c r="O6" s="108">
        <f t="shared" si="2"/>
        <v>10.013999935028066</v>
      </c>
      <c r="P6" s="108">
        <f t="shared" si="2"/>
        <v>13.073999915174452</v>
      </c>
      <c r="Q6" s="108">
        <f t="shared" si="2"/>
        <v>7.669999950236198</v>
      </c>
      <c r="R6" s="108">
        <f t="shared" si="2"/>
        <v>6.9619999548297784</v>
      </c>
      <c r="S6" s="108">
        <f t="shared" si="2"/>
        <v>7.4099999519231057</v>
      </c>
      <c r="T6" s="108">
        <f t="shared" si="2"/>
        <v>10.636999930985974</v>
      </c>
      <c r="U6" s="108">
        <f t="shared" si="2"/>
        <v>11.003999928604836</v>
      </c>
      <c r="V6" s="108">
        <f t="shared" si="2"/>
        <v>10.287999933250322</v>
      </c>
      <c r="W6" s="108">
        <f t="shared" si="2"/>
        <v>10.974999928792991</v>
      </c>
      <c r="X6" s="76">
        <f t="shared" si="2"/>
        <v>10.370999932711811</v>
      </c>
      <c r="Y6" s="76">
        <f t="shared" si="2"/>
        <v>11.12099997816102</v>
      </c>
      <c r="Z6" s="76">
        <f t="shared" si="2"/>
        <v>13.788</v>
      </c>
      <c r="AA6" s="76">
        <f t="shared" si="2"/>
        <v>14.35</v>
      </c>
      <c r="AB6" s="76">
        <f t="shared" si="2"/>
        <v>14.250999999999998</v>
      </c>
      <c r="AC6" s="76">
        <f t="shared" si="2"/>
        <v>14.7</v>
      </c>
      <c r="AD6" s="76">
        <f t="shared" si="2"/>
        <v>25.868000000000002</v>
      </c>
      <c r="AE6" s="76">
        <f t="shared" si="2"/>
        <v>23.115000000000002</v>
      </c>
      <c r="AF6" s="76">
        <f t="shared" si="2"/>
        <v>21.781999999999996</v>
      </c>
      <c r="AG6" s="88">
        <v>20</v>
      </c>
      <c r="AH6" s="88">
        <v>20</v>
      </c>
      <c r="AI6" s="88">
        <v>20</v>
      </c>
      <c r="AJ6" s="88">
        <v>20</v>
      </c>
      <c r="AK6" s="88">
        <v>20</v>
      </c>
      <c r="AL6" s="88">
        <v>20</v>
      </c>
      <c r="AM6" s="88">
        <v>20</v>
      </c>
      <c r="AN6" s="88">
        <v>20</v>
      </c>
      <c r="AO6" s="88">
        <v>20</v>
      </c>
      <c r="AP6" s="88">
        <v>20</v>
      </c>
      <c r="AQ6" s="88">
        <v>20</v>
      </c>
      <c r="AR6" s="88">
        <v>20</v>
      </c>
      <c r="AS6" s="88">
        <v>20</v>
      </c>
      <c r="AT6" s="88">
        <v>20</v>
      </c>
      <c r="AU6" s="88">
        <v>20</v>
      </c>
      <c r="AV6" s="88">
        <v>20</v>
      </c>
      <c r="AW6" s="88">
        <v>20</v>
      </c>
      <c r="AX6" s="88">
        <v>20</v>
      </c>
      <c r="AY6" s="88">
        <v>20</v>
      </c>
    </row>
    <row r="7" spans="1:51">
      <c r="A7" s="82" t="s">
        <v>126</v>
      </c>
      <c r="B7" s="227">
        <f>SUM(B4:B6)</f>
        <v>1568.2548898451928</v>
      </c>
      <c r="C7" s="227">
        <f t="shared" ref="C7:AC7" si="3">SUM(C4:C6)</f>
        <v>1621.6966210014007</v>
      </c>
      <c r="D7" s="227">
        <f t="shared" si="3"/>
        <v>1570.1008211325675</v>
      </c>
      <c r="E7" s="227">
        <f t="shared" si="3"/>
        <v>1586.919200511484</v>
      </c>
      <c r="F7" s="227">
        <f t="shared" si="3"/>
        <v>1657.3164267882751</v>
      </c>
      <c r="G7" s="227">
        <f t="shared" si="3"/>
        <v>1668.8617867844523</v>
      </c>
      <c r="H7" s="227">
        <f t="shared" si="3"/>
        <v>1701.8974683338699</v>
      </c>
      <c r="I7" s="227">
        <f t="shared" si="3"/>
        <v>1704.6492222011891</v>
      </c>
      <c r="J7" s="227">
        <f t="shared" si="3"/>
        <v>1755.1629747314746</v>
      </c>
      <c r="K7" s="227">
        <f t="shared" si="3"/>
        <v>1787.8260910212598</v>
      </c>
      <c r="L7" s="227">
        <f t="shared" si="3"/>
        <v>1745.3758439672149</v>
      </c>
      <c r="M7" s="227">
        <f t="shared" si="3"/>
        <v>1749.2995592966884</v>
      </c>
      <c r="N7" s="227">
        <f t="shared" si="3"/>
        <v>1791.8979326939539</v>
      </c>
      <c r="O7" s="227">
        <f t="shared" si="3"/>
        <v>1789.7777190669242</v>
      </c>
      <c r="P7" s="227">
        <f t="shared" si="3"/>
        <v>1765.5421171819894</v>
      </c>
      <c r="Q7" s="227">
        <f t="shared" si="3"/>
        <v>1756.1535835305506</v>
      </c>
      <c r="R7" s="227">
        <f t="shared" si="3"/>
        <v>1544.245432216687</v>
      </c>
      <c r="S7" s="227">
        <f t="shared" si="3"/>
        <v>1479.5742757325329</v>
      </c>
      <c r="T7" s="227">
        <f t="shared" si="3"/>
        <v>1621.9911823664788</v>
      </c>
      <c r="U7" s="227">
        <f t="shared" si="3"/>
        <v>1836.7046847736233</v>
      </c>
      <c r="V7" s="227">
        <f t="shared" si="3"/>
        <v>1810.0497625367411</v>
      </c>
      <c r="W7" s="227">
        <f t="shared" si="3"/>
        <v>5614.0108982371221</v>
      </c>
      <c r="X7" s="80">
        <f t="shared" si="3"/>
        <v>7538.3979999327139</v>
      </c>
      <c r="Y7" s="80">
        <f t="shared" si="3"/>
        <v>7692.4329999781612</v>
      </c>
      <c r="Z7" s="118">
        <f t="shared" si="3"/>
        <v>7092.4970000000003</v>
      </c>
      <c r="AA7" s="118">
        <f t="shared" si="3"/>
        <v>6450.7270000000008</v>
      </c>
      <c r="AB7" s="118">
        <f t="shared" si="3"/>
        <v>6314.3070000000007</v>
      </c>
      <c r="AC7" s="118">
        <f t="shared" si="3"/>
        <v>5957.4000000000005</v>
      </c>
      <c r="AD7" s="118">
        <f>SUM(AD4:AD6)</f>
        <v>5794.2410000000009</v>
      </c>
      <c r="AE7" s="118">
        <f t="shared" ref="AE7:AY7" si="4">SUM(AE4:AE6)</f>
        <v>5582.6450000000004</v>
      </c>
      <c r="AF7" s="118">
        <f t="shared" si="4"/>
        <v>5588.9990000000007</v>
      </c>
      <c r="AG7" s="81">
        <f t="shared" si="4"/>
        <v>5515.381141503789</v>
      </c>
      <c r="AH7" s="81">
        <f t="shared" si="4"/>
        <v>5654.4219992386052</v>
      </c>
      <c r="AI7" s="81">
        <f t="shared" si="4"/>
        <v>5623.608425372543</v>
      </c>
      <c r="AJ7" s="81">
        <f t="shared" si="4"/>
        <v>5616.2018937217181</v>
      </c>
      <c r="AK7" s="81">
        <f t="shared" si="4"/>
        <v>5586.9630190692051</v>
      </c>
      <c r="AL7" s="81">
        <f t="shared" si="4"/>
        <v>5560.0048872339548</v>
      </c>
      <c r="AM7" s="81">
        <f t="shared" si="4"/>
        <v>5531.959686123867</v>
      </c>
      <c r="AN7" s="81">
        <f t="shared" si="4"/>
        <v>5502.9981886852065</v>
      </c>
      <c r="AO7" s="81">
        <f t="shared" si="4"/>
        <v>5474.0931517776471</v>
      </c>
      <c r="AP7" s="81">
        <f t="shared" si="4"/>
        <v>5445.3626831380807</v>
      </c>
      <c r="AQ7" s="81">
        <f t="shared" si="4"/>
        <v>5416.7317709702156</v>
      </c>
      <c r="AR7" s="81">
        <f t="shared" si="4"/>
        <v>5388.0477067417314</v>
      </c>
      <c r="AS7" s="81">
        <f t="shared" si="4"/>
        <v>5359.3220647590188</v>
      </c>
      <c r="AT7" s="81">
        <f t="shared" si="4"/>
        <v>5330.6059304618329</v>
      </c>
      <c r="AU7" s="81">
        <f t="shared" si="4"/>
        <v>5301.9053253344728</v>
      </c>
      <c r="AV7" s="81">
        <f t="shared" si="4"/>
        <v>5273.1999311794279</v>
      </c>
      <c r="AW7" s="81">
        <f t="shared" si="4"/>
        <v>5244.492929928505</v>
      </c>
      <c r="AX7" s="81">
        <f t="shared" si="4"/>
        <v>5100.9627604036241</v>
      </c>
      <c r="AY7" s="81">
        <f t="shared" si="4"/>
        <v>5014.8442779996831</v>
      </c>
    </row>
    <row r="8" spans="1:51">
      <c r="A8" s="69" t="s">
        <v>127</v>
      </c>
      <c r="B8" s="108">
        <f>B10-B9</f>
        <v>921.80189403945099</v>
      </c>
      <c r="C8" s="108">
        <f t="shared" ref="C8:AY8" si="5">C10-C9</f>
        <v>1013.9156249447507</v>
      </c>
      <c r="D8" s="108">
        <f t="shared" si="5"/>
        <v>797.761826143588</v>
      </c>
      <c r="E8" s="108">
        <f t="shared" si="5"/>
        <v>809.84720555321258</v>
      </c>
      <c r="F8" s="108">
        <f t="shared" si="5"/>
        <v>885.77443179412444</v>
      </c>
      <c r="G8" s="108">
        <f t="shared" si="5"/>
        <v>1023.6767909704836</v>
      </c>
      <c r="H8" s="108">
        <f t="shared" si="5"/>
        <v>1006.072472848459</v>
      </c>
      <c r="I8" s="108">
        <f t="shared" si="5"/>
        <v>914.12222733021508</v>
      </c>
      <c r="J8" s="108">
        <f t="shared" si="5"/>
        <v>936.27598004450351</v>
      </c>
      <c r="K8" s="108">
        <f t="shared" si="5"/>
        <v>973.13009630709701</v>
      </c>
      <c r="L8" s="108">
        <f t="shared" si="5"/>
        <v>842.64284982424601</v>
      </c>
      <c r="M8" s="108">
        <f t="shared" si="5"/>
        <v>885.81056489909997</v>
      </c>
      <c r="N8" s="108">
        <f t="shared" si="5"/>
        <v>890.9739385392478</v>
      </c>
      <c r="O8" s="108">
        <f t="shared" si="5"/>
        <v>802.18872547451019</v>
      </c>
      <c r="P8" s="108">
        <f t="shared" si="5"/>
        <v>667.31312430741991</v>
      </c>
      <c r="Q8" s="108">
        <f t="shared" si="5"/>
        <v>1038.3015881880533</v>
      </c>
      <c r="R8" s="108">
        <f t="shared" si="5"/>
        <v>843.53843676295105</v>
      </c>
      <c r="S8" s="108">
        <f t="shared" si="5"/>
        <v>752.38028045064755</v>
      </c>
      <c r="T8" s="108">
        <f t="shared" si="5"/>
        <v>722.71018820111283</v>
      </c>
      <c r="U8" s="108">
        <f t="shared" si="5"/>
        <v>838.98469124694043</v>
      </c>
      <c r="V8" s="108">
        <f t="shared" si="5"/>
        <v>837.13176884914014</v>
      </c>
      <c r="W8" s="108">
        <f t="shared" si="5"/>
        <v>4751.8029038312225</v>
      </c>
      <c r="X8" s="76">
        <f t="shared" si="5"/>
        <v>6792.4680047723896</v>
      </c>
      <c r="Y8" s="76">
        <f t="shared" si="5"/>
        <v>6766.62000142948</v>
      </c>
      <c r="Z8" s="79">
        <f t="shared" si="5"/>
        <v>5868.3910000000005</v>
      </c>
      <c r="AA8" s="79">
        <f t="shared" si="5"/>
        <v>5362.527</v>
      </c>
      <c r="AB8" s="79">
        <f t="shared" si="5"/>
        <v>5563.85</v>
      </c>
      <c r="AC8" s="79">
        <f t="shared" si="5"/>
        <v>5070.3140000000003</v>
      </c>
      <c r="AD8" s="79">
        <f t="shared" si="5"/>
        <v>4979.6900000000005</v>
      </c>
      <c r="AE8" s="79">
        <f t="shared" si="5"/>
        <v>5057.7480000000005</v>
      </c>
      <c r="AF8" s="79">
        <f t="shared" si="5"/>
        <v>5000.7660000000005</v>
      </c>
      <c r="AG8" s="77">
        <f t="shared" si="5"/>
        <v>4665.381141503789</v>
      </c>
      <c r="AH8" s="77">
        <f t="shared" si="5"/>
        <v>4804.4219992386052</v>
      </c>
      <c r="AI8" s="77">
        <f t="shared" si="5"/>
        <v>4773.608425372543</v>
      </c>
      <c r="AJ8" s="77">
        <f t="shared" si="5"/>
        <v>4766.2018937217181</v>
      </c>
      <c r="AK8" s="77">
        <f t="shared" si="5"/>
        <v>4736.9630190692051</v>
      </c>
      <c r="AL8" s="77">
        <f t="shared" si="5"/>
        <v>4710.0048872339548</v>
      </c>
      <c r="AM8" s="77">
        <f t="shared" si="5"/>
        <v>4681.959686123867</v>
      </c>
      <c r="AN8" s="77">
        <f t="shared" si="5"/>
        <v>4652.9981886852065</v>
      </c>
      <c r="AO8" s="77">
        <f t="shared" si="5"/>
        <v>4624.0931517776471</v>
      </c>
      <c r="AP8" s="77">
        <f t="shared" si="5"/>
        <v>4595.3626831380807</v>
      </c>
      <c r="AQ8" s="77">
        <f t="shared" si="5"/>
        <v>4566.7317709702156</v>
      </c>
      <c r="AR8" s="77">
        <f t="shared" si="5"/>
        <v>4538.0477067417314</v>
      </c>
      <c r="AS8" s="77">
        <f t="shared" si="5"/>
        <v>4509.3220647590188</v>
      </c>
      <c r="AT8" s="77">
        <f t="shared" si="5"/>
        <v>4480.6059304618329</v>
      </c>
      <c r="AU8" s="77">
        <f t="shared" si="5"/>
        <v>4451.9053253344728</v>
      </c>
      <c r="AV8" s="77">
        <f t="shared" si="5"/>
        <v>4423.1999311794279</v>
      </c>
      <c r="AW8" s="77">
        <f t="shared" si="5"/>
        <v>4394.492929928505</v>
      </c>
      <c r="AX8" s="77">
        <f t="shared" si="5"/>
        <v>4250.9627604036241</v>
      </c>
      <c r="AY8" s="77">
        <f t="shared" si="5"/>
        <v>4164.8442779996831</v>
      </c>
    </row>
    <row r="9" spans="1:51">
      <c r="A9" s="69" t="s">
        <v>128</v>
      </c>
      <c r="B9" s="108">
        <f>B77</f>
        <v>646.45299580574181</v>
      </c>
      <c r="C9" s="108">
        <f t="shared" ref="C9:AF9" si="6">C77</f>
        <v>607.78099605665</v>
      </c>
      <c r="D9" s="108">
        <f t="shared" si="6"/>
        <v>772.33899498897949</v>
      </c>
      <c r="E9" s="108">
        <f t="shared" si="6"/>
        <v>777.07199495827138</v>
      </c>
      <c r="F9" s="108">
        <f t="shared" si="6"/>
        <v>771.54199499415063</v>
      </c>
      <c r="G9" s="108">
        <f t="shared" si="6"/>
        <v>645.18499581396873</v>
      </c>
      <c r="H9" s="108">
        <f t="shared" si="6"/>
        <v>695.82499548541091</v>
      </c>
      <c r="I9" s="108">
        <f t="shared" si="6"/>
        <v>790.52699487097402</v>
      </c>
      <c r="J9" s="108">
        <f t="shared" si="6"/>
        <v>818.88699468697109</v>
      </c>
      <c r="K9" s="108">
        <f t="shared" si="6"/>
        <v>814.69599471416279</v>
      </c>
      <c r="L9" s="108">
        <f t="shared" si="6"/>
        <v>902.73299414296889</v>
      </c>
      <c r="M9" s="108">
        <f t="shared" si="6"/>
        <v>863.48899439758839</v>
      </c>
      <c r="N9" s="108">
        <f t="shared" si="6"/>
        <v>900.92399415470607</v>
      </c>
      <c r="O9" s="108">
        <f t="shared" si="6"/>
        <v>987.588993592414</v>
      </c>
      <c r="P9" s="108">
        <f t="shared" si="6"/>
        <v>1098.2289928745695</v>
      </c>
      <c r="Q9" s="108">
        <f t="shared" si="6"/>
        <v>717.85199534249728</v>
      </c>
      <c r="R9" s="108">
        <f t="shared" si="6"/>
        <v>700.706995453736</v>
      </c>
      <c r="S9" s="108">
        <f t="shared" si="6"/>
        <v>727.19399528188535</v>
      </c>
      <c r="T9" s="108">
        <f t="shared" si="6"/>
        <v>899.280994165366</v>
      </c>
      <c r="U9" s="108">
        <f t="shared" si="6"/>
        <v>997.71999352668286</v>
      </c>
      <c r="V9" s="108">
        <f t="shared" si="6"/>
        <v>972.91799368760098</v>
      </c>
      <c r="W9" s="108">
        <f t="shared" si="6"/>
        <v>862.20799440589974</v>
      </c>
      <c r="X9" s="76">
        <f t="shared" si="6"/>
        <v>745.9299951603241</v>
      </c>
      <c r="Y9" s="76">
        <f t="shared" si="6"/>
        <v>925.81299854868121</v>
      </c>
      <c r="Z9" s="76">
        <f t="shared" si="6"/>
        <v>1224.106</v>
      </c>
      <c r="AA9" s="76">
        <f t="shared" si="6"/>
        <v>1088.2000000000003</v>
      </c>
      <c r="AB9" s="76">
        <f t="shared" si="6"/>
        <v>750.45700000000011</v>
      </c>
      <c r="AC9" s="76">
        <f t="shared" si="6"/>
        <v>887.08600000000013</v>
      </c>
      <c r="AD9" s="76">
        <f t="shared" si="6"/>
        <v>814.55100000000004</v>
      </c>
      <c r="AE9" s="76">
        <f t="shared" si="6"/>
        <v>524.89699999999993</v>
      </c>
      <c r="AF9" s="76">
        <f t="shared" si="6"/>
        <v>588.23300000000006</v>
      </c>
      <c r="AG9" s="88">
        <v>850</v>
      </c>
      <c r="AH9" s="88">
        <v>850</v>
      </c>
      <c r="AI9" s="88">
        <v>850</v>
      </c>
      <c r="AJ9" s="88">
        <v>850</v>
      </c>
      <c r="AK9" s="88">
        <v>850</v>
      </c>
      <c r="AL9" s="88">
        <v>850</v>
      </c>
      <c r="AM9" s="88">
        <v>850</v>
      </c>
      <c r="AN9" s="88">
        <v>850</v>
      </c>
      <c r="AO9" s="88">
        <v>850</v>
      </c>
      <c r="AP9" s="88">
        <v>850</v>
      </c>
      <c r="AQ9" s="88">
        <v>850</v>
      </c>
      <c r="AR9" s="88">
        <v>850</v>
      </c>
      <c r="AS9" s="88">
        <v>850</v>
      </c>
      <c r="AT9" s="88">
        <v>850</v>
      </c>
      <c r="AU9" s="88">
        <v>850</v>
      </c>
      <c r="AV9" s="88">
        <v>850</v>
      </c>
      <c r="AW9" s="88">
        <v>850</v>
      </c>
      <c r="AX9" s="88">
        <v>850</v>
      </c>
      <c r="AY9" s="88">
        <v>850</v>
      </c>
    </row>
    <row r="10" spans="1:51">
      <c r="A10" s="82" t="s">
        <v>129</v>
      </c>
      <c r="B10" s="227">
        <f>B7-B11</f>
        <v>1568.2548898451928</v>
      </c>
      <c r="C10" s="227">
        <f t="shared" ref="C10:AY10" si="7">C7-C11</f>
        <v>1621.6966210014007</v>
      </c>
      <c r="D10" s="227">
        <f t="shared" si="7"/>
        <v>1570.1008211325675</v>
      </c>
      <c r="E10" s="227">
        <f t="shared" si="7"/>
        <v>1586.919200511484</v>
      </c>
      <c r="F10" s="227">
        <f t="shared" si="7"/>
        <v>1657.3164267882751</v>
      </c>
      <c r="G10" s="227">
        <f t="shared" si="7"/>
        <v>1668.8617867844523</v>
      </c>
      <c r="H10" s="227">
        <f t="shared" si="7"/>
        <v>1701.8974683338699</v>
      </c>
      <c r="I10" s="227">
        <f t="shared" si="7"/>
        <v>1704.6492222011891</v>
      </c>
      <c r="J10" s="227">
        <f t="shared" si="7"/>
        <v>1755.1629747314746</v>
      </c>
      <c r="K10" s="227">
        <f t="shared" si="7"/>
        <v>1787.8260910212598</v>
      </c>
      <c r="L10" s="227">
        <f t="shared" si="7"/>
        <v>1745.3758439672149</v>
      </c>
      <c r="M10" s="227">
        <f t="shared" si="7"/>
        <v>1749.2995592966884</v>
      </c>
      <c r="N10" s="227">
        <f t="shared" si="7"/>
        <v>1791.8979326939539</v>
      </c>
      <c r="O10" s="227">
        <f t="shared" si="7"/>
        <v>1789.7777190669242</v>
      </c>
      <c r="P10" s="227">
        <f t="shared" si="7"/>
        <v>1765.5421171819894</v>
      </c>
      <c r="Q10" s="227">
        <f t="shared" si="7"/>
        <v>1756.1535835305506</v>
      </c>
      <c r="R10" s="227">
        <f t="shared" si="7"/>
        <v>1544.245432216687</v>
      </c>
      <c r="S10" s="227">
        <f t="shared" si="7"/>
        <v>1479.5742757325329</v>
      </c>
      <c r="T10" s="227">
        <f t="shared" si="7"/>
        <v>1621.9911823664788</v>
      </c>
      <c r="U10" s="227">
        <f t="shared" si="7"/>
        <v>1836.7046847736233</v>
      </c>
      <c r="V10" s="227">
        <f t="shared" si="7"/>
        <v>1810.0497625367411</v>
      </c>
      <c r="W10" s="227">
        <f t="shared" si="7"/>
        <v>5614.0108982371221</v>
      </c>
      <c r="X10" s="80">
        <f t="shared" si="7"/>
        <v>7538.3979999327139</v>
      </c>
      <c r="Y10" s="80">
        <f t="shared" si="7"/>
        <v>7692.4329999781612</v>
      </c>
      <c r="Z10" s="118">
        <f t="shared" si="7"/>
        <v>7092.4970000000003</v>
      </c>
      <c r="AA10" s="118">
        <f t="shared" si="7"/>
        <v>6450.7270000000008</v>
      </c>
      <c r="AB10" s="118">
        <f t="shared" si="7"/>
        <v>6314.3070000000007</v>
      </c>
      <c r="AC10" s="118">
        <f t="shared" si="7"/>
        <v>5957.4000000000005</v>
      </c>
      <c r="AD10" s="118">
        <f t="shared" si="7"/>
        <v>5794.2410000000009</v>
      </c>
      <c r="AE10" s="118">
        <f t="shared" si="7"/>
        <v>5582.6450000000004</v>
      </c>
      <c r="AF10" s="118">
        <f t="shared" si="7"/>
        <v>5588.9990000000007</v>
      </c>
      <c r="AG10" s="81">
        <f t="shared" si="7"/>
        <v>5515.381141503789</v>
      </c>
      <c r="AH10" s="81">
        <f t="shared" si="7"/>
        <v>5654.4219992386052</v>
      </c>
      <c r="AI10" s="81">
        <f t="shared" si="7"/>
        <v>5623.608425372543</v>
      </c>
      <c r="AJ10" s="81">
        <f t="shared" si="7"/>
        <v>5616.2018937217181</v>
      </c>
      <c r="AK10" s="81">
        <f t="shared" si="7"/>
        <v>5586.9630190692051</v>
      </c>
      <c r="AL10" s="81">
        <f t="shared" si="7"/>
        <v>5560.0048872339548</v>
      </c>
      <c r="AM10" s="81">
        <f t="shared" si="7"/>
        <v>5531.959686123867</v>
      </c>
      <c r="AN10" s="81">
        <f t="shared" si="7"/>
        <v>5502.9981886852065</v>
      </c>
      <c r="AO10" s="81">
        <f t="shared" si="7"/>
        <v>5474.0931517776471</v>
      </c>
      <c r="AP10" s="81">
        <f t="shared" si="7"/>
        <v>5445.3626831380807</v>
      </c>
      <c r="AQ10" s="81">
        <f t="shared" si="7"/>
        <v>5416.7317709702156</v>
      </c>
      <c r="AR10" s="81">
        <f t="shared" si="7"/>
        <v>5388.0477067417314</v>
      </c>
      <c r="AS10" s="81">
        <f t="shared" si="7"/>
        <v>5359.3220647590188</v>
      </c>
      <c r="AT10" s="81">
        <f t="shared" si="7"/>
        <v>5330.6059304618329</v>
      </c>
      <c r="AU10" s="81">
        <f t="shared" si="7"/>
        <v>5301.9053253344728</v>
      </c>
      <c r="AV10" s="81">
        <f t="shared" si="7"/>
        <v>5273.1999311794279</v>
      </c>
      <c r="AW10" s="81">
        <f t="shared" si="7"/>
        <v>5244.492929928505</v>
      </c>
      <c r="AX10" s="81">
        <f t="shared" si="7"/>
        <v>5100.9627604036241</v>
      </c>
      <c r="AY10" s="81">
        <f t="shared" si="7"/>
        <v>5014.8442779996831</v>
      </c>
    </row>
    <row r="11" spans="1:51">
      <c r="A11" s="69" t="s">
        <v>333</v>
      </c>
      <c r="B11" s="108">
        <v>0</v>
      </c>
      <c r="C11" s="108">
        <v>0</v>
      </c>
      <c r="D11" s="108">
        <v>0</v>
      </c>
      <c r="E11" s="108">
        <v>0</v>
      </c>
      <c r="F11" s="108">
        <v>0</v>
      </c>
      <c r="G11" s="108">
        <v>0</v>
      </c>
      <c r="H11" s="108">
        <v>0</v>
      </c>
      <c r="I11" s="108">
        <v>0</v>
      </c>
      <c r="J11" s="108">
        <v>0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108">
        <v>0</v>
      </c>
      <c r="R11" s="108">
        <v>0</v>
      </c>
      <c r="S11" s="108">
        <v>0</v>
      </c>
      <c r="T11" s="108">
        <v>0</v>
      </c>
      <c r="U11" s="108">
        <v>0</v>
      </c>
      <c r="V11" s="108">
        <v>0</v>
      </c>
      <c r="W11" s="108">
        <v>0</v>
      </c>
      <c r="X11" s="76">
        <v>0</v>
      </c>
      <c r="Y11" s="76">
        <v>0</v>
      </c>
      <c r="Z11" s="76">
        <v>0</v>
      </c>
      <c r="AA11" s="76">
        <v>0</v>
      </c>
      <c r="AB11" s="76">
        <v>0</v>
      </c>
      <c r="AC11" s="76">
        <v>0</v>
      </c>
      <c r="AD11" s="76">
        <v>0</v>
      </c>
      <c r="AE11" s="76">
        <v>0</v>
      </c>
      <c r="AF11" s="76">
        <v>0</v>
      </c>
      <c r="AG11" s="88">
        <v>0</v>
      </c>
      <c r="AH11" s="88">
        <v>0</v>
      </c>
      <c r="AI11" s="88">
        <v>0</v>
      </c>
      <c r="AJ11" s="88">
        <v>0</v>
      </c>
      <c r="AK11" s="88">
        <v>0</v>
      </c>
      <c r="AL11" s="88">
        <v>0</v>
      </c>
      <c r="AM11" s="88">
        <v>0</v>
      </c>
      <c r="AN11" s="88">
        <v>0</v>
      </c>
      <c r="AO11" s="88">
        <v>0</v>
      </c>
      <c r="AP11" s="88">
        <v>0</v>
      </c>
      <c r="AQ11" s="88">
        <v>0</v>
      </c>
      <c r="AR11" s="88">
        <v>0</v>
      </c>
      <c r="AS11" s="88">
        <v>0</v>
      </c>
      <c r="AT11" s="88">
        <v>0</v>
      </c>
      <c r="AU11" s="88">
        <v>0</v>
      </c>
      <c r="AV11" s="88">
        <v>0</v>
      </c>
      <c r="AW11" s="88">
        <v>0</v>
      </c>
      <c r="AX11" s="88">
        <v>0</v>
      </c>
      <c r="AY11" s="88">
        <v>0</v>
      </c>
    </row>
    <row r="12" spans="1:51" ht="12" thickBot="1">
      <c r="A12" s="69" t="s">
        <v>334</v>
      </c>
    </row>
    <row r="13" spans="1:51">
      <c r="A13" s="201" t="s">
        <v>335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</row>
    <row r="14" spans="1:51">
      <c r="B14" s="69">
        <v>1993</v>
      </c>
      <c r="C14" s="69">
        <v>1994</v>
      </c>
      <c r="D14" s="69">
        <v>1995</v>
      </c>
      <c r="E14" s="69">
        <v>1996</v>
      </c>
      <c r="F14" s="69">
        <v>1997</v>
      </c>
      <c r="G14" s="69">
        <v>1998</v>
      </c>
      <c r="H14" s="69">
        <v>1999</v>
      </c>
      <c r="I14" s="69">
        <v>2000</v>
      </c>
      <c r="J14" s="69">
        <v>2001</v>
      </c>
      <c r="K14" s="69">
        <v>2002</v>
      </c>
      <c r="L14" s="69">
        <v>2003</v>
      </c>
      <c r="M14" s="69">
        <v>2004</v>
      </c>
      <c r="N14" s="69">
        <v>2005</v>
      </c>
      <c r="O14" s="69">
        <v>2006</v>
      </c>
      <c r="P14" s="69">
        <v>2007</v>
      </c>
      <c r="Q14" s="69">
        <v>2008</v>
      </c>
      <c r="R14" s="69">
        <v>2009</v>
      </c>
      <c r="S14" s="69">
        <v>2010</v>
      </c>
      <c r="T14" s="69">
        <v>2011</v>
      </c>
      <c r="U14" s="69">
        <v>2012</v>
      </c>
      <c r="V14" s="69">
        <v>2013</v>
      </c>
      <c r="W14" s="69">
        <v>2014</v>
      </c>
      <c r="X14" s="69">
        <v>2015</v>
      </c>
      <c r="Y14" s="69">
        <v>2016</v>
      </c>
      <c r="Z14" s="69">
        <v>2017</v>
      </c>
      <c r="AA14" s="69">
        <v>2018</v>
      </c>
      <c r="AB14" s="69">
        <v>2019</v>
      </c>
      <c r="AC14" s="69">
        <v>2020</v>
      </c>
      <c r="AD14" s="69">
        <v>2021</v>
      </c>
      <c r="AE14" s="69">
        <v>2022</v>
      </c>
      <c r="AF14" s="69">
        <v>2023</v>
      </c>
      <c r="AG14" s="69">
        <v>2024</v>
      </c>
      <c r="AH14" s="69">
        <v>2025</v>
      </c>
      <c r="AI14" s="69">
        <v>2026</v>
      </c>
      <c r="AJ14" s="69">
        <v>2027</v>
      </c>
      <c r="AK14" s="69">
        <v>2028</v>
      </c>
      <c r="AL14" s="69">
        <v>2029</v>
      </c>
      <c r="AM14" s="69">
        <v>2030</v>
      </c>
      <c r="AN14" s="69">
        <v>2031</v>
      </c>
      <c r="AO14" s="69">
        <v>2032</v>
      </c>
      <c r="AP14" s="69">
        <v>2033</v>
      </c>
      <c r="AQ14" s="69">
        <v>2034</v>
      </c>
      <c r="AR14" s="69">
        <v>2035</v>
      </c>
      <c r="AS14" s="69">
        <v>2036</v>
      </c>
      <c r="AT14" s="69">
        <v>2037</v>
      </c>
      <c r="AU14" s="69">
        <v>2038</v>
      </c>
      <c r="AV14" s="69">
        <v>2039</v>
      </c>
      <c r="AW14" s="69">
        <v>2040</v>
      </c>
      <c r="AX14" s="69">
        <v>2041</v>
      </c>
      <c r="AY14" s="69">
        <v>2042</v>
      </c>
    </row>
    <row r="15" spans="1:51" ht="12" thickBot="1">
      <c r="A15" s="69" t="s">
        <v>358</v>
      </c>
    </row>
    <row r="16" spans="1:51" ht="12" thickBot="1">
      <c r="A16" s="202"/>
      <c r="B16" s="203" t="str">
        <f>B$2</f>
        <v xml:space="preserve">93/94 </v>
      </c>
      <c r="C16" s="203" t="str">
        <f t="shared" ref="C16:AY16" si="8">C$2</f>
        <v xml:space="preserve">94/95 </v>
      </c>
      <c r="D16" s="203" t="str">
        <f t="shared" si="8"/>
        <v xml:space="preserve">95/96 </v>
      </c>
      <c r="E16" s="203" t="str">
        <f t="shared" si="8"/>
        <v xml:space="preserve">96/97 </v>
      </c>
      <c r="F16" s="203" t="str">
        <f t="shared" si="8"/>
        <v xml:space="preserve">97/98 </v>
      </c>
      <c r="G16" s="203" t="str">
        <f t="shared" si="8"/>
        <v xml:space="preserve">98/99 </v>
      </c>
      <c r="H16" s="203" t="str">
        <f t="shared" si="8"/>
        <v xml:space="preserve">99/00 </v>
      </c>
      <c r="I16" s="203" t="str">
        <f t="shared" si="8"/>
        <v xml:space="preserve">00/01 </v>
      </c>
      <c r="J16" s="203" t="str">
        <f t="shared" si="8"/>
        <v xml:space="preserve">01/02 </v>
      </c>
      <c r="K16" s="203" t="str">
        <f t="shared" si="8"/>
        <v xml:space="preserve">02/03 </v>
      </c>
      <c r="L16" s="203" t="str">
        <f t="shared" si="8"/>
        <v xml:space="preserve">03/04 </v>
      </c>
      <c r="M16" s="203" t="str">
        <f t="shared" si="8"/>
        <v xml:space="preserve">04/05 </v>
      </c>
      <c r="N16" s="203" t="str">
        <f t="shared" si="8"/>
        <v xml:space="preserve">05/06 </v>
      </c>
      <c r="O16" s="203" t="str">
        <f t="shared" si="8"/>
        <v xml:space="preserve">06/07 </v>
      </c>
      <c r="P16" s="203" t="str">
        <f t="shared" si="8"/>
        <v xml:space="preserve">07/08 </v>
      </c>
      <c r="Q16" s="203" t="str">
        <f t="shared" si="8"/>
        <v xml:space="preserve">08/09 </v>
      </c>
      <c r="R16" s="203" t="str">
        <f t="shared" si="8"/>
        <v xml:space="preserve">09/10 </v>
      </c>
      <c r="S16" s="203" t="str">
        <f t="shared" si="8"/>
        <v xml:space="preserve">10/11 </v>
      </c>
      <c r="T16" s="203" t="str">
        <f t="shared" si="8"/>
        <v xml:space="preserve">11/12 </v>
      </c>
      <c r="U16" s="203" t="str">
        <f t="shared" si="8"/>
        <v xml:space="preserve">12/13 </v>
      </c>
      <c r="V16" s="203" t="str">
        <f t="shared" si="8"/>
        <v xml:space="preserve">13/14 </v>
      </c>
      <c r="W16" s="203" t="str">
        <f t="shared" si="8"/>
        <v xml:space="preserve">14/15 </v>
      </c>
      <c r="X16" s="203" t="str">
        <f t="shared" si="8"/>
        <v xml:space="preserve">15/16 </v>
      </c>
      <c r="Y16" s="203" t="str">
        <f t="shared" si="8"/>
        <v xml:space="preserve">16/17 </v>
      </c>
      <c r="Z16" s="203" t="str">
        <f t="shared" si="8"/>
        <v xml:space="preserve">17/18 </v>
      </c>
      <c r="AA16" s="203" t="str">
        <f t="shared" si="8"/>
        <v xml:space="preserve">18/19 </v>
      </c>
      <c r="AB16" s="203" t="str">
        <f t="shared" si="8"/>
        <v xml:space="preserve">19/20 </v>
      </c>
      <c r="AC16" s="203" t="str">
        <f t="shared" si="8"/>
        <v xml:space="preserve">20/21 </v>
      </c>
      <c r="AD16" s="203" t="str">
        <f t="shared" si="8"/>
        <v>21/22</v>
      </c>
      <c r="AE16" s="203" t="str">
        <f t="shared" si="8"/>
        <v>22/23</v>
      </c>
      <c r="AF16" s="203" t="str">
        <f t="shared" si="8"/>
        <v>23/24</v>
      </c>
      <c r="AG16" s="203" t="str">
        <f t="shared" si="8"/>
        <v>24/25</v>
      </c>
      <c r="AH16" s="203" t="str">
        <f t="shared" si="8"/>
        <v>25/26</v>
      </c>
      <c r="AI16" s="203" t="str">
        <f t="shared" si="8"/>
        <v>26/27</v>
      </c>
      <c r="AJ16" s="203" t="str">
        <f t="shared" si="8"/>
        <v>27/28</v>
      </c>
      <c r="AK16" s="203" t="str">
        <f t="shared" si="8"/>
        <v>28/29</v>
      </c>
      <c r="AL16" s="203" t="str">
        <f t="shared" si="8"/>
        <v>29/30</v>
      </c>
      <c r="AM16" s="203" t="str">
        <f t="shared" si="8"/>
        <v>30/31</v>
      </c>
      <c r="AN16" s="203" t="str">
        <f t="shared" si="8"/>
        <v>31/32</v>
      </c>
      <c r="AO16" s="203" t="str">
        <f t="shared" si="8"/>
        <v>32/33</v>
      </c>
      <c r="AP16" s="203" t="str">
        <f t="shared" si="8"/>
        <v>33/34</v>
      </c>
      <c r="AQ16" s="203" t="str">
        <f t="shared" si="8"/>
        <v>34/35</v>
      </c>
      <c r="AR16" s="203" t="str">
        <f t="shared" si="8"/>
        <v>35/36</v>
      </c>
      <c r="AS16" s="203" t="str">
        <f t="shared" si="8"/>
        <v>36/37</v>
      </c>
      <c r="AT16" s="203" t="str">
        <f t="shared" si="8"/>
        <v>37/38</v>
      </c>
      <c r="AU16" s="203" t="str">
        <f t="shared" si="8"/>
        <v>38/39</v>
      </c>
      <c r="AV16" s="203" t="str">
        <f t="shared" si="8"/>
        <v>39/40</v>
      </c>
      <c r="AW16" s="203" t="str">
        <f t="shared" si="8"/>
        <v>40/41</v>
      </c>
      <c r="AX16" s="203" t="str">
        <f t="shared" si="8"/>
        <v>41/42</v>
      </c>
      <c r="AY16" s="203" t="str">
        <f t="shared" si="8"/>
        <v>42/43</v>
      </c>
    </row>
    <row r="17" spans="1:51">
      <c r="A17" s="69" t="s">
        <v>37</v>
      </c>
      <c r="B17" s="108">
        <v>121.69319729187133</v>
      </c>
      <c r="C17" s="108">
        <v>125.37863633765787</v>
      </c>
      <c r="D17" s="108">
        <v>125.894597804068</v>
      </c>
      <c r="E17" s="108">
        <v>113.73264895297245</v>
      </c>
      <c r="F17" s="108">
        <v>129.69060002122811</v>
      </c>
      <c r="G17" s="108">
        <v>133.09348874017101</v>
      </c>
      <c r="H17" s="108">
        <v>137.31945884600626</v>
      </c>
      <c r="I17" s="108">
        <v>139.61671585121317</v>
      </c>
      <c r="J17" s="108">
        <v>143.63384441112052</v>
      </c>
      <c r="K17" s="108">
        <v>149.38312932254749</v>
      </c>
      <c r="L17" s="108">
        <v>146.70504361594266</v>
      </c>
      <c r="M17" s="108">
        <v>144.54291937574783</v>
      </c>
      <c r="N17" s="108">
        <v>136.36124469410174</v>
      </c>
      <c r="O17" s="108">
        <v>145.29134699735374</v>
      </c>
      <c r="P17" s="108">
        <v>146.04827947829605</v>
      </c>
      <c r="Q17" s="108">
        <v>149.92513455821452</v>
      </c>
      <c r="R17" s="108">
        <v>132.72116489810952</v>
      </c>
      <c r="S17" s="108">
        <v>117.35285572764855</v>
      </c>
      <c r="T17" s="108">
        <f>'[1]Corn Oil Balance Sheet'!S49*T33/2.204622</f>
        <v>95.190683482247721</v>
      </c>
      <c r="U17" s="108">
        <f>'[1]Corn Oil Balance Sheet'!T49*U33/2.204622</f>
        <v>150.41957730597537</v>
      </c>
      <c r="V17" s="108">
        <f>'[1]Corn Oil Balance Sheet'!U49*V33/2.204622</f>
        <v>140.67653820212902</v>
      </c>
      <c r="W17" s="108">
        <f>'[1]Corn Oil Balance Sheet'!V49*W33/2.204622</f>
        <v>138.81755970190622</v>
      </c>
      <c r="X17" s="76">
        <f>SUM('NASS Data'!$Q13,'NASS Data'!$T13)</f>
        <v>599.15800000000002</v>
      </c>
      <c r="Y17" s="76">
        <f>SUM('NASS Data'!$Q25,'NASS Data'!$T25)</f>
        <v>629.71500000000003</v>
      </c>
      <c r="Z17" s="76">
        <f>SUM('NASS Data'!$Q37,'NASS Data'!$T37)</f>
        <v>601.16</v>
      </c>
      <c r="AA17" s="76">
        <f>SUM('NASS Data'!$Q49,'NASS Data'!$T49)</f>
        <v>522.73099999999999</v>
      </c>
      <c r="AB17" s="76">
        <f>SUM('NASS Data'!$Q61,'NASS Data'!$T61)</f>
        <v>498.44200000000001</v>
      </c>
      <c r="AC17" s="76">
        <f>SUM('NASS Data'!$Q73,'NASS Data'!$T73)</f>
        <v>535.60799999999995</v>
      </c>
      <c r="AD17" s="76">
        <f>SUM('NASS Data'!$Q85,'NASS Data'!$T85)</f>
        <v>488.56700000000001</v>
      </c>
      <c r="AE17" s="76">
        <f>SUM('NASS Data'!$Q97,'NASS Data'!$T97)</f>
        <v>431.46699999999998</v>
      </c>
      <c r="AF17" s="76">
        <f>SUM('NASS Data'!$Q109,'NASS Data'!$T109)</f>
        <v>443.04600000000005</v>
      </c>
      <c r="AG17" s="76">
        <f>SUM('NASS Data'!$Q121,'NASS Data'!$T121)</f>
        <v>447.37299999999999</v>
      </c>
      <c r="AH17" s="88">
        <f>'Ethanol Balance Sheet'!AH384*'Corn Gluten Feed Balance Sheet'!AH33</f>
        <v>466.14954629598105</v>
      </c>
      <c r="AI17" s="88">
        <f>'Ethanol Balance Sheet'!AI384*'Corn Gluten Feed Balance Sheet'!AI33</f>
        <v>459.5514787298448</v>
      </c>
      <c r="AJ17" s="88">
        <f>'Ethanol Balance Sheet'!AJ384*'Corn Gluten Feed Balance Sheet'!AJ33</f>
        <v>457.53726895643018</v>
      </c>
      <c r="AK17" s="88">
        <f>'Ethanol Balance Sheet'!AK384*'Corn Gluten Feed Balance Sheet'!AK33</f>
        <v>459.07033496826654</v>
      </c>
      <c r="AL17" s="88">
        <f>'Ethanol Balance Sheet'!AL384*'Corn Gluten Feed Balance Sheet'!AL33</f>
        <v>460.78777905793009</v>
      </c>
      <c r="AM17" s="88">
        <f>'Ethanol Balance Sheet'!AM384*'Corn Gluten Feed Balance Sheet'!AM33</f>
        <v>453.82595037641016</v>
      </c>
      <c r="AN17" s="88">
        <f>'Ethanol Balance Sheet'!AN384*'Corn Gluten Feed Balance Sheet'!AN33</f>
        <v>451.52812195792211</v>
      </c>
      <c r="AO17" s="88">
        <f>'Ethanol Balance Sheet'!AO384*'Corn Gluten Feed Balance Sheet'!AO33</f>
        <v>449.5150444249345</v>
      </c>
      <c r="AP17" s="88">
        <f>'Ethanol Balance Sheet'!AP384*'Corn Gluten Feed Balance Sheet'!AP33</f>
        <v>447.82154913760127</v>
      </c>
      <c r="AQ17" s="88">
        <f>'Ethanol Balance Sheet'!AQ384*'Corn Gluten Feed Balance Sheet'!AQ33</f>
        <v>445.55886217344658</v>
      </c>
      <c r="AR17" s="88">
        <f>'Ethanol Balance Sheet'!AR384*'Corn Gluten Feed Balance Sheet'!AR33</f>
        <v>442.52500005628093</v>
      </c>
      <c r="AS17" s="88">
        <f>'Ethanol Balance Sheet'!AS384*'Corn Gluten Feed Balance Sheet'!AS33</f>
        <v>440.29034153836363</v>
      </c>
      <c r="AT17" s="88">
        <f>'Ethanol Balance Sheet'!AT384*'Corn Gluten Feed Balance Sheet'!AT33</f>
        <v>438.04310882535214</v>
      </c>
      <c r="AU17" s="88">
        <f>'Ethanol Balance Sheet'!AU384*'Corn Gluten Feed Balance Sheet'!AU33</f>
        <v>435.74354715991183</v>
      </c>
      <c r="AV17" s="88">
        <f>'Ethanol Balance Sheet'!AV384*'Corn Gluten Feed Balance Sheet'!AV33</f>
        <v>433.32798910844559</v>
      </c>
      <c r="AW17" s="88">
        <f>'Ethanol Balance Sheet'!AW384*'Corn Gluten Feed Balance Sheet'!AW33</f>
        <v>430.88295842663393</v>
      </c>
      <c r="AX17" s="88">
        <f>'Ethanol Balance Sheet'!AX384*'Corn Gluten Feed Balance Sheet'!AX33</f>
        <v>419.08388294158073</v>
      </c>
      <c r="AY17" s="88">
        <f>'Ethanol Balance Sheet'!AY384*'Corn Gluten Feed Balance Sheet'!AY33</f>
        <v>412.00042294390039</v>
      </c>
    </row>
    <row r="18" spans="1:51">
      <c r="A18" s="69" t="s">
        <v>38</v>
      </c>
      <c r="B18" s="108">
        <v>125.894597804068</v>
      </c>
      <c r="C18" s="108">
        <v>125.6734714613208</v>
      </c>
      <c r="D18" s="108">
        <v>135.91899200860738</v>
      </c>
      <c r="E18" s="108">
        <v>125.37863633765787</v>
      </c>
      <c r="F18" s="108">
        <v>135.77157444677593</v>
      </c>
      <c r="G18" s="108">
        <v>146.82789158413553</v>
      </c>
      <c r="H18" s="108">
        <v>139.53072227347818</v>
      </c>
      <c r="I18" s="108">
        <v>146.06623418133961</v>
      </c>
      <c r="J18" s="108">
        <v>138.32681218518789</v>
      </c>
      <c r="K18" s="108">
        <v>158.05619587696518</v>
      </c>
      <c r="L18" s="108">
        <v>151.17670965816362</v>
      </c>
      <c r="M18" s="108">
        <v>150.95558331541642</v>
      </c>
      <c r="N18" s="108">
        <v>149.99736916351193</v>
      </c>
      <c r="O18" s="108">
        <v>159.25349107466039</v>
      </c>
      <c r="P18" s="108">
        <v>148.87263695318291</v>
      </c>
      <c r="Q18" s="108">
        <v>149.40622474056778</v>
      </c>
      <c r="R18" s="108">
        <v>130.91246481256198</v>
      </c>
      <c r="S18" s="108">
        <v>120.34682135985217</v>
      </c>
      <c r="T18" s="108">
        <f>'[1]Corn Oil Balance Sheet'!T38*T34/2.204622</f>
        <v>142.00859847957622</v>
      </c>
      <c r="U18" s="108">
        <f>'[1]Corn Oil Balance Sheet'!U38*U34/2.204622</f>
        <v>156.91204959437437</v>
      </c>
      <c r="V18" s="108">
        <f>'[1]Corn Oil Balance Sheet'!V38*V34/2.204622</f>
        <v>152.38991671325564</v>
      </c>
      <c r="W18" s="108">
        <f>'[1]Corn Oil Balance Sheet'!W38*W34/2.204622</f>
        <v>142.45144388413027</v>
      </c>
      <c r="X18" s="76">
        <f>SUM('NASS Data'!$Q14,'NASS Data'!$T14)</f>
        <v>623.00900000000001</v>
      </c>
      <c r="Y18" s="76">
        <f>SUM('NASS Data'!$Q26,'NASS Data'!$T26)</f>
        <v>643.39699999999993</v>
      </c>
      <c r="Z18" s="76">
        <f>SUM('NASS Data'!$Q38,'NASS Data'!$T38)</f>
        <v>656.01199999999994</v>
      </c>
      <c r="AA18" s="76">
        <f>SUM('NASS Data'!$Q50,'NASS Data'!$T50)</f>
        <v>528.39400000000001</v>
      </c>
      <c r="AB18" s="76">
        <f>SUM('NASS Data'!$Q62,'NASS Data'!$T62)</f>
        <v>527.23800000000006</v>
      </c>
      <c r="AC18" s="76">
        <f>SUM('NASS Data'!$Q74,'NASS Data'!$T74)</f>
        <v>538.41100000000006</v>
      </c>
      <c r="AD18" s="76">
        <f>SUM('NASS Data'!$Q86,'NASS Data'!$T86)</f>
        <v>513.08900000000006</v>
      </c>
      <c r="AE18" s="76">
        <f>SUM('NASS Data'!$Q98,'NASS Data'!$T98)</f>
        <v>476.94500000000005</v>
      </c>
      <c r="AF18" s="76">
        <f>SUM('NASS Data'!$Q110,'NASS Data'!$T110)</f>
        <v>478.33199999999999</v>
      </c>
      <c r="AG18" s="76">
        <f>SUM('NASS Data'!$Q122,'NASS Data'!$T122)</f>
        <v>457.565</v>
      </c>
      <c r="AH18" s="88">
        <f>'Ethanol Balance Sheet'!AH385*'Corn Gluten Feed Balance Sheet'!AH34</f>
        <v>490.07563625880294</v>
      </c>
      <c r="AI18" s="88">
        <f>'Ethanol Balance Sheet'!AI385*'Corn Gluten Feed Balance Sheet'!AI34</f>
        <v>481.65295449351561</v>
      </c>
      <c r="AJ18" s="88">
        <f>'Ethanol Balance Sheet'!AJ385*'Corn Gluten Feed Balance Sheet'!AJ34</f>
        <v>477.12965663010908</v>
      </c>
      <c r="AK18" s="88">
        <f>'Ethanol Balance Sheet'!AK385*'Corn Gluten Feed Balance Sheet'!AK34</f>
        <v>472.93533998198404</v>
      </c>
      <c r="AL18" s="88">
        <f>'Ethanol Balance Sheet'!AL385*'Corn Gluten Feed Balance Sheet'!AL34</f>
        <v>472.58766047996005</v>
      </c>
      <c r="AM18" s="88">
        <f>'Ethanol Balance Sheet'!AM385*'Corn Gluten Feed Balance Sheet'!AM34</f>
        <v>471.90179214483163</v>
      </c>
      <c r="AN18" s="88">
        <f>'Ethanol Balance Sheet'!AN385*'Corn Gluten Feed Balance Sheet'!AN34</f>
        <v>468.41659142309624</v>
      </c>
      <c r="AO18" s="88">
        <f>'Ethanol Balance Sheet'!AO385*'Corn Gluten Feed Balance Sheet'!AO34</f>
        <v>465.30905386515388</v>
      </c>
      <c r="AP18" s="88">
        <f>'Ethanol Balance Sheet'!AP385*'Corn Gluten Feed Balance Sheet'!AP34</f>
        <v>462.736221431339</v>
      </c>
      <c r="AQ18" s="88">
        <f>'Ethanol Balance Sheet'!AQ385*'Corn Gluten Feed Balance Sheet'!AQ34</f>
        <v>460.82715054403121</v>
      </c>
      <c r="AR18" s="88">
        <f>'Ethanol Balance Sheet'!AR385*'Corn Gluten Feed Balance Sheet'!AR34</f>
        <v>458.45763596056787</v>
      </c>
      <c r="AS18" s="88">
        <f>'Ethanol Balance Sheet'!AS385*'Corn Gluten Feed Balance Sheet'!AS34</f>
        <v>455.79974452286251</v>
      </c>
      <c r="AT18" s="88">
        <f>'Ethanol Balance Sheet'!AT385*'Corn Gluten Feed Balance Sheet'!AT34</f>
        <v>453.26838688925329</v>
      </c>
      <c r="AU18" s="88">
        <f>'Ethanol Balance Sheet'!AU385*'Corn Gluten Feed Balance Sheet'!AU34</f>
        <v>450.86027402333013</v>
      </c>
      <c r="AV18" s="88">
        <f>'Ethanol Balance Sheet'!AV385*'Corn Gluten Feed Balance Sheet'!AV34</f>
        <v>448.48996265979139</v>
      </c>
      <c r="AW18" s="88">
        <f>'Ethanol Balance Sheet'!AW385*'Corn Gluten Feed Balance Sheet'!AW34</f>
        <v>446.02204726509223</v>
      </c>
      <c r="AX18" s="88">
        <f>'Ethanol Balance Sheet'!AX385*'Corn Gluten Feed Balance Sheet'!AX34</f>
        <v>433.73480246015168</v>
      </c>
      <c r="AY18" s="88">
        <f>'Ethanol Balance Sheet'!AY385*'Corn Gluten Feed Balance Sheet'!AY34</f>
        <v>426.3809610960177</v>
      </c>
    </row>
    <row r="19" spans="1:51">
      <c r="A19" s="69" t="s">
        <v>39</v>
      </c>
      <c r="B19" s="108">
        <v>127.81102610787701</v>
      </c>
      <c r="C19" s="108">
        <v>125.52605389948934</v>
      </c>
      <c r="D19" s="108">
        <v>135.47673932311298</v>
      </c>
      <c r="E19" s="108">
        <v>123.75704315751182</v>
      </c>
      <c r="F19" s="108">
        <v>134.51852517120852</v>
      </c>
      <c r="G19" s="108">
        <v>139.60443105439393</v>
      </c>
      <c r="H19" s="108">
        <v>138.0565466551636</v>
      </c>
      <c r="I19" s="108">
        <v>134.12541167299125</v>
      </c>
      <c r="J19" s="108">
        <v>143.70755319203627</v>
      </c>
      <c r="K19" s="108">
        <v>140.66092358085274</v>
      </c>
      <c r="L19" s="108">
        <v>141.88940326278154</v>
      </c>
      <c r="M19" s="108">
        <v>134.96077785670289</v>
      </c>
      <c r="N19" s="108">
        <v>144.39550181391644</v>
      </c>
      <c r="O19" s="108">
        <v>150.25251494360484</v>
      </c>
      <c r="P19" s="108">
        <v>149.19862112416553</v>
      </c>
      <c r="Q19" s="108">
        <v>152.86021821427889</v>
      </c>
      <c r="R19" s="108">
        <v>126.11005424059088</v>
      </c>
      <c r="S19" s="108">
        <v>123.93969918652721</v>
      </c>
      <c r="T19" s="108">
        <f>'[1]Corn Oil Balance Sheet'!T39*T35/2.204622</f>
        <v>138.80133376930863</v>
      </c>
      <c r="U19" s="108">
        <f>'[1]Corn Oil Balance Sheet'!U39*U35/2.204622</f>
        <v>153.36819038677731</v>
      </c>
      <c r="V19" s="108">
        <f>'[1]Corn Oil Balance Sheet'!V39*V35/2.204622</f>
        <v>148.94818989313393</v>
      </c>
      <c r="W19" s="108">
        <f>'[1]Corn Oil Balance Sheet'!W39*W35/2.204622</f>
        <v>139.23417750879909</v>
      </c>
      <c r="X19" s="76">
        <f>SUM('NASS Data'!$Q15,'NASS Data'!$T15)</f>
        <v>611.91200000000003</v>
      </c>
      <c r="Y19" s="76">
        <f>SUM('NASS Data'!$Q27,'NASS Data'!$T27)</f>
        <v>635.85500000000002</v>
      </c>
      <c r="Z19" s="76">
        <f>SUM('NASS Data'!$Q39,'NASS Data'!$T39)</f>
        <v>615.16599999999994</v>
      </c>
      <c r="AA19" s="76">
        <f>SUM('NASS Data'!$Q51,'NASS Data'!$T51)</f>
        <v>542.36500000000001</v>
      </c>
      <c r="AB19" s="76">
        <f>SUM('NASS Data'!$Q63,'NASS Data'!$T63)</f>
        <v>534.178</v>
      </c>
      <c r="AC19" s="76">
        <f>SUM('NASS Data'!$Q75,'NASS Data'!$T75)</f>
        <v>525.96900000000005</v>
      </c>
      <c r="AD19" s="76">
        <f>SUM('NASS Data'!$Q87,'NASS Data'!$T87)</f>
        <v>489.69400000000002</v>
      </c>
      <c r="AE19" s="76">
        <f>SUM('NASS Data'!$Q99,'NASS Data'!$T99)</f>
        <v>481.27</v>
      </c>
      <c r="AF19" s="76">
        <f>SUM('NASS Data'!$Q111,'NASS Data'!$T111)</f>
        <v>444.99599999999998</v>
      </c>
      <c r="AG19" s="76">
        <f>SUM('NASS Data'!$Q123,'NASS Data'!$T123)</f>
        <v>478.24099999999999</v>
      </c>
      <c r="AH19" s="88">
        <f>'Ethanol Balance Sheet'!AH386*'Corn Gluten Feed Balance Sheet'!AH35</f>
        <v>481.75608503655644</v>
      </c>
      <c r="AI19" s="88">
        <f>'Ethanol Balance Sheet'!AI386*'Corn Gluten Feed Balance Sheet'!AI35</f>
        <v>474.48215806792928</v>
      </c>
      <c r="AJ19" s="88">
        <f>'Ethanol Balance Sheet'!AJ386*'Corn Gluten Feed Balance Sheet'!AJ35</f>
        <v>473.41054436353414</v>
      </c>
      <c r="AK19" s="88">
        <f>'Ethanol Balance Sheet'!AK386*'Corn Gluten Feed Balance Sheet'!AK35</f>
        <v>469.8529161497018</v>
      </c>
      <c r="AL19" s="88">
        <f>'Ethanol Balance Sheet'!AL386*'Corn Gluten Feed Balance Sheet'!AL35</f>
        <v>471.58075131081739</v>
      </c>
      <c r="AM19" s="88">
        <f>'Ethanol Balance Sheet'!AM386*'Corn Gluten Feed Balance Sheet'!AM35</f>
        <v>467.21405171276615</v>
      </c>
      <c r="AN19" s="88">
        <f>'Ethanol Balance Sheet'!AN386*'Corn Gluten Feed Balance Sheet'!AN35</f>
        <v>464.68765104119393</v>
      </c>
      <c r="AO19" s="88">
        <f>'Ethanol Balance Sheet'!AO386*'Corn Gluten Feed Balance Sheet'!AO35</f>
        <v>462.31041452133815</v>
      </c>
      <c r="AP19" s="88">
        <f>'Ethanol Balance Sheet'!AP386*'Corn Gluten Feed Balance Sheet'!AP35</f>
        <v>460.06417150829338</v>
      </c>
      <c r="AQ19" s="88">
        <f>'Ethanol Balance Sheet'!AQ386*'Corn Gluten Feed Balance Sheet'!AQ35</f>
        <v>457.87036613024958</v>
      </c>
      <c r="AR19" s="88">
        <f>'Ethanol Balance Sheet'!AR386*'Corn Gluten Feed Balance Sheet'!AR35</f>
        <v>455.10697803334068</v>
      </c>
      <c r="AS19" s="88">
        <f>'Ethanol Balance Sheet'!AS386*'Corn Gluten Feed Balance Sheet'!AS35</f>
        <v>452.70969857261599</v>
      </c>
      <c r="AT19" s="88">
        <f>'Ethanol Balance Sheet'!AT386*'Corn Gluten Feed Balance Sheet'!AT35</f>
        <v>450.31864404607296</v>
      </c>
      <c r="AU19" s="88">
        <f>'Ethanol Balance Sheet'!AU386*'Corn Gluten Feed Balance Sheet'!AU35</f>
        <v>447.91972245857102</v>
      </c>
      <c r="AV19" s="88">
        <f>'Ethanol Balance Sheet'!AV386*'Corn Gluten Feed Balance Sheet'!AV35</f>
        <v>445.4804281001858</v>
      </c>
      <c r="AW19" s="88">
        <f>'Ethanol Balance Sheet'!AW386*'Corn Gluten Feed Balance Sheet'!AW35</f>
        <v>443.00259590764932</v>
      </c>
      <c r="AX19" s="88">
        <f>'Ethanol Balance Sheet'!AX386*'Corn Gluten Feed Balance Sheet'!AX35</f>
        <v>430.84673933475466</v>
      </c>
      <c r="AY19" s="88">
        <f>'Ethanol Balance Sheet'!AY386*'Corn Gluten Feed Balance Sheet'!AY35</f>
        <v>423.55305245053688</v>
      </c>
    </row>
    <row r="20" spans="1:51">
      <c r="A20" s="69" t="s">
        <v>40</v>
      </c>
      <c r="B20" s="108">
        <v>127.14764707963542</v>
      </c>
      <c r="C20" s="108">
        <v>129.65374563077029</v>
      </c>
      <c r="D20" s="108">
        <v>135.9927007895231</v>
      </c>
      <c r="E20" s="108">
        <v>123.97816950025899</v>
      </c>
      <c r="F20" s="108">
        <v>130.4645422208433</v>
      </c>
      <c r="G20" s="108">
        <v>132.08613540098941</v>
      </c>
      <c r="H20" s="108">
        <v>131.64388271549501</v>
      </c>
      <c r="I20" s="108">
        <v>137.22118047145193</v>
      </c>
      <c r="J20" s="108">
        <v>137.4668764078377</v>
      </c>
      <c r="K20" s="108">
        <v>153.41254267927414</v>
      </c>
      <c r="L20" s="108">
        <v>139.45701349256242</v>
      </c>
      <c r="M20" s="108">
        <v>137.8354203124164</v>
      </c>
      <c r="N20" s="108">
        <v>144.69033693757936</v>
      </c>
      <c r="O20" s="108">
        <v>157.41077155176714</v>
      </c>
      <c r="P20" s="108">
        <v>149.55511647801754</v>
      </c>
      <c r="Q20" s="108">
        <v>143.92818814291067</v>
      </c>
      <c r="R20" s="108">
        <v>124.86267487124775</v>
      </c>
      <c r="S20" s="108">
        <v>116.61165723647861</v>
      </c>
      <c r="T20" s="108">
        <f>'[1]Corn Oil Balance Sheet'!T40*T36/2.204622</f>
        <v>138.48286659502719</v>
      </c>
      <c r="U20" s="108">
        <f>'[1]Corn Oil Balance Sheet'!U40*U36/2.204622</f>
        <v>153.01630087036742</v>
      </c>
      <c r="V20" s="108">
        <f>'[1]Corn Oil Balance Sheet'!V40*V36/2.204622</f>
        <v>148.60644167024986</v>
      </c>
      <c r="W20" s="108">
        <f>'[1]Corn Oil Balance Sheet'!W40*W36/2.204622</f>
        <v>138.91471721349444</v>
      </c>
      <c r="X20" s="76">
        <f>SUM('NASS Data'!$Q16,'NASS Data'!$T16)</f>
        <v>648.33400000000006</v>
      </c>
      <c r="Y20" s="76">
        <f>SUM('NASS Data'!$Q28,'NASS Data'!$T28)</f>
        <v>666.98500000000001</v>
      </c>
      <c r="Z20" s="76">
        <f>SUM('NASS Data'!$Q40,'NASS Data'!$T40)</f>
        <v>628.45900000000006</v>
      </c>
      <c r="AA20" s="76">
        <f>SUM('NASS Data'!$Q52,'NASS Data'!$T52)</f>
        <v>546.32400000000007</v>
      </c>
      <c r="AB20" s="76">
        <f>SUM('NASS Data'!$Q64,'NASS Data'!$T64)</f>
        <v>563.69899999999996</v>
      </c>
      <c r="AC20" s="76">
        <f>SUM('NASS Data'!$Q76,'NASS Data'!$T76)</f>
        <v>494.48500000000001</v>
      </c>
      <c r="AD20" s="76">
        <f>SUM('NASS Data'!$Q88,'NASS Data'!$T88)</f>
        <v>499.733</v>
      </c>
      <c r="AE20" s="76">
        <f>SUM('NASS Data'!$Q100,'NASS Data'!$T100)</f>
        <v>441.37200000000001</v>
      </c>
      <c r="AF20" s="76">
        <f>SUM('NASS Data'!$Q112,'NASS Data'!$T112)</f>
        <v>455.80100000000004</v>
      </c>
      <c r="AG20" s="88">
        <f>'Ethanol Balance Sheet'!AG387*'Corn Gluten Feed Balance Sheet'!AG36</f>
        <v>467.30727108224045</v>
      </c>
      <c r="AH20" s="88">
        <f>'Ethanol Balance Sheet'!AH387*'Corn Gluten Feed Balance Sheet'!AH36</f>
        <v>469.13552122415928</v>
      </c>
      <c r="AI20" s="88">
        <f>'Ethanol Balance Sheet'!AI387*'Corn Gluten Feed Balance Sheet'!AI36</f>
        <v>467.01764939252331</v>
      </c>
      <c r="AJ20" s="88">
        <f>'Ethanol Balance Sheet'!AJ387*'Corn Gluten Feed Balance Sheet'!AJ36</f>
        <v>463.36745052541153</v>
      </c>
      <c r="AK20" s="88">
        <f>'Ethanol Balance Sheet'!AK387*'Corn Gluten Feed Balance Sheet'!AK36</f>
        <v>463.90652300767766</v>
      </c>
      <c r="AL20" s="88">
        <f>'Ethanol Balance Sheet'!AL387*'Corn Gluten Feed Balance Sheet'!AL36</f>
        <v>462.09061047604837</v>
      </c>
      <c r="AM20" s="88">
        <f>'Ethanol Balance Sheet'!AM387*'Corn Gluten Feed Balance Sheet'!AM36</f>
        <v>458.86188243671006</v>
      </c>
      <c r="AN20" s="88">
        <f>'Ethanol Balance Sheet'!AN387*'Corn Gluten Feed Balance Sheet'!AN36</f>
        <v>456.34184002376361</v>
      </c>
      <c r="AO20" s="88">
        <f>'Ethanol Balance Sheet'!AO387*'Corn Gluten Feed Balance Sheet'!AO36</f>
        <v>453.76551275790609</v>
      </c>
      <c r="AP20" s="88">
        <f>'Ethanol Balance Sheet'!AP387*'Corn Gluten Feed Balance Sheet'!AP36</f>
        <v>451.81707813659716</v>
      </c>
      <c r="AQ20" s="88">
        <f>'Ethanol Balance Sheet'!AQ387*'Corn Gluten Feed Balance Sheet'!AQ36</f>
        <v>449.39983808119791</v>
      </c>
      <c r="AR20" s="88">
        <f>'Ethanol Balance Sheet'!AR387*'Corn Gluten Feed Balance Sheet'!AR36</f>
        <v>446.87031212443202</v>
      </c>
      <c r="AS20" s="88">
        <f>'Ethanol Balance Sheet'!AS387*'Corn Gluten Feed Balance Sheet'!AS36</f>
        <v>444.46957845815894</v>
      </c>
      <c r="AT20" s="88">
        <f>'Ethanol Balance Sheet'!AT387*'Corn Gluten Feed Balance Sheet'!AT36</f>
        <v>442.09599537655725</v>
      </c>
      <c r="AU20" s="88">
        <f>'Ethanol Balance Sheet'!AU387*'Corn Gluten Feed Balance Sheet'!AU36</f>
        <v>439.76061074650499</v>
      </c>
      <c r="AV20" s="88">
        <f>'Ethanol Balance Sheet'!AV387*'Corn Gluten Feed Balance Sheet'!AV36</f>
        <v>437.34962278799867</v>
      </c>
      <c r="AW20" s="88">
        <f>'Ethanol Balance Sheet'!AW387*'Corn Gluten Feed Balance Sheet'!AW36</f>
        <v>434.94006365250624</v>
      </c>
      <c r="AX20" s="88">
        <f>'Ethanol Balance Sheet'!AX387*'Corn Gluten Feed Balance Sheet'!AX36</f>
        <v>422.99460065349808</v>
      </c>
      <c r="AY20" s="88">
        <f>'Ethanol Balance Sheet'!AY387*'Corn Gluten Feed Balance Sheet'!AY36</f>
        <v>415.83153718234729</v>
      </c>
    </row>
    <row r="21" spans="1:51">
      <c r="A21" s="69" t="s">
        <v>30</v>
      </c>
      <c r="B21" s="108">
        <v>122.06174119644999</v>
      </c>
      <c r="C21" s="108">
        <v>131.34904759183209</v>
      </c>
      <c r="D21" s="108">
        <v>133.48660223838823</v>
      </c>
      <c r="E21" s="108">
        <v>122.54084827240224</v>
      </c>
      <c r="F21" s="108">
        <v>130.02228953534893</v>
      </c>
      <c r="G21" s="108">
        <v>127.44248220329835</v>
      </c>
      <c r="H21" s="108">
        <v>133.19176711472537</v>
      </c>
      <c r="I21" s="108">
        <v>140.53807561265981</v>
      </c>
      <c r="J21" s="108">
        <v>140.12039252080399</v>
      </c>
      <c r="K21" s="108">
        <v>149.35855972890894</v>
      </c>
      <c r="L21" s="108">
        <v>145.20629840398942</v>
      </c>
      <c r="M21" s="108">
        <v>148.3020672024501</v>
      </c>
      <c r="N21" s="108">
        <v>151.25041843907931</v>
      </c>
      <c r="O21" s="108">
        <v>156.60564486791839</v>
      </c>
      <c r="P21" s="108">
        <v>143.32743322891633</v>
      </c>
      <c r="Q21" s="108">
        <v>145.42742474673662</v>
      </c>
      <c r="R21" s="108">
        <v>121.57957237113665</v>
      </c>
      <c r="S21" s="108">
        <v>129.70497323350668</v>
      </c>
      <c r="T21" s="108">
        <f>'[1]Corn Oil Balance Sheet'!T41*T37/2.204622</f>
        <v>137.882867529923</v>
      </c>
      <c r="U21" s="108">
        <f>'[1]Corn Oil Balance Sheet'!U41*U37/2.204622</f>
        <v>152.35333338763613</v>
      </c>
      <c r="V21" s="108">
        <f>'[1]Corn Oil Balance Sheet'!V41*V37/2.204622</f>
        <v>147.96258060452433</v>
      </c>
      <c r="W21" s="76">
        <f>SUM('NASS Data'!$Q5,'NASS Data'!$T5)</f>
        <v>635.16799999999989</v>
      </c>
      <c r="X21" s="76">
        <f>SUM('NASS Data'!$Q17,'NASS Data'!$T17)</f>
        <v>613.83799999999997</v>
      </c>
      <c r="Y21" s="76">
        <f>SUM('NASS Data'!$Q29,'NASS Data'!$T29)</f>
        <v>662.80899999999997</v>
      </c>
      <c r="Z21" s="76">
        <f>SUM('NASS Data'!$Q41,'NASS Data'!$T41)</f>
        <v>579.25</v>
      </c>
      <c r="AA21" s="76">
        <f>SUM('NASS Data'!$Q53,'NASS Data'!$T53)</f>
        <v>516.32100000000003</v>
      </c>
      <c r="AB21" s="76">
        <f>SUM('NASS Data'!$Q65,'NASS Data'!$T65)</f>
        <v>566.56200000000001</v>
      </c>
      <c r="AC21" s="76">
        <f>SUM('NASS Data'!$Q77,'NASS Data'!$T77)</f>
        <v>496.786</v>
      </c>
      <c r="AD21" s="76">
        <f>SUM('NASS Data'!$Q89,'NASS Data'!$T89)</f>
        <v>469.065</v>
      </c>
      <c r="AE21" s="76">
        <f>SUM('NASS Data'!$Q101,'NASS Data'!$T101)</f>
        <v>476.53600000000006</v>
      </c>
      <c r="AF21" s="76">
        <f>SUM('NASS Data'!$Q113,'NASS Data'!$T113)</f>
        <v>425.77700000000004</v>
      </c>
      <c r="AG21" s="88">
        <f>'Ethanol Balance Sheet'!AG388*'Corn Gluten Feed Balance Sheet'!AG37</f>
        <v>465.40137474028961</v>
      </c>
      <c r="AH21" s="88">
        <f>'Ethanol Balance Sheet'!AH388*'Corn Gluten Feed Balance Sheet'!AH37</f>
        <v>466.10539557769664</v>
      </c>
      <c r="AI21" s="88">
        <f>'Ethanol Balance Sheet'!AI388*'Corn Gluten Feed Balance Sheet'!AI37</f>
        <v>463.77222238984155</v>
      </c>
      <c r="AJ21" s="88">
        <f>'Ethanol Balance Sheet'!AJ388*'Corn Gluten Feed Balance Sheet'!AJ37</f>
        <v>461.26113161977838</v>
      </c>
      <c r="AK21" s="88">
        <f>'Ethanol Balance Sheet'!AK388*'Corn Gluten Feed Balance Sheet'!AK37</f>
        <v>453.97093689187255</v>
      </c>
      <c r="AL21" s="88">
        <f>'Ethanol Balance Sheet'!AL388*'Corn Gluten Feed Balance Sheet'!AL37</f>
        <v>458.5496740327647</v>
      </c>
      <c r="AM21" s="88">
        <f>'Ethanol Balance Sheet'!AM388*'Corn Gluten Feed Balance Sheet'!AM37</f>
        <v>454.91236719463603</v>
      </c>
      <c r="AN21" s="88">
        <f>'Ethanol Balance Sheet'!AN388*'Corn Gluten Feed Balance Sheet'!AN37</f>
        <v>451.7294343282523</v>
      </c>
      <c r="AO21" s="88">
        <f>'Ethanol Balance Sheet'!AO388*'Corn Gluten Feed Balance Sheet'!AO37</f>
        <v>448.84871066183842</v>
      </c>
      <c r="AP21" s="88">
        <f>'Ethanol Balance Sheet'!AP388*'Corn Gluten Feed Balance Sheet'!AP37</f>
        <v>446.55913110214186</v>
      </c>
      <c r="AQ21" s="88">
        <f>'Ethanol Balance Sheet'!AQ388*'Corn Gluten Feed Balance Sheet'!AQ37</f>
        <v>445.06290495717923</v>
      </c>
      <c r="AR21" s="88">
        <f>'Ethanol Balance Sheet'!AR388*'Corn Gluten Feed Balance Sheet'!AR37</f>
        <v>442.32931623647949</v>
      </c>
      <c r="AS21" s="88">
        <f>'Ethanol Balance Sheet'!AS388*'Corn Gluten Feed Balance Sheet'!AS37</f>
        <v>439.80977455252724</v>
      </c>
      <c r="AT21" s="88">
        <f>'Ethanol Balance Sheet'!AT388*'Corn Gluten Feed Balance Sheet'!AT37</f>
        <v>437.42873706840919</v>
      </c>
      <c r="AU21" s="88">
        <f>'Ethanol Balance Sheet'!AU388*'Corn Gluten Feed Balance Sheet'!AU37</f>
        <v>435.14474730147765</v>
      </c>
      <c r="AV21" s="88">
        <f>'Ethanol Balance Sheet'!AV388*'Corn Gluten Feed Balance Sheet'!AV37</f>
        <v>432.8606586363569</v>
      </c>
      <c r="AW21" s="88">
        <f>'Ethanol Balance Sheet'!AW388*'Corn Gluten Feed Balance Sheet'!AW37</f>
        <v>430.41926281405023</v>
      </c>
      <c r="AX21" s="88">
        <f>'Ethanol Balance Sheet'!AX388*'Corn Gluten Feed Balance Sheet'!AX37</f>
        <v>418.57817845647662</v>
      </c>
      <c r="AY21" s="88">
        <f>'Ethanol Balance Sheet'!AY388*'Corn Gluten Feed Balance Sheet'!AY37</f>
        <v>411.49404973797107</v>
      </c>
    </row>
    <row r="22" spans="1:51">
      <c r="A22" s="69" t="s">
        <v>31</v>
      </c>
      <c r="B22" s="108">
        <v>120.58756557813537</v>
      </c>
      <c r="C22" s="108">
        <v>125.52605389948934</v>
      </c>
      <c r="D22" s="108">
        <v>125.45234511857363</v>
      </c>
      <c r="E22" s="108">
        <v>121.36150777775057</v>
      </c>
      <c r="F22" s="108">
        <v>123.60962559568037</v>
      </c>
      <c r="G22" s="108">
        <v>123.09366412927022</v>
      </c>
      <c r="H22" s="108">
        <v>129.21149294527589</v>
      </c>
      <c r="I22" s="108">
        <v>126.90195114324963</v>
      </c>
      <c r="J22" s="108">
        <v>129.33434091346879</v>
      </c>
      <c r="K22" s="108">
        <v>130.85765571906052</v>
      </c>
      <c r="L22" s="108">
        <v>131.86500905824221</v>
      </c>
      <c r="M22" s="108">
        <v>132.89693199106242</v>
      </c>
      <c r="N22" s="108">
        <v>133.26547589564106</v>
      </c>
      <c r="O22" s="108">
        <v>130.16332845267806</v>
      </c>
      <c r="P22" s="108">
        <v>135.38814703835848</v>
      </c>
      <c r="Q22" s="108">
        <v>145.20703549179859</v>
      </c>
      <c r="R22" s="108">
        <v>115.46866084072462</v>
      </c>
      <c r="S22" s="108">
        <v>116.94683374292737</v>
      </c>
      <c r="T22" s="108">
        <f>'[1]Corn Oil Balance Sheet'!T42*T38/2.204622</f>
        <v>126.78806639403821</v>
      </c>
      <c r="U22" s="108">
        <f>'[1]Corn Oil Balance Sheet'!U42*U38/2.204622</f>
        <v>140.09416031845001</v>
      </c>
      <c r="V22" s="108">
        <f>'[1]Corn Oil Balance Sheet'!V42*V38/2.204622</f>
        <v>136.05671124767136</v>
      </c>
      <c r="W22" s="76">
        <f>SUM('NASS Data'!$Q6,'NASS Data'!$T6)</f>
        <v>558.75299999999993</v>
      </c>
      <c r="X22" s="76">
        <f>SUM('NASS Data'!$Q18,'NASS Data'!$T18)</f>
        <v>589.44600000000003</v>
      </c>
      <c r="Y22" s="76">
        <f>SUM('NASS Data'!$Q30,'NASS Data'!$T30)</f>
        <v>561.851</v>
      </c>
      <c r="Z22" s="76">
        <f>SUM('NASS Data'!$Q42,'NASS Data'!$T42)</f>
        <v>540.21500000000003</v>
      </c>
      <c r="AA22" s="76">
        <f>SUM('NASS Data'!$Q54,'NASS Data'!$T54)</f>
        <v>475.19</v>
      </c>
      <c r="AB22" s="76">
        <f>SUM('NASS Data'!$Q66,'NASS Data'!$T66)</f>
        <v>517.101</v>
      </c>
      <c r="AC22" s="76">
        <f>SUM('NASS Data'!$Q78,'NASS Data'!$T78)</f>
        <v>386.61</v>
      </c>
      <c r="AD22" s="76">
        <f>SUM('NASS Data'!$Q90,'NASS Data'!$T90)</f>
        <v>428.13200000000001</v>
      </c>
      <c r="AE22" s="76">
        <f>SUM('NASS Data'!$Q102,'NASS Data'!$T102)</f>
        <v>432.86799999999999</v>
      </c>
      <c r="AF22" s="76">
        <f>SUM('NASS Data'!$Q114,'NASS Data'!$T114)</f>
        <v>461.80700000000002</v>
      </c>
      <c r="AG22" s="88">
        <f>'Ethanol Balance Sheet'!AG389*'Corn Gluten Feed Balance Sheet'!AG38</f>
        <v>429.61055074028968</v>
      </c>
      <c r="AH22" s="88">
        <f>'Ethanol Balance Sheet'!AH389*'Corn Gluten Feed Balance Sheet'!AH38</f>
        <v>428.79742421391933</v>
      </c>
      <c r="AI22" s="88">
        <f>'Ethanol Balance Sheet'!AI389*'Corn Gluten Feed Balance Sheet'!AI38</f>
        <v>435.18601348370498</v>
      </c>
      <c r="AJ22" s="88">
        <f>'Ethanol Balance Sheet'!AJ389*'Corn Gluten Feed Balance Sheet'!AJ38</f>
        <v>439.09684875650379</v>
      </c>
      <c r="AK22" s="88">
        <f>'Ethanol Balance Sheet'!AK389*'Corn Gluten Feed Balance Sheet'!AK38</f>
        <v>436.68796284959228</v>
      </c>
      <c r="AL22" s="88">
        <f>'Ethanol Balance Sheet'!AL389*'Corn Gluten Feed Balance Sheet'!AL38</f>
        <v>430.14449788967789</v>
      </c>
      <c r="AM22" s="88">
        <f>'Ethanol Balance Sheet'!AM389*'Corn Gluten Feed Balance Sheet'!AM38</f>
        <v>428.16654493746762</v>
      </c>
      <c r="AN22" s="88">
        <f>'Ethanol Balance Sheet'!AN389*'Corn Gluten Feed Balance Sheet'!AN38</f>
        <v>427.57805638389323</v>
      </c>
      <c r="AO22" s="88">
        <f>'Ethanol Balance Sheet'!AO389*'Corn Gluten Feed Balance Sheet'!AO38</f>
        <v>425.62844560651558</v>
      </c>
      <c r="AP22" s="88">
        <f>'Ethanol Balance Sheet'!AP389*'Corn Gluten Feed Balance Sheet'!AP38</f>
        <v>422.92411856574563</v>
      </c>
      <c r="AQ22" s="88">
        <f>'Ethanol Balance Sheet'!AQ389*'Corn Gluten Feed Balance Sheet'!AQ38</f>
        <v>420.17974107408321</v>
      </c>
      <c r="AR22" s="88">
        <f>'Ethanol Balance Sheet'!AR389*'Corn Gluten Feed Balance Sheet'!AR38</f>
        <v>418.18765860478624</v>
      </c>
      <c r="AS22" s="88">
        <f>'Ethanol Balance Sheet'!AS389*'Corn Gluten Feed Balance Sheet'!AS38</f>
        <v>416.18643492548676</v>
      </c>
      <c r="AT22" s="88">
        <f>'Ethanol Balance Sheet'!AT389*'Corn Gluten Feed Balance Sheet'!AT38</f>
        <v>413.90961808381655</v>
      </c>
      <c r="AU22" s="88">
        <f>'Ethanol Balance Sheet'!AU389*'Corn Gluten Feed Balance Sheet'!AU38</f>
        <v>411.56714789287645</v>
      </c>
      <c r="AV22" s="88">
        <f>'Ethanol Balance Sheet'!AV389*'Corn Gluten Feed Balance Sheet'!AV38</f>
        <v>409.29629994510623</v>
      </c>
      <c r="AW22" s="88">
        <f>'Ethanol Balance Sheet'!AW389*'Corn Gluten Feed Balance Sheet'!AW38</f>
        <v>407.11878143603917</v>
      </c>
      <c r="AX22" s="88">
        <f>'Ethanol Balance Sheet'!AX389*'Corn Gluten Feed Balance Sheet'!AX38</f>
        <v>395.95637019115014</v>
      </c>
      <c r="AY22" s="88">
        <f>'Ethanol Balance Sheet'!AY389*'Corn Gluten Feed Balance Sheet'!AY38</f>
        <v>389.22678939931131</v>
      </c>
    </row>
    <row r="23" spans="1:51">
      <c r="A23" s="69" t="s">
        <v>32</v>
      </c>
      <c r="B23" s="108">
        <v>134.07627248571413</v>
      </c>
      <c r="C23" s="108">
        <v>141.29973301545573</v>
      </c>
      <c r="D23" s="108">
        <v>142.18423838644452</v>
      </c>
      <c r="E23" s="108">
        <v>147.34385305054568</v>
      </c>
      <c r="F23" s="108">
        <v>140.78377154904558</v>
      </c>
      <c r="G23" s="108">
        <v>140.78377154904558</v>
      </c>
      <c r="H23" s="108">
        <v>144.18666026798851</v>
      </c>
      <c r="I23" s="108">
        <v>142.45450391646881</v>
      </c>
      <c r="J23" s="108">
        <v>145.28000718490514</v>
      </c>
      <c r="K23" s="108">
        <v>148.7688894815831</v>
      </c>
      <c r="L23" s="108">
        <v>141.37344179637148</v>
      </c>
      <c r="M23" s="108">
        <v>150.73445697266922</v>
      </c>
      <c r="N23" s="108">
        <v>157.44195603600073</v>
      </c>
      <c r="O23" s="108">
        <v>149.55086404834933</v>
      </c>
      <c r="P23" s="108">
        <v>155.66798412607693</v>
      </c>
      <c r="Q23" s="108">
        <v>159.06354921614681</v>
      </c>
      <c r="R23" s="108">
        <v>130.61933066076634</v>
      </c>
      <c r="S23" s="108">
        <v>128.06719247109027</v>
      </c>
      <c r="T23" s="108">
        <f>'[1]Corn Oil Balance Sheet'!T43*T39/2.204622</f>
        <v>144.51793247928163</v>
      </c>
      <c r="U23" s="108">
        <f>'[1]Corn Oil Balance Sheet'!U43*U39/2.204622</f>
        <v>159.68473198985095</v>
      </c>
      <c r="V23" s="108">
        <f>'[1]Corn Oil Balance Sheet'!V43*V39/2.204622</f>
        <v>155.08269168121535</v>
      </c>
      <c r="W23" s="76">
        <f>SUM('NASS Data'!$Q7,'NASS Data'!$T7)</f>
        <v>639.99099999999999</v>
      </c>
      <c r="X23" s="76">
        <f>SUM('NASS Data'!$Q19,'NASS Data'!$T19)</f>
        <v>633.23299999999995</v>
      </c>
      <c r="Y23" s="76">
        <f>SUM('NASS Data'!$Q31,'NASS Data'!$T31)</f>
        <v>663.00800000000004</v>
      </c>
      <c r="Z23" s="76">
        <f>SUM('NASS Data'!$Q43,'NASS Data'!$T43)</f>
        <v>596.10699999999997</v>
      </c>
      <c r="AA23" s="76">
        <f>SUM('NASS Data'!$Q55,'NASS Data'!$T55)</f>
        <v>528.89700000000005</v>
      </c>
      <c r="AB23" s="76">
        <f>SUM('NASS Data'!$Q67,'NASS Data'!$T67)</f>
        <v>537.06999999999994</v>
      </c>
      <c r="AC23" s="76">
        <f>SUM('NASS Data'!$Q79,'NASS Data'!$T79)</f>
        <v>473.13900000000001</v>
      </c>
      <c r="AD23" s="76">
        <f>SUM('NASS Data'!$Q91,'NASS Data'!$T91)</f>
        <v>477.11800000000005</v>
      </c>
      <c r="AE23" s="76">
        <f>SUM('NASS Data'!$Q103,'NASS Data'!$T103)</f>
        <v>479.60300000000001</v>
      </c>
      <c r="AF23" s="76">
        <f>SUM('NASS Data'!$Q115,'NASS Data'!$T115)</f>
        <v>484.26800000000003</v>
      </c>
      <c r="AG23" s="88">
        <f>'Ethanol Balance Sheet'!AG390*'Corn Gluten Feed Balance Sheet'!AG39</f>
        <v>466.31877474906457</v>
      </c>
      <c r="AH23" s="88">
        <f>'Ethanol Balance Sheet'!AH390*'Corn Gluten Feed Balance Sheet'!AH39</f>
        <v>472.81159295281458</v>
      </c>
      <c r="AI23" s="88">
        <f>'Ethanol Balance Sheet'!AI390*'Corn Gluten Feed Balance Sheet'!AI39</f>
        <v>476.00567168137115</v>
      </c>
      <c r="AJ23" s="88">
        <f>'Ethanol Balance Sheet'!AJ390*'Corn Gluten Feed Balance Sheet'!AJ39</f>
        <v>476.979128363195</v>
      </c>
      <c r="AK23" s="88">
        <f>'Ethanol Balance Sheet'!AK390*'Corn Gluten Feed Balance Sheet'!AK39</f>
        <v>472.96980206802601</v>
      </c>
      <c r="AL23" s="88">
        <f>'Ethanol Balance Sheet'!AL390*'Corn Gluten Feed Balance Sheet'!AL39</f>
        <v>469.40499025851545</v>
      </c>
      <c r="AM23" s="88">
        <f>'Ethanol Balance Sheet'!AM390*'Corn Gluten Feed Balance Sheet'!AM39</f>
        <v>467.5976270268518</v>
      </c>
      <c r="AN23" s="88">
        <f>'Ethanol Balance Sheet'!AN390*'Corn Gluten Feed Balance Sheet'!AN39</f>
        <v>465.67334461004208</v>
      </c>
      <c r="AO23" s="88">
        <f>'Ethanol Balance Sheet'!AO390*'Corn Gluten Feed Balance Sheet'!AO39</f>
        <v>463.12179100589572</v>
      </c>
      <c r="AP23" s="88">
        <f>'Ethanol Balance Sheet'!AP390*'Corn Gluten Feed Balance Sheet'!AP39</f>
        <v>460.43920408890824</v>
      </c>
      <c r="AQ23" s="88">
        <f>'Ethanol Balance Sheet'!AQ390*'Corn Gluten Feed Balance Sheet'!AQ39</f>
        <v>457.94485298679501</v>
      </c>
      <c r="AR23" s="88">
        <f>'Ethanol Balance Sheet'!AR390*'Corn Gluten Feed Balance Sheet'!AR39</f>
        <v>455.645032508567</v>
      </c>
      <c r="AS23" s="88">
        <f>'Ethanol Balance Sheet'!AS390*'Corn Gluten Feed Balance Sheet'!AS39</f>
        <v>453.25122730823608</v>
      </c>
      <c r="AT23" s="88">
        <f>'Ethanol Balance Sheet'!AT390*'Corn Gluten Feed Balance Sheet'!AT39</f>
        <v>450.76736239538201</v>
      </c>
      <c r="AU23" s="88">
        <f>'Ethanol Balance Sheet'!AU390*'Corn Gluten Feed Balance Sheet'!AU39</f>
        <v>448.30135737626193</v>
      </c>
      <c r="AV23" s="88">
        <f>'Ethanol Balance Sheet'!AV390*'Corn Gluten Feed Balance Sheet'!AV39</f>
        <v>445.87359224624504</v>
      </c>
      <c r="AW23" s="88">
        <f>'Ethanol Balance Sheet'!AW390*'Corn Gluten Feed Balance Sheet'!AW39</f>
        <v>443.45801587423557</v>
      </c>
      <c r="AX23" s="88">
        <f>'Ethanol Balance Sheet'!AX390*'Corn Gluten Feed Balance Sheet'!AX39</f>
        <v>431.27419846435066</v>
      </c>
      <c r="AY23" s="88">
        <f>'Ethanol Balance Sheet'!AY390*'Corn Gluten Feed Balance Sheet'!AY39</f>
        <v>423.95540922654988</v>
      </c>
    </row>
    <row r="24" spans="1:51">
      <c r="A24" s="69" t="s">
        <v>33</v>
      </c>
      <c r="B24" s="108">
        <v>125.52605389948934</v>
      </c>
      <c r="C24" s="108">
        <v>136.87720616051189</v>
      </c>
      <c r="D24" s="108">
        <v>138.0565466551636</v>
      </c>
      <c r="E24" s="108">
        <v>134.1868356570877</v>
      </c>
      <c r="F24" s="108">
        <v>139.23588714981528</v>
      </c>
      <c r="G24" s="108">
        <v>140.85748032996131</v>
      </c>
      <c r="H24" s="108">
        <v>142.12281440234801</v>
      </c>
      <c r="I24" s="108">
        <v>141.79112488822722</v>
      </c>
      <c r="J24" s="108">
        <v>150.66074819175356</v>
      </c>
      <c r="K24" s="108">
        <v>144.12523628389206</v>
      </c>
      <c r="L24" s="108">
        <v>144.46921059483216</v>
      </c>
      <c r="M24" s="108">
        <v>157.14712091233778</v>
      </c>
      <c r="N24" s="108">
        <v>138.35138177882646</v>
      </c>
      <c r="O24" s="108">
        <v>134.54758344060792</v>
      </c>
      <c r="P24" s="108">
        <v>133.18609720850105</v>
      </c>
      <c r="Q24" s="108">
        <v>137.39316762692201</v>
      </c>
      <c r="R24" s="108">
        <v>132.03510624497079</v>
      </c>
      <c r="S24" s="108">
        <v>119.10196509877881</v>
      </c>
      <c r="T24" s="108">
        <f>'[1]Corn Oil Balance Sheet'!T44*T40/2.204622</f>
        <v>130.28868095722802</v>
      </c>
      <c r="U24" s="108">
        <f>'[1]Corn Oil Balance Sheet'!U44*U40/2.204622</f>
        <v>143.96215572035541</v>
      </c>
      <c r="V24" s="108">
        <f>'[1]Corn Oil Balance Sheet'!V44*V40/2.204622</f>
        <v>145.89206901549395</v>
      </c>
      <c r="W24" s="76">
        <f>SUM('NASS Data'!$Q8,'NASS Data'!$T8)</f>
        <v>627.93600000000004</v>
      </c>
      <c r="X24" s="76">
        <f>SUM('NASS Data'!$Q20,'NASS Data'!$T20)</f>
        <v>607.74700000000007</v>
      </c>
      <c r="Y24" s="76">
        <f>SUM('NASS Data'!$Q32,'NASS Data'!$T32)</f>
        <v>630.21199999999999</v>
      </c>
      <c r="Z24" s="76">
        <f>SUM('NASS Data'!$Q44,'NASS Data'!$T44)</f>
        <v>559.35400000000004</v>
      </c>
      <c r="AA24" s="76">
        <f>SUM('NASS Data'!$Q56,'NASS Data'!$T56)</f>
        <v>550.64</v>
      </c>
      <c r="AB24" s="76">
        <f>SUM('NASS Data'!$Q68,'NASS Data'!$T68)</f>
        <v>419.40300000000002</v>
      </c>
      <c r="AC24" s="76">
        <f>SUM('NASS Data'!$Q80,'NASS Data'!$T80)</f>
        <v>494.04899999999998</v>
      </c>
      <c r="AD24" s="76">
        <f>SUM('NASS Data'!$Q92,'NASS Data'!$T92)</f>
        <v>481.78099999999995</v>
      </c>
      <c r="AE24" s="76">
        <f>SUM('NASS Data'!$Q104,'NASS Data'!$T104)</f>
        <v>463.98</v>
      </c>
      <c r="AF24" s="76">
        <f>SUM('NASS Data'!$Q116,'NASS Data'!$T116)</f>
        <v>437.30099999999999</v>
      </c>
      <c r="AG24" s="88">
        <f>'Ethanol Balance Sheet'!AG391*'Corn Gluten Feed Balance Sheet'!AG40</f>
        <v>444.67474213482831</v>
      </c>
      <c r="AH24" s="88">
        <f>'Ethanol Balance Sheet'!AH391*'Corn Gluten Feed Balance Sheet'!AH40</f>
        <v>461.06604021785131</v>
      </c>
      <c r="AI24" s="88">
        <f>'Ethanol Balance Sheet'!AI391*'Corn Gluten Feed Balance Sheet'!AI40</f>
        <v>458.1793998976014</v>
      </c>
      <c r="AJ24" s="88">
        <f>'Ethanol Balance Sheet'!AJ391*'Corn Gluten Feed Balance Sheet'!AJ40</f>
        <v>454.52535563918076</v>
      </c>
      <c r="AK24" s="88">
        <f>'Ethanol Balance Sheet'!AK391*'Corn Gluten Feed Balance Sheet'!AK40</f>
        <v>450.0744144243435</v>
      </c>
      <c r="AL24" s="88">
        <f>'Ethanol Balance Sheet'!AL391*'Corn Gluten Feed Balance Sheet'!AL40</f>
        <v>449.8319244604927</v>
      </c>
      <c r="AM24" s="88">
        <f>'Ethanol Balance Sheet'!AM391*'Corn Gluten Feed Balance Sheet'!AM40</f>
        <v>448.25503815229945</v>
      </c>
      <c r="AN24" s="88">
        <f>'Ethanol Balance Sheet'!AN391*'Corn Gluten Feed Balance Sheet'!AN40</f>
        <v>445.22582562570136</v>
      </c>
      <c r="AO24" s="88">
        <f>'Ethanol Balance Sheet'!AO391*'Corn Gluten Feed Balance Sheet'!AO40</f>
        <v>442.69565769844002</v>
      </c>
      <c r="AP24" s="88">
        <f>'Ethanol Balance Sheet'!AP391*'Corn Gluten Feed Balance Sheet'!AP40</f>
        <v>440.34382892149029</v>
      </c>
      <c r="AQ24" s="88">
        <f>'Ethanol Balance Sheet'!AQ391*'Corn Gluten Feed Balance Sheet'!AQ40</f>
        <v>438.28893070272778</v>
      </c>
      <c r="AR24" s="88">
        <f>'Ethanol Balance Sheet'!AR391*'Corn Gluten Feed Balance Sheet'!AR40</f>
        <v>435.96506670284975</v>
      </c>
      <c r="AS24" s="88">
        <f>'Ethanol Balance Sheet'!AS391*'Corn Gluten Feed Balance Sheet'!AS40</f>
        <v>433.5106269518526</v>
      </c>
      <c r="AT24" s="88">
        <f>'Ethanol Balance Sheet'!AT391*'Corn Gluten Feed Balance Sheet'!AT40</f>
        <v>431.17222027392376</v>
      </c>
      <c r="AU24" s="88">
        <f>'Ethanol Balance Sheet'!AU391*'Corn Gluten Feed Balance Sheet'!AU40</f>
        <v>428.86778528444285</v>
      </c>
      <c r="AV24" s="88">
        <f>'Ethanol Balance Sheet'!AV391*'Corn Gluten Feed Balance Sheet'!AV40</f>
        <v>426.56646161519598</v>
      </c>
      <c r="AW24" s="88">
        <f>'Ethanol Balance Sheet'!AW391*'Corn Gluten Feed Balance Sheet'!AW40</f>
        <v>424.22221447084655</v>
      </c>
      <c r="AX24" s="88">
        <f>'Ethanol Balance Sheet'!AX391*'Corn Gluten Feed Balance Sheet'!AX40</f>
        <v>412.55246207131745</v>
      </c>
      <c r="AY24" s="88">
        <f>'Ethanol Balance Sheet'!AY391*'Corn Gluten Feed Balance Sheet'!AY40</f>
        <v>405.56380005842635</v>
      </c>
    </row>
    <row r="25" spans="1:51">
      <c r="A25" s="69" t="s">
        <v>14</v>
      </c>
      <c r="B25" s="108">
        <v>134.5430947648471</v>
      </c>
      <c r="C25" s="108">
        <v>139.60443105439393</v>
      </c>
      <c r="D25" s="108">
        <v>128.9903666025287</v>
      </c>
      <c r="E25" s="108">
        <v>141.88940326278154</v>
      </c>
      <c r="F25" s="108">
        <v>137.2457500650905</v>
      </c>
      <c r="G25" s="108">
        <v>143.95324912842202</v>
      </c>
      <c r="H25" s="108">
        <v>143.00731977333683</v>
      </c>
      <c r="I25" s="108">
        <v>145.84510783859244</v>
      </c>
      <c r="J25" s="108">
        <v>150.95558331541642</v>
      </c>
      <c r="K25" s="108">
        <v>146.99987873960558</v>
      </c>
      <c r="L25" s="108">
        <v>142.7739086337703</v>
      </c>
      <c r="M25" s="108">
        <v>135.77157444677593</v>
      </c>
      <c r="N25" s="108">
        <v>158.25275262607374</v>
      </c>
      <c r="O25" s="108">
        <v>149.64725245416216</v>
      </c>
      <c r="P25" s="108">
        <v>154.51699316254667</v>
      </c>
      <c r="Q25" s="108">
        <v>147.0490179268827</v>
      </c>
      <c r="R25" s="108">
        <v>126.24664228153399</v>
      </c>
      <c r="S25" s="108">
        <v>126.2150892533958</v>
      </c>
      <c r="T25" s="108">
        <f>'[1]Corn Oil Balance Sheet'!T45*T41/2.204622</f>
        <v>141.09344711545066</v>
      </c>
      <c r="U25" s="108">
        <f>'[1]Corn Oil Balance Sheet'!U45*U41/2.204622</f>
        <v>155.90085535845151</v>
      </c>
      <c r="V25" s="108">
        <f>'[1]Corn Oil Balance Sheet'!V45*V41/2.204622</f>
        <v>157.99081526474933</v>
      </c>
      <c r="W25" s="76">
        <f>SUM('NASS Data'!$Q9,'NASS Data'!$T9)</f>
        <v>671.79099999999994</v>
      </c>
      <c r="X25" s="76">
        <f>SUM('NASS Data'!$Q21,'NASS Data'!$T21)</f>
        <v>639.399</v>
      </c>
      <c r="Y25" s="76">
        <f>SUM('NASS Data'!$Q33,'NASS Data'!$T33)</f>
        <v>655.04299999999989</v>
      </c>
      <c r="Z25" s="76">
        <f>SUM('NASS Data'!$Q45,'NASS Data'!$T45)</f>
        <v>572.52099999999996</v>
      </c>
      <c r="AA25" s="76">
        <f>SUM('NASS Data'!$Q57,'NASS Data'!$T57)</f>
        <v>568.31399999999996</v>
      </c>
      <c r="AB25" s="76">
        <f>SUM('NASS Data'!$Q69,'NASS Data'!$T69)</f>
        <v>515.75900000000001</v>
      </c>
      <c r="AC25" s="76">
        <f>SUM('NASS Data'!$Q81,'NASS Data'!$T81)</f>
        <v>507.69799999999998</v>
      </c>
      <c r="AD25" s="76">
        <f>SUM('NASS Data'!$Q93,'NASS Data'!$T93)</f>
        <v>499.875</v>
      </c>
      <c r="AE25" s="76">
        <f>SUM('NASS Data'!$Q105,'NASS Data'!$T105)</f>
        <v>457.69799999999998</v>
      </c>
      <c r="AF25" s="76">
        <f>SUM('NASS Data'!$Q117,'NASS Data'!$T117)</f>
        <v>479.30799999999999</v>
      </c>
      <c r="AG25" s="88">
        <f>'Ethanol Balance Sheet'!AG392*'Corn Gluten Feed Balance Sheet'!AG41</f>
        <v>471.07234396625296</v>
      </c>
      <c r="AH25" s="88">
        <f>'Ethanol Balance Sheet'!AH392*'Corn Gluten Feed Balance Sheet'!AH41</f>
        <v>479.24820259667479</v>
      </c>
      <c r="AI25" s="88">
        <f>'Ethanol Balance Sheet'!AI392*'Corn Gluten Feed Balance Sheet'!AI41</f>
        <v>475.54171790571905</v>
      </c>
      <c r="AJ25" s="88">
        <f>'Ethanol Balance Sheet'!AJ392*'Corn Gluten Feed Balance Sheet'!AJ41</f>
        <v>474.39397135325493</v>
      </c>
      <c r="AK25" s="88">
        <f>'Ethanol Balance Sheet'!AK392*'Corn Gluten Feed Balance Sheet'!AK41</f>
        <v>474.0360937537111</v>
      </c>
      <c r="AL25" s="88">
        <f>'Ethanol Balance Sheet'!AL392*'Corn Gluten Feed Balance Sheet'!AL41</f>
        <v>470.70005263024183</v>
      </c>
      <c r="AM25" s="88">
        <f>'Ethanol Balance Sheet'!AM392*'Corn Gluten Feed Balance Sheet'!AM41</f>
        <v>468.13233196116397</v>
      </c>
      <c r="AN25" s="88">
        <f>'Ethanol Balance Sheet'!AN392*'Corn Gluten Feed Balance Sheet'!AN41</f>
        <v>465.85420860305101</v>
      </c>
      <c r="AO25" s="88">
        <f>'Ethanol Balance Sheet'!AO392*'Corn Gluten Feed Balance Sheet'!AO41</f>
        <v>463.42691279818837</v>
      </c>
      <c r="AP25" s="88">
        <f>'Ethanol Balance Sheet'!AP392*'Corn Gluten Feed Balance Sheet'!AP41</f>
        <v>461.09181177953127</v>
      </c>
      <c r="AQ25" s="88">
        <f>'Ethanol Balance Sheet'!AQ392*'Corn Gluten Feed Balance Sheet'!AQ41</f>
        <v>458.49671043736424</v>
      </c>
      <c r="AR25" s="88">
        <f>'Ethanol Balance Sheet'!AR392*'Corn Gluten Feed Balance Sheet'!AR41</f>
        <v>456.07985709390459</v>
      </c>
      <c r="AS25" s="88">
        <f>'Ethanol Balance Sheet'!AS392*'Corn Gluten Feed Balance Sheet'!AS41</f>
        <v>453.67290882797016</v>
      </c>
      <c r="AT25" s="88">
        <f>'Ethanol Balance Sheet'!AT392*'Corn Gluten Feed Balance Sheet'!AT41</f>
        <v>451.23764178841287</v>
      </c>
      <c r="AU25" s="88">
        <f>'Ethanol Balance Sheet'!AU392*'Corn Gluten Feed Balance Sheet'!AU41</f>
        <v>448.79761209897475</v>
      </c>
      <c r="AV25" s="88">
        <f>'Ethanol Balance Sheet'!AV392*'Corn Gluten Feed Balance Sheet'!AV41</f>
        <v>446.33887610305601</v>
      </c>
      <c r="AW25" s="88">
        <f>'Ethanol Balance Sheet'!AW392*'Corn Gluten Feed Balance Sheet'!AW41</f>
        <v>443.90862158843498</v>
      </c>
      <c r="AX25" s="88">
        <f>'Ethanol Balance Sheet'!AX392*'Corn Gluten Feed Balance Sheet'!AX41</f>
        <v>431.71796279593616</v>
      </c>
      <c r="AY25" s="88">
        <f>'Ethanol Balance Sheet'!AY392*'Corn Gluten Feed Balance Sheet'!AY41</f>
        <v>424.39960951567775</v>
      </c>
    </row>
    <row r="26" spans="1:51">
      <c r="A26" s="69" t="s">
        <v>34</v>
      </c>
      <c r="B26" s="108">
        <v>141.37344179637148</v>
      </c>
      <c r="C26" s="108">
        <v>146.3856388986411</v>
      </c>
      <c r="D26" s="108">
        <v>116.01762116136008</v>
      </c>
      <c r="E26" s="108">
        <v>143.2161613192647</v>
      </c>
      <c r="F26" s="108">
        <v>144.76404571849505</v>
      </c>
      <c r="G26" s="108">
        <v>144.24808425208496</v>
      </c>
      <c r="H26" s="108">
        <v>145.86967743223101</v>
      </c>
      <c r="I26" s="108">
        <v>144.22351465844633</v>
      </c>
      <c r="J26" s="108">
        <v>145.42742474673662</v>
      </c>
      <c r="K26" s="108">
        <v>149.57968607165611</v>
      </c>
      <c r="L26" s="108">
        <v>152.35605015281527</v>
      </c>
      <c r="M26" s="108">
        <v>153.01942918105692</v>
      </c>
      <c r="N26" s="108">
        <v>149.40769891618606</v>
      </c>
      <c r="O26" s="108">
        <v>146.77615368983888</v>
      </c>
      <c r="P26" s="108">
        <v>134.94235066147394</v>
      </c>
      <c r="Q26" s="108">
        <v>137.09833250325906</v>
      </c>
      <c r="R26" s="108">
        <v>132.03074041717809</v>
      </c>
      <c r="S26" s="108">
        <v>126.9711712484045</v>
      </c>
      <c r="T26" s="108">
        <f>'[1]Corn Oil Balance Sheet'!T46*T42/2.204622</f>
        <v>135.09119783196701</v>
      </c>
      <c r="U26" s="108">
        <f>'[1]Corn Oil Balance Sheet'!U46*U42/2.204622</f>
        <v>149.26868486080915</v>
      </c>
      <c r="V26" s="108">
        <f>'[1]Corn Oil Balance Sheet'!V46*V42/2.204622</f>
        <v>151.26973588716572</v>
      </c>
      <c r="W26" s="76">
        <f>SUM('NASS Data'!$Q10,'NASS Data'!$T10)</f>
        <v>625.23299999999995</v>
      </c>
      <c r="X26" s="76">
        <f>SUM('NASS Data'!$Q22,'NASS Data'!$T22)</f>
        <v>644.30899999999997</v>
      </c>
      <c r="Y26" s="76">
        <f>SUM('NASS Data'!$Q34,'NASS Data'!$T34)</f>
        <v>638.99499999999989</v>
      </c>
      <c r="Z26" s="76">
        <f>SUM('NASS Data'!$Q46,'NASS Data'!$T46)</f>
        <v>564.06400000000008</v>
      </c>
      <c r="AA26" s="76">
        <f>SUM('NASS Data'!$Q58,'NASS Data'!$T58)</f>
        <v>536.92700000000002</v>
      </c>
      <c r="AB26" s="76">
        <f>SUM('NASS Data'!$Q70,'NASS Data'!$T70)</f>
        <v>538.17100000000005</v>
      </c>
      <c r="AC26" s="76">
        <f>SUM('NASS Data'!$Q82,'NASS Data'!$T82)</f>
        <v>495.59000000000003</v>
      </c>
      <c r="AD26" s="76">
        <f>SUM('NASS Data'!$Q94,'NASS Data'!$T94)</f>
        <v>490.16200000000003</v>
      </c>
      <c r="AE26" s="76">
        <f>SUM('NASS Data'!$Q106,'NASS Data'!$T106)</f>
        <v>449.96500000000003</v>
      </c>
      <c r="AF26" s="76">
        <f>SUM('NASS Data'!$Q118,'NASS Data'!$T118)</f>
        <v>469.94799999999998</v>
      </c>
      <c r="AG26" s="88">
        <f>'Ethanol Balance Sheet'!AG393*'Corn Gluten Feed Balance Sheet'!AG42</f>
        <v>466.66717642786193</v>
      </c>
      <c r="AH26" s="88">
        <f>'Ethanol Balance Sheet'!AH393*'Corn Gluten Feed Balance Sheet'!AH42</f>
        <v>470.04568047282993</v>
      </c>
      <c r="AI26" s="88">
        <f>'Ethanol Balance Sheet'!AI393*'Corn Gluten Feed Balance Sheet'!AI42</f>
        <v>468.0032267493757</v>
      </c>
      <c r="AJ26" s="88">
        <f>'Ethanol Balance Sheet'!AJ393*'Corn Gluten Feed Balance Sheet'!AJ42</f>
        <v>467.80585035694719</v>
      </c>
      <c r="AK26" s="88">
        <f>'Ethanol Balance Sheet'!AK393*'Corn Gluten Feed Balance Sheet'!AK42</f>
        <v>467.6730699852655</v>
      </c>
      <c r="AL26" s="88">
        <f>'Ethanol Balance Sheet'!AL393*'Corn Gluten Feed Balance Sheet'!AL42</f>
        <v>463.55412238823993</v>
      </c>
      <c r="AM26" s="88">
        <f>'Ethanol Balance Sheet'!AM393*'Corn Gluten Feed Balance Sheet'!AM42</f>
        <v>461.18968328865401</v>
      </c>
      <c r="AN26" s="88">
        <f>'Ethanol Balance Sheet'!AN393*'Corn Gluten Feed Balance Sheet'!AN42</f>
        <v>458.94653868371461</v>
      </c>
      <c r="AO26" s="88">
        <f>'Ethanol Balance Sheet'!AO393*'Corn Gluten Feed Balance Sheet'!AO42</f>
        <v>456.72101876982543</v>
      </c>
      <c r="AP26" s="88">
        <f>'Ethanol Balance Sheet'!AP393*'Corn Gluten Feed Balance Sheet'!AP42</f>
        <v>454.39041851617958</v>
      </c>
      <c r="AQ26" s="88">
        <f>'Ethanol Balance Sheet'!AQ393*'Corn Gluten Feed Balance Sheet'!AQ42</f>
        <v>451.73048970931973</v>
      </c>
      <c r="AR26" s="88">
        <f>'Ethanol Balance Sheet'!AR393*'Corn Gluten Feed Balance Sheet'!AR42</f>
        <v>449.38503236726137</v>
      </c>
      <c r="AS26" s="88">
        <f>'Ethanol Balance Sheet'!AS393*'Corn Gluten Feed Balance Sheet'!AS42</f>
        <v>447.02413574713097</v>
      </c>
      <c r="AT26" s="88">
        <f>'Ethanol Balance Sheet'!AT393*'Corn Gluten Feed Balance Sheet'!AT42</f>
        <v>444.64207456444245</v>
      </c>
      <c r="AU26" s="88">
        <f>'Ethanol Balance Sheet'!AU393*'Corn Gluten Feed Balance Sheet'!AU42</f>
        <v>442.22356553420661</v>
      </c>
      <c r="AV26" s="88">
        <f>'Ethanol Balance Sheet'!AV393*'Corn Gluten Feed Balance Sheet'!AV42</f>
        <v>439.79076800430835</v>
      </c>
      <c r="AW26" s="88">
        <f>'Ethanol Balance Sheet'!AW393*'Corn Gluten Feed Balance Sheet'!AW42</f>
        <v>437.40316820535662</v>
      </c>
      <c r="AX26" s="88">
        <f>'Ethanol Balance Sheet'!AX393*'Corn Gluten Feed Balance Sheet'!AX42</f>
        <v>425.39317496306819</v>
      </c>
      <c r="AY26" s="88">
        <f>'Ethanol Balance Sheet'!AY393*'Corn Gluten Feed Balance Sheet'!AY42</f>
        <v>418.18308097649071</v>
      </c>
    </row>
    <row r="27" spans="1:51">
      <c r="A27" s="69" t="s">
        <v>35</v>
      </c>
      <c r="B27" s="108">
        <v>139.89926617805682</v>
      </c>
      <c r="C27" s="108">
        <v>146.31193011772538</v>
      </c>
      <c r="D27" s="108">
        <v>116.01762116136008</v>
      </c>
      <c r="E27" s="108">
        <v>135.62415688494448</v>
      </c>
      <c r="F27" s="108">
        <v>149.48140769710182</v>
      </c>
      <c r="G27" s="108">
        <v>136.2138271322703</v>
      </c>
      <c r="H27" s="108">
        <v>153.40025788245481</v>
      </c>
      <c r="I27" s="108">
        <v>145.4765639340138</v>
      </c>
      <c r="J27" s="108">
        <v>156.16433716679472</v>
      </c>
      <c r="K27" s="108">
        <v>156.50831147773482</v>
      </c>
      <c r="L27" s="108">
        <v>147.63868817420854</v>
      </c>
      <c r="M27" s="108">
        <v>149.40769891618606</v>
      </c>
      <c r="N27" s="108">
        <v>155.74665407493896</v>
      </c>
      <c r="O27" s="108">
        <v>153.51767219051607</v>
      </c>
      <c r="P27" s="108">
        <v>150.31063148240375</v>
      </c>
      <c r="Q27" s="108">
        <v>134.88706907578714</v>
      </c>
      <c r="R27" s="108">
        <v>133.37416799796065</v>
      </c>
      <c r="S27" s="108">
        <v>120.69390466937188</v>
      </c>
      <c r="T27" s="108">
        <f>'[1]Corn Oil Balance Sheet'!T47*T43/2.204622</f>
        <v>139.88295298742494</v>
      </c>
      <c r="U27" s="108">
        <f>'[1]Corn Oil Balance Sheet'!U47*U43/2.204622</f>
        <v>154.56332286616521</v>
      </c>
      <c r="V27" s="108">
        <f>'[1]Corn Oil Balance Sheet'!V47*V43/2.204622</f>
        <v>156.63535221476454</v>
      </c>
      <c r="W27" s="76">
        <f>SUM('NASS Data'!$Q11,'NASS Data'!$T11)</f>
        <v>650.61799999999994</v>
      </c>
      <c r="X27" s="76">
        <f>SUM('NASS Data'!$Q23,'NASS Data'!$T23)</f>
        <v>671.649</v>
      </c>
      <c r="Y27" s="76">
        <f>SUM('NASS Data'!$Q35,'NASS Data'!$T35)</f>
        <v>600.19600000000003</v>
      </c>
      <c r="Z27" s="76">
        <f>SUM('NASS Data'!$Q47,'NASS Data'!$T47)</f>
        <v>584.58600000000001</v>
      </c>
      <c r="AA27" s="76">
        <f>SUM('NASS Data'!$Q59,'NASS Data'!$T59)</f>
        <v>552.65599999999995</v>
      </c>
      <c r="AB27" s="76">
        <f>SUM('NASS Data'!$Q71,'NASS Data'!$T71)</f>
        <v>569.97400000000005</v>
      </c>
      <c r="AC27" s="76">
        <f>SUM('NASS Data'!$Q83,'NASS Data'!$T83)</f>
        <v>514.36300000000006</v>
      </c>
      <c r="AD27" s="76">
        <f>SUM('NASS Data'!$Q95,'NASS Data'!$T95)</f>
        <v>493.09800000000001</v>
      </c>
      <c r="AE27" s="76">
        <f>SUM('NASS Data'!$Q107,'NASS Data'!$T107)</f>
        <v>502.48099999999999</v>
      </c>
      <c r="AF27" s="76">
        <f>SUM('NASS Data'!$Q119,'NASS Data'!$T119)</f>
        <v>503.9</v>
      </c>
      <c r="AG27" s="88">
        <f>'Ethanol Balance Sheet'!AG394*'Corn Gluten Feed Balance Sheet'!AG43</f>
        <v>492.96476196052799</v>
      </c>
      <c r="AH27" s="88">
        <f>'Ethanol Balance Sheet'!AH394*'Corn Gluten Feed Balance Sheet'!AH43</f>
        <v>496.48993610132351</v>
      </c>
      <c r="AI27" s="88">
        <f>'Ethanol Balance Sheet'!AI394*'Corn Gluten Feed Balance Sheet'!AI43</f>
        <v>496.27317237003621</v>
      </c>
      <c r="AJ27" s="88">
        <f>'Ethanol Balance Sheet'!AJ394*'Corn Gluten Feed Balance Sheet'!AJ43</f>
        <v>499.11994761350775</v>
      </c>
      <c r="AK27" s="88">
        <f>'Ethanol Balance Sheet'!AK394*'Corn Gluten Feed Balance Sheet'!AK43</f>
        <v>497.0801517152745</v>
      </c>
      <c r="AL27" s="88">
        <f>'Ethanol Balance Sheet'!AL394*'Corn Gluten Feed Balance Sheet'!AL43</f>
        <v>492.30827594434231</v>
      </c>
      <c r="AM27" s="88">
        <f>'Ethanol Balance Sheet'!AM394*'Corn Gluten Feed Balance Sheet'!AM43</f>
        <v>489.73499026000081</v>
      </c>
      <c r="AN27" s="88">
        <f>'Ethanol Balance Sheet'!AN394*'Corn Gluten Feed Balance Sheet'!AN43</f>
        <v>487.7619875273474</v>
      </c>
      <c r="AO27" s="88">
        <f>'Ethanol Balance Sheet'!AO394*'Corn Gluten Feed Balance Sheet'!AO43</f>
        <v>485.55861562381187</v>
      </c>
      <c r="AP27" s="88">
        <f>'Ethanol Balance Sheet'!AP394*'Corn Gluten Feed Balance Sheet'!AP43</f>
        <v>482.85615695354056</v>
      </c>
      <c r="AQ27" s="88">
        <f>'Ethanol Balance Sheet'!AQ394*'Corn Gluten Feed Balance Sheet'!AQ43</f>
        <v>479.9892469284045</v>
      </c>
      <c r="AR27" s="88">
        <f>'Ethanol Balance Sheet'!AR394*'Corn Gluten Feed Balance Sheet'!AR43</f>
        <v>477.52263765661536</v>
      </c>
      <c r="AS27" s="88">
        <f>'Ethanol Balance Sheet'!AS394*'Corn Gluten Feed Balance Sheet'!AS43</f>
        <v>475.073505812652</v>
      </c>
      <c r="AT27" s="88">
        <f>'Ethanol Balance Sheet'!AT394*'Corn Gluten Feed Balance Sheet'!AT43</f>
        <v>472.5377463385297</v>
      </c>
      <c r="AU27" s="88">
        <f>'Ethanol Balance Sheet'!AU394*'Corn Gluten Feed Balance Sheet'!AU43</f>
        <v>469.93437798596443</v>
      </c>
      <c r="AV27" s="88">
        <f>'Ethanol Balance Sheet'!AV394*'Corn Gluten Feed Balance Sheet'!AV43</f>
        <v>467.34962937999421</v>
      </c>
      <c r="AW27" s="88">
        <f>'Ethanol Balance Sheet'!AW394*'Corn Gluten Feed Balance Sheet'!AW43</f>
        <v>464.82171645935051</v>
      </c>
      <c r="AX27" s="88">
        <f>'Ethanol Balance Sheet'!AX394*'Corn Gluten Feed Balance Sheet'!AX43</f>
        <v>452.06500276345929</v>
      </c>
      <c r="AY27" s="88">
        <f>'Ethanol Balance Sheet'!AY394*'Corn Gluten Feed Balance Sheet'!AY43</f>
        <v>444.39874188233631</v>
      </c>
    </row>
    <row r="28" spans="1:51">
      <c r="A28" s="69" t="s">
        <v>36</v>
      </c>
      <c r="B28" s="108">
        <v>141.7419857009501</v>
      </c>
      <c r="C28" s="108">
        <v>138.27767299791077</v>
      </c>
      <c r="D28" s="108">
        <v>122.13544997736575</v>
      </c>
      <c r="E28" s="108">
        <v>140.48893642538269</v>
      </c>
      <c r="F28" s="108">
        <v>149.48140769710182</v>
      </c>
      <c r="G28" s="108">
        <v>149.26028135435462</v>
      </c>
      <c r="H28" s="108">
        <v>150.96786811223572</v>
      </c>
      <c r="I28" s="108">
        <v>149.45683810346327</v>
      </c>
      <c r="J28" s="108">
        <v>159.94805458713557</v>
      </c>
      <c r="K28" s="108">
        <v>146.18908214953251</v>
      </c>
      <c r="L28" s="108">
        <v>148.3020672024501</v>
      </c>
      <c r="M28" s="108">
        <v>143.3635788810962</v>
      </c>
      <c r="N28" s="108">
        <v>160.68514239629286</v>
      </c>
      <c r="O28" s="108">
        <v>146.74709542043942</v>
      </c>
      <c r="P28" s="108">
        <v>151.45382632487568</v>
      </c>
      <c r="Q28" s="108">
        <v>146.23822133680969</v>
      </c>
      <c r="R28" s="108">
        <v>131.32285262507585</v>
      </c>
      <c r="S28" s="108">
        <v>126.21211255262807</v>
      </c>
      <c r="T28" s="108">
        <f>'[1]Corn Oil Balance Sheet'!T48*T44/2.204622</f>
        <v>141.32555481401954</v>
      </c>
      <c r="U28" s="108">
        <f>'[1]Corn Oil Balance Sheet'!U48*U44/2.204622</f>
        <v>156.15732218580573</v>
      </c>
      <c r="V28" s="108">
        <f>'[1]Corn Oil Balance Sheet'!V48*V44/2.204622</f>
        <v>158.25072020913782</v>
      </c>
      <c r="W28" s="76">
        <f>SUM('NASS Data'!$Q12,'NASS Data'!$T12)</f>
        <v>634.12799999999993</v>
      </c>
      <c r="X28" s="76">
        <f>SUM('NASS Data'!$Q24,'NASS Data'!$T24)</f>
        <v>645.99299999999994</v>
      </c>
      <c r="Y28" s="76">
        <f>SUM('NASS Data'!$Q36,'NASS Data'!$T36)</f>
        <v>693.24599999999998</v>
      </c>
      <c r="Z28" s="76">
        <f>SUM('NASS Data'!$Q48,'NASS Data'!$T48)</f>
        <v>581.81500000000005</v>
      </c>
      <c r="AA28" s="76">
        <f>SUM('NASS Data'!$Q60,'NASS Data'!$T60)</f>
        <v>567.61799999999994</v>
      </c>
      <c r="AB28" s="76">
        <f>SUM('NASS Data'!$Q72,'NASS Data'!$T72)</f>
        <v>512.45899999999995</v>
      </c>
      <c r="AC28" s="76">
        <f>SUM('NASS Data'!$Q84,'NASS Data'!$T84)</f>
        <v>479.99199999999996</v>
      </c>
      <c r="AD28" s="76">
        <f>SUM('NASS Data'!$Q96,'NASS Data'!$T96)</f>
        <v>438.05899999999997</v>
      </c>
      <c r="AE28" s="76">
        <f>SUM('NASS Data'!$Q108,'NASS Data'!$T108)</f>
        <v>465.34499999999997</v>
      </c>
      <c r="AF28" s="76">
        <f>SUM('NASS Data'!$Q120,'NASS Data'!$T120)</f>
        <v>482.733</v>
      </c>
      <c r="AG28" s="88">
        <f>'Ethanol Balance Sheet'!AG395*'Corn Gluten Feed Balance Sheet'!AG44</f>
        <v>408.18514570243349</v>
      </c>
      <c r="AH28" s="88">
        <f>'Ethanol Balance Sheet'!AH395*'Corn Gluten Feed Balance Sheet'!AH44</f>
        <v>452.74093828999617</v>
      </c>
      <c r="AI28" s="88">
        <f>'Ethanol Balance Sheet'!AI395*'Corn Gluten Feed Balance Sheet'!AI44</f>
        <v>447.94276021107993</v>
      </c>
      <c r="AJ28" s="88">
        <f>'Ethanol Balance Sheet'!AJ395*'Corn Gluten Feed Balance Sheet'!AJ44</f>
        <v>451.57473954386523</v>
      </c>
      <c r="AK28" s="88">
        <f>'Ethanol Balance Sheet'!AK395*'Corn Gluten Feed Balance Sheet'!AK44</f>
        <v>448.70547327348964</v>
      </c>
      <c r="AL28" s="88">
        <f>'Ethanol Balance Sheet'!AL395*'Corn Gluten Feed Balance Sheet'!AL44</f>
        <v>438.46454830492331</v>
      </c>
      <c r="AM28" s="88">
        <f>'Ethanol Balance Sheet'!AM395*'Corn Gluten Feed Balance Sheet'!AM44</f>
        <v>442.16742663207521</v>
      </c>
      <c r="AN28" s="88">
        <f>'Ethanol Balance Sheet'!AN395*'Corn Gluten Feed Balance Sheet'!AN44</f>
        <v>439.25458847722786</v>
      </c>
      <c r="AO28" s="88">
        <f>'Ethanol Balance Sheet'!AO395*'Corn Gluten Feed Balance Sheet'!AO44</f>
        <v>437.19197404379935</v>
      </c>
      <c r="AP28" s="88">
        <f>'Ethanol Balance Sheet'!AP395*'Corn Gluten Feed Balance Sheet'!AP44</f>
        <v>434.31899299671289</v>
      </c>
      <c r="AQ28" s="88">
        <f>'Ethanol Balance Sheet'!AQ395*'Corn Gluten Feed Balance Sheet'!AQ44</f>
        <v>431.38267724541788</v>
      </c>
      <c r="AR28" s="88">
        <f>'Ethanol Balance Sheet'!AR395*'Corn Gluten Feed Balance Sheet'!AR44</f>
        <v>429.97317939664623</v>
      </c>
      <c r="AS28" s="88">
        <f>'Ethanol Balance Sheet'!AS395*'Corn Gluten Feed Balance Sheet'!AS44</f>
        <v>427.52408754116209</v>
      </c>
      <c r="AT28" s="88">
        <f>'Ethanol Balance Sheet'!AT395*'Corn Gluten Feed Balance Sheet'!AT44</f>
        <v>425.18439481168082</v>
      </c>
      <c r="AU28" s="88">
        <f>'Ethanol Balance Sheet'!AU395*'Corn Gluten Feed Balance Sheet'!AU44</f>
        <v>422.7845774719496</v>
      </c>
      <c r="AV28" s="88">
        <f>'Ethanol Balance Sheet'!AV395*'Corn Gluten Feed Balance Sheet'!AV44</f>
        <v>420.47564259274395</v>
      </c>
      <c r="AW28" s="88">
        <f>'Ethanol Balance Sheet'!AW395*'Corn Gluten Feed Balance Sheet'!AW44</f>
        <v>418.29348382830869</v>
      </c>
      <c r="AX28" s="88">
        <f>'Ethanol Balance Sheet'!AX395*'Corn Gluten Feed Balance Sheet'!AX44</f>
        <v>406.76538530788099</v>
      </c>
      <c r="AY28" s="88">
        <f>'Ethanol Balance Sheet'!AY395*'Corn Gluten Feed Balance Sheet'!AY44</f>
        <v>399.85682353011742</v>
      </c>
    </row>
    <row r="29" spans="1:51" ht="12" thickBot="1">
      <c r="A29" s="69" t="s">
        <v>138</v>
      </c>
      <c r="B29" s="204">
        <f>SUM(B17:B28)</f>
        <v>1562.3558898834663</v>
      </c>
      <c r="C29" s="204">
        <f t="shared" ref="C29:S29" si="9">SUM(C17:C28)</f>
        <v>1611.8636210651982</v>
      </c>
      <c r="D29" s="204">
        <f t="shared" si="9"/>
        <v>1555.6238212264959</v>
      </c>
      <c r="E29" s="204">
        <f t="shared" si="9"/>
        <v>1573.498200598561</v>
      </c>
      <c r="F29" s="204">
        <f t="shared" si="9"/>
        <v>1645.069426867735</v>
      </c>
      <c r="G29" s="204">
        <f t="shared" si="9"/>
        <v>1657.4647868583972</v>
      </c>
      <c r="H29" s="204">
        <f t="shared" si="9"/>
        <v>1688.5084684207393</v>
      </c>
      <c r="I29" s="204">
        <f t="shared" si="9"/>
        <v>1693.7172222721172</v>
      </c>
      <c r="J29" s="204">
        <f t="shared" si="9"/>
        <v>1741.025974823197</v>
      </c>
      <c r="K29" s="204">
        <f t="shared" si="9"/>
        <v>1773.9000911116132</v>
      </c>
      <c r="L29" s="204">
        <f t="shared" si="9"/>
        <v>1733.2128440461297</v>
      </c>
      <c r="M29" s="204">
        <f t="shared" si="9"/>
        <v>1738.9375593639181</v>
      </c>
      <c r="N29" s="204">
        <f t="shared" si="9"/>
        <v>1779.8459327721487</v>
      </c>
      <c r="O29" s="204">
        <f t="shared" si="9"/>
        <v>1779.7637191318961</v>
      </c>
      <c r="P29" s="204">
        <f t="shared" si="9"/>
        <v>1752.4681172668149</v>
      </c>
      <c r="Q29" s="204">
        <f t="shared" si="9"/>
        <v>1748.4835835803144</v>
      </c>
      <c r="R29" s="204">
        <f t="shared" si="9"/>
        <v>1537.2834322618573</v>
      </c>
      <c r="S29" s="204">
        <f t="shared" si="9"/>
        <v>1472.1642757806098</v>
      </c>
      <c r="T29" s="204">
        <f>SUM(T17:T28)</f>
        <v>1611.3541824354929</v>
      </c>
      <c r="U29" s="204">
        <f t="shared" ref="U29:AY29" si="10">SUM(U17:U28)</f>
        <v>1825.7006848450185</v>
      </c>
      <c r="V29" s="204">
        <f t="shared" si="10"/>
        <v>1799.7617626034908</v>
      </c>
      <c r="W29" s="205">
        <f t="shared" si="10"/>
        <v>5603.0358983083288</v>
      </c>
      <c r="X29" s="205">
        <f t="shared" si="10"/>
        <v>7528.0270000000019</v>
      </c>
      <c r="Y29" s="205">
        <f>SUM(Y17:Y28)</f>
        <v>7681.3119999999999</v>
      </c>
      <c r="Z29" s="205">
        <f t="shared" si="10"/>
        <v>7078.7090000000007</v>
      </c>
      <c r="AA29" s="205">
        <f t="shared" si="10"/>
        <v>6436.3770000000004</v>
      </c>
      <c r="AB29" s="205">
        <f t="shared" si="10"/>
        <v>6300.0560000000005</v>
      </c>
      <c r="AC29" s="205">
        <f t="shared" si="10"/>
        <v>5942.7000000000007</v>
      </c>
      <c r="AD29" s="205">
        <f t="shared" si="10"/>
        <v>5768.3730000000005</v>
      </c>
      <c r="AE29" s="205">
        <f t="shared" si="10"/>
        <v>5559.5300000000007</v>
      </c>
      <c r="AF29" s="205">
        <f t="shared" si="10"/>
        <v>5567.2170000000006</v>
      </c>
      <c r="AG29" s="206">
        <f t="shared" si="10"/>
        <v>5495.381141503789</v>
      </c>
      <c r="AH29" s="206">
        <f t="shared" si="10"/>
        <v>5634.4219992386052</v>
      </c>
      <c r="AI29" s="206">
        <f t="shared" si="10"/>
        <v>5603.608425372543</v>
      </c>
      <c r="AJ29" s="206">
        <f t="shared" si="10"/>
        <v>5596.2018937217181</v>
      </c>
      <c r="AK29" s="206">
        <f t="shared" si="10"/>
        <v>5566.9630190692051</v>
      </c>
      <c r="AL29" s="206">
        <f t="shared" si="10"/>
        <v>5540.0048872339548</v>
      </c>
      <c r="AM29" s="206">
        <f t="shared" si="10"/>
        <v>5511.959686123867</v>
      </c>
      <c r="AN29" s="206">
        <f t="shared" si="10"/>
        <v>5482.9981886852065</v>
      </c>
      <c r="AO29" s="206">
        <f t="shared" si="10"/>
        <v>5454.0931517776471</v>
      </c>
      <c r="AP29" s="206">
        <f t="shared" si="10"/>
        <v>5425.3626831380807</v>
      </c>
      <c r="AQ29" s="206">
        <f t="shared" si="10"/>
        <v>5396.7317709702156</v>
      </c>
      <c r="AR29" s="206">
        <f t="shared" si="10"/>
        <v>5368.0477067417314</v>
      </c>
      <c r="AS29" s="206">
        <f t="shared" si="10"/>
        <v>5339.3220647590188</v>
      </c>
      <c r="AT29" s="206">
        <f t="shared" si="10"/>
        <v>5310.6059304618329</v>
      </c>
      <c r="AU29" s="206">
        <f t="shared" si="10"/>
        <v>5281.9053253344728</v>
      </c>
      <c r="AV29" s="206">
        <f t="shared" si="10"/>
        <v>5253.1999311794279</v>
      </c>
      <c r="AW29" s="206">
        <f t="shared" si="10"/>
        <v>5224.492929928505</v>
      </c>
      <c r="AX29" s="206">
        <f t="shared" si="10"/>
        <v>5080.9627604036241</v>
      </c>
      <c r="AY29" s="206">
        <f t="shared" si="10"/>
        <v>4994.8442779996831</v>
      </c>
    </row>
    <row r="30" spans="1:51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</row>
    <row r="31" spans="1:51" ht="12" thickBot="1">
      <c r="A31" s="69" t="s">
        <v>359</v>
      </c>
    </row>
    <row r="32" spans="1:51" ht="12" thickBot="1">
      <c r="A32" s="202"/>
      <c r="B32" s="203" t="str">
        <f>B$2</f>
        <v xml:space="preserve">93/94 </v>
      </c>
      <c r="C32" s="203" t="str">
        <f t="shared" ref="C32:AY32" si="11">C$2</f>
        <v xml:space="preserve">94/95 </v>
      </c>
      <c r="D32" s="203" t="str">
        <f t="shared" si="11"/>
        <v xml:space="preserve">95/96 </v>
      </c>
      <c r="E32" s="203" t="str">
        <f t="shared" si="11"/>
        <v xml:space="preserve">96/97 </v>
      </c>
      <c r="F32" s="203" t="str">
        <f t="shared" si="11"/>
        <v xml:space="preserve">97/98 </v>
      </c>
      <c r="G32" s="203" t="str">
        <f t="shared" si="11"/>
        <v xml:space="preserve">98/99 </v>
      </c>
      <c r="H32" s="203" t="str">
        <f t="shared" si="11"/>
        <v xml:space="preserve">99/00 </v>
      </c>
      <c r="I32" s="203" t="str">
        <f t="shared" si="11"/>
        <v xml:space="preserve">00/01 </v>
      </c>
      <c r="J32" s="203" t="str">
        <f t="shared" si="11"/>
        <v xml:space="preserve">01/02 </v>
      </c>
      <c r="K32" s="203" t="str">
        <f t="shared" si="11"/>
        <v xml:space="preserve">02/03 </v>
      </c>
      <c r="L32" s="203" t="str">
        <f t="shared" si="11"/>
        <v xml:space="preserve">03/04 </v>
      </c>
      <c r="M32" s="203" t="str">
        <f t="shared" si="11"/>
        <v xml:space="preserve">04/05 </v>
      </c>
      <c r="N32" s="203" t="str">
        <f t="shared" si="11"/>
        <v xml:space="preserve">05/06 </v>
      </c>
      <c r="O32" s="203" t="str">
        <f t="shared" si="11"/>
        <v xml:space="preserve">06/07 </v>
      </c>
      <c r="P32" s="203" t="str">
        <f t="shared" si="11"/>
        <v xml:space="preserve">07/08 </v>
      </c>
      <c r="Q32" s="203" t="str">
        <f t="shared" si="11"/>
        <v xml:space="preserve">08/09 </v>
      </c>
      <c r="R32" s="203" t="str">
        <f t="shared" si="11"/>
        <v xml:space="preserve">09/10 </v>
      </c>
      <c r="S32" s="203" t="str">
        <f t="shared" si="11"/>
        <v xml:space="preserve">10/11 </v>
      </c>
      <c r="T32" s="203" t="str">
        <f t="shared" si="11"/>
        <v xml:space="preserve">11/12 </v>
      </c>
      <c r="U32" s="203" t="str">
        <f t="shared" si="11"/>
        <v xml:space="preserve">12/13 </v>
      </c>
      <c r="V32" s="203" t="str">
        <f t="shared" si="11"/>
        <v xml:space="preserve">13/14 </v>
      </c>
      <c r="W32" s="203" t="str">
        <f t="shared" si="11"/>
        <v xml:space="preserve">14/15 </v>
      </c>
      <c r="X32" s="203" t="str">
        <f t="shared" si="11"/>
        <v xml:space="preserve">15/16 </v>
      </c>
      <c r="Y32" s="203" t="str">
        <f t="shared" si="11"/>
        <v xml:space="preserve">16/17 </v>
      </c>
      <c r="Z32" s="203" t="str">
        <f t="shared" si="11"/>
        <v xml:space="preserve">17/18 </v>
      </c>
      <c r="AA32" s="203" t="str">
        <f t="shared" si="11"/>
        <v xml:space="preserve">18/19 </v>
      </c>
      <c r="AB32" s="203" t="str">
        <f t="shared" si="11"/>
        <v xml:space="preserve">19/20 </v>
      </c>
      <c r="AC32" s="203" t="str">
        <f t="shared" si="11"/>
        <v xml:space="preserve">20/21 </v>
      </c>
      <c r="AD32" s="203" t="str">
        <f t="shared" si="11"/>
        <v>21/22</v>
      </c>
      <c r="AE32" s="203" t="str">
        <f t="shared" si="11"/>
        <v>22/23</v>
      </c>
      <c r="AF32" s="203" t="str">
        <f t="shared" si="11"/>
        <v>23/24</v>
      </c>
      <c r="AG32" s="203" t="str">
        <f t="shared" si="11"/>
        <v>24/25</v>
      </c>
      <c r="AH32" s="203" t="str">
        <f t="shared" si="11"/>
        <v>25/26</v>
      </c>
      <c r="AI32" s="203" t="str">
        <f t="shared" si="11"/>
        <v>26/27</v>
      </c>
      <c r="AJ32" s="203" t="str">
        <f t="shared" si="11"/>
        <v>27/28</v>
      </c>
      <c r="AK32" s="203" t="str">
        <f t="shared" si="11"/>
        <v>28/29</v>
      </c>
      <c r="AL32" s="203" t="str">
        <f t="shared" si="11"/>
        <v>29/30</v>
      </c>
      <c r="AM32" s="203" t="str">
        <f t="shared" si="11"/>
        <v>30/31</v>
      </c>
      <c r="AN32" s="203" t="str">
        <f t="shared" si="11"/>
        <v>31/32</v>
      </c>
      <c r="AO32" s="203" t="str">
        <f t="shared" si="11"/>
        <v>32/33</v>
      </c>
      <c r="AP32" s="203" t="str">
        <f t="shared" si="11"/>
        <v>33/34</v>
      </c>
      <c r="AQ32" s="203" t="str">
        <f t="shared" si="11"/>
        <v>34/35</v>
      </c>
      <c r="AR32" s="203" t="str">
        <f t="shared" si="11"/>
        <v>35/36</v>
      </c>
      <c r="AS32" s="203" t="str">
        <f t="shared" si="11"/>
        <v>36/37</v>
      </c>
      <c r="AT32" s="203" t="str">
        <f t="shared" si="11"/>
        <v>37/38</v>
      </c>
      <c r="AU32" s="203" t="str">
        <f t="shared" si="11"/>
        <v>38/39</v>
      </c>
      <c r="AV32" s="203" t="str">
        <f t="shared" si="11"/>
        <v>39/40</v>
      </c>
      <c r="AW32" s="203" t="str">
        <f t="shared" si="11"/>
        <v>40/41</v>
      </c>
      <c r="AX32" s="203" t="str">
        <f t="shared" si="11"/>
        <v>41/42</v>
      </c>
      <c r="AY32" s="203" t="str">
        <f t="shared" si="11"/>
        <v>42/43</v>
      </c>
    </row>
    <row r="33" spans="1:51">
      <c r="A33" s="69" t="s">
        <v>37</v>
      </c>
      <c r="B33" s="207">
        <v>2.6</v>
      </c>
      <c r="C33" s="207">
        <v>2.6</v>
      </c>
      <c r="D33" s="207">
        <v>2.6</v>
      </c>
      <c r="E33" s="207">
        <v>2.6000000000000005</v>
      </c>
      <c r="F33" s="207">
        <v>2.6</v>
      </c>
      <c r="G33" s="207">
        <v>2.6</v>
      </c>
      <c r="H33" s="207">
        <v>2.6</v>
      </c>
      <c r="I33" s="207">
        <v>2.6</v>
      </c>
      <c r="J33" s="207">
        <v>2.6000000000000005</v>
      </c>
      <c r="K33" s="207">
        <v>2.6</v>
      </c>
      <c r="L33" s="207">
        <v>2.6000000000000005</v>
      </c>
      <c r="M33" s="207">
        <v>2.6</v>
      </c>
      <c r="N33" s="207">
        <v>2.6</v>
      </c>
      <c r="O33" s="207">
        <v>2.5</v>
      </c>
      <c r="P33" s="207">
        <v>2.5</v>
      </c>
      <c r="Q33" s="207">
        <v>2.6</v>
      </c>
      <c r="R33" s="207">
        <v>2.2000000000000002</v>
      </c>
      <c r="S33" s="207">
        <v>2.1</v>
      </c>
      <c r="T33" s="207">
        <v>2.2999999999999998</v>
      </c>
      <c r="U33" s="207">
        <v>2.5</v>
      </c>
      <c r="V33" s="207">
        <v>2.2999999999999998</v>
      </c>
      <c r="W33" s="207">
        <v>2.15</v>
      </c>
      <c r="X33" s="112">
        <f>X17/SUM('NASS Data'!$F13,'NASS Data'!$G13,'NASS Data'!$H13)</f>
        <v>6.5634537228740122</v>
      </c>
      <c r="Y33" s="112">
        <f>Y17/SUM('NASS Data'!$F25,'NASS Data'!$G25,'NASS Data'!$H25)</f>
        <v>6.7049447390276633</v>
      </c>
      <c r="Z33" s="112">
        <f>Z17/SUM('NASS Data'!$F37,'NASS Data'!$G37,'NASS Data'!$H37)</f>
        <v>6.3608083800656008</v>
      </c>
      <c r="AA33" s="112">
        <f>AA17/SUM('NASS Data'!$F49,'NASS Data'!$G49,'NASS Data'!$H49)</f>
        <v>6.0109586835780737</v>
      </c>
      <c r="AB33" s="112">
        <f>AB17/SUM('NASS Data'!$F61,'NASS Data'!$G61,'NASS Data'!$H61)</f>
        <v>5.8514944471836783</v>
      </c>
      <c r="AC33" s="112">
        <f>AC17/SUM('NASS Data'!$F73,'NASS Data'!$G73,'NASS Data'!$H73)</f>
        <v>6.2861099700721788</v>
      </c>
      <c r="AD33" s="112">
        <f>AD17/SUM('NASS Data'!$F85,'NASS Data'!$G85,'NASS Data'!$H85)</f>
        <v>5.9502247013116705</v>
      </c>
      <c r="AE33" s="112">
        <f>AE17/SUM('NASS Data'!$F97,'NASS Data'!$G97,'NASS Data'!$H97)</f>
        <v>5.7444681134336308</v>
      </c>
      <c r="AF33" s="112">
        <f>AF17/SUM('NASS Data'!$F109,'NASS Data'!$G109,'NASS Data'!$H109)</f>
        <v>5.763050066990127</v>
      </c>
      <c r="AG33" s="112">
        <f>AG17/SUM('NASS Data'!$F121,'NASS Data'!$G121,'NASS Data'!$H121)</f>
        <v>5.3218143319375706</v>
      </c>
      <c r="AH33" s="208">
        <f t="shared" ref="AH33:AM44" si="12">(SUM(AC33:AG33)-MAX(AC33:AG33)-MIN(AC33:AG33))/3</f>
        <v>5.8192476272451437</v>
      </c>
      <c r="AI33" s="208">
        <f t="shared" si="12"/>
        <v>5.7755886025563008</v>
      </c>
      <c r="AJ33" s="208">
        <f t="shared" si="12"/>
        <v>5.7610355943266862</v>
      </c>
      <c r="AK33" s="208">
        <f t="shared" si="12"/>
        <v>5.7665580879577041</v>
      </c>
      <c r="AL33" s="208">
        <f t="shared" si="12"/>
        <v>5.7677274282802307</v>
      </c>
      <c r="AM33" s="208">
        <f t="shared" si="12"/>
        <v>5.7699580395980794</v>
      </c>
      <c r="AN33" s="208">
        <f t="shared" ref="AN33:AN44" si="13">(SUM(AI33:AM33)-MAX(AI33:AM33)-MIN(AI33:AM33))/3</f>
        <v>5.768081185278672</v>
      </c>
      <c r="AO33" s="208">
        <f t="shared" ref="AO33:AY44" si="14">(SUM(AJ33:AN33)-MAX(AJ33:AN33)-MIN(AJ33:AN33))/3</f>
        <v>5.7674555671722025</v>
      </c>
      <c r="AP33" s="208">
        <f t="shared" si="14"/>
        <v>5.7677547269103675</v>
      </c>
      <c r="AQ33" s="208">
        <f t="shared" si="14"/>
        <v>5.7678544468230903</v>
      </c>
      <c r="AR33" s="208">
        <f t="shared" si="14"/>
        <v>5.7678967863373769</v>
      </c>
      <c r="AS33" s="208">
        <f t="shared" si="14"/>
        <v>5.7678353200236119</v>
      </c>
      <c r="AT33" s="208">
        <f t="shared" si="14"/>
        <v>5.7678148312523563</v>
      </c>
      <c r="AU33" s="208">
        <f t="shared" si="14"/>
        <v>5.7678348660330192</v>
      </c>
      <c r="AV33" s="208">
        <f t="shared" si="14"/>
        <v>5.7678415442932405</v>
      </c>
      <c r="AW33" s="208">
        <f t="shared" si="14"/>
        <v>5.7678372434499572</v>
      </c>
      <c r="AX33" s="208">
        <f t="shared" si="14"/>
        <v>5.7678358098355291</v>
      </c>
      <c r="AY33" s="208">
        <f t="shared" si="14"/>
        <v>5.7678359731061688</v>
      </c>
    </row>
    <row r="34" spans="1:51">
      <c r="A34" s="69" t="s">
        <v>38</v>
      </c>
      <c r="B34" s="207">
        <v>2.6</v>
      </c>
      <c r="C34" s="207">
        <v>2.6</v>
      </c>
      <c r="D34" s="207">
        <v>2.6000000000000005</v>
      </c>
      <c r="E34" s="207">
        <v>2.6</v>
      </c>
      <c r="F34" s="207">
        <v>2.6000000000000005</v>
      </c>
      <c r="G34" s="207">
        <v>2.6000000000000005</v>
      </c>
      <c r="H34" s="207">
        <v>2.6</v>
      </c>
      <c r="I34" s="207">
        <v>2.6</v>
      </c>
      <c r="J34" s="207">
        <v>2.6</v>
      </c>
      <c r="K34" s="207">
        <v>2.6000000000000005</v>
      </c>
      <c r="L34" s="207">
        <v>2.6</v>
      </c>
      <c r="M34" s="207">
        <v>2.6</v>
      </c>
      <c r="N34" s="207">
        <v>2.6</v>
      </c>
      <c r="O34" s="207">
        <v>2.5</v>
      </c>
      <c r="P34" s="207">
        <v>2.5</v>
      </c>
      <c r="Q34" s="207">
        <v>2.6</v>
      </c>
      <c r="R34" s="207">
        <v>2.2000000000000002</v>
      </c>
      <c r="S34" s="207">
        <v>2.1</v>
      </c>
      <c r="T34" s="207">
        <v>2.2999999999999998</v>
      </c>
      <c r="U34" s="207">
        <v>2.5</v>
      </c>
      <c r="V34" s="207">
        <v>2.2999999999999998</v>
      </c>
      <c r="W34" s="207">
        <v>2.15</v>
      </c>
      <c r="X34" s="112">
        <f>X18/SUM('NASS Data'!$F14,'NASS Data'!$G14,'NASS Data'!$H14)</f>
        <v>6.6166337432825673</v>
      </c>
      <c r="Y34" s="112">
        <f>Y18/SUM('NASS Data'!$F26,'NASS Data'!$G26,'NASS Data'!$H26)</f>
        <v>6.6231946717725405</v>
      </c>
      <c r="Z34" s="112">
        <f>Z18/SUM('NASS Data'!$F38,'NASS Data'!$G38,'NASS Data'!$H38)</f>
        <v>6.5173660785248755</v>
      </c>
      <c r="AA34" s="112">
        <f>AA18/SUM('NASS Data'!$F50,'NASS Data'!$G50,'NASS Data'!$H50)</f>
        <v>5.815410352076249</v>
      </c>
      <c r="AB34" s="112">
        <f>AB18/SUM('NASS Data'!$F62,'NASS Data'!$G62,'NASS Data'!$H62)</f>
        <v>5.9675385677581474</v>
      </c>
      <c r="AC34" s="112">
        <f>AC18/SUM('NASS Data'!$F74,'NASS Data'!$G74,'NASS Data'!$H74)</f>
        <v>5.9717280390417047</v>
      </c>
      <c r="AD34" s="112">
        <f>AD18/SUM('NASS Data'!$F86,'NASS Data'!$G86,'NASS Data'!$H86)</f>
        <v>5.778614949713373</v>
      </c>
      <c r="AE34" s="112">
        <f>AE18/SUM('NASS Data'!$F98,'NASS Data'!$G98,'NASS Data'!$H98)</f>
        <v>5.5752393421160304</v>
      </c>
      <c r="AF34" s="112">
        <f>AF18/SUM('NASS Data'!$F110,'NASS Data'!$G110,'NASS Data'!$H110)</f>
        <v>5.9705673094926039</v>
      </c>
      <c r="AG34" s="112">
        <f>AG18/SUM('NASS Data'!$F122,'NASS Data'!$G122,'NASS Data'!$H122)</f>
        <v>5.6398989276469864</v>
      </c>
      <c r="AH34" s="208">
        <f t="shared" si="12"/>
        <v>5.7963603956176541</v>
      </c>
      <c r="AI34" s="208">
        <f t="shared" si="12"/>
        <v>5.7382914243260039</v>
      </c>
      <c r="AJ34" s="208">
        <f t="shared" si="12"/>
        <v>5.7248502491968809</v>
      </c>
      <c r="AK34" s="208">
        <f t="shared" si="12"/>
        <v>5.7531673563801791</v>
      </c>
      <c r="AL34" s="208">
        <f t="shared" si="12"/>
        <v>5.7387696766343543</v>
      </c>
      <c r="AM34" s="208">
        <f t="shared" si="12"/>
        <v>5.7434094857801794</v>
      </c>
      <c r="AN34" s="208">
        <f t="shared" si="13"/>
        <v>5.7401568622468462</v>
      </c>
      <c r="AO34" s="208">
        <f t="shared" si="14"/>
        <v>5.7407786748871272</v>
      </c>
      <c r="AP34" s="208">
        <f t="shared" si="14"/>
        <v>5.7414483409713846</v>
      </c>
      <c r="AQ34" s="208">
        <f t="shared" si="14"/>
        <v>5.740794626035119</v>
      </c>
      <c r="AR34" s="208">
        <f t="shared" si="14"/>
        <v>5.7410072139645436</v>
      </c>
      <c r="AS34" s="208">
        <f t="shared" si="14"/>
        <v>5.7408601716289303</v>
      </c>
      <c r="AT34" s="208">
        <f t="shared" si="14"/>
        <v>5.7408873372095313</v>
      </c>
      <c r="AU34" s="208">
        <f t="shared" si="14"/>
        <v>5.7409182409343353</v>
      </c>
      <c r="AV34" s="208">
        <f t="shared" si="14"/>
        <v>5.7408885832575995</v>
      </c>
      <c r="AW34" s="208">
        <f t="shared" si="14"/>
        <v>5.740898053800489</v>
      </c>
      <c r="AX34" s="208">
        <f t="shared" si="14"/>
        <v>5.7408913247558742</v>
      </c>
      <c r="AY34" s="208">
        <f t="shared" si="14"/>
        <v>5.7408926539379879</v>
      </c>
    </row>
    <row r="35" spans="1:51">
      <c r="A35" s="69" t="s">
        <v>39</v>
      </c>
      <c r="B35" s="207">
        <v>2.6000000000000005</v>
      </c>
      <c r="C35" s="207">
        <v>2.6</v>
      </c>
      <c r="D35" s="207">
        <v>2.6</v>
      </c>
      <c r="E35" s="207">
        <v>2.6000000000000005</v>
      </c>
      <c r="F35" s="207">
        <v>2.6000000000000005</v>
      </c>
      <c r="G35" s="207">
        <v>2.6000000000000005</v>
      </c>
      <c r="H35" s="207">
        <v>2.6000000000000005</v>
      </c>
      <c r="I35" s="207">
        <v>2.6</v>
      </c>
      <c r="J35" s="207">
        <v>2.6000000000000005</v>
      </c>
      <c r="K35" s="207">
        <v>2.6000000000000005</v>
      </c>
      <c r="L35" s="207">
        <v>2.6</v>
      </c>
      <c r="M35" s="207">
        <v>2.6000000000000005</v>
      </c>
      <c r="N35" s="207">
        <v>2.6000000000000005</v>
      </c>
      <c r="O35" s="207">
        <v>2.5</v>
      </c>
      <c r="P35" s="207">
        <v>2.5</v>
      </c>
      <c r="Q35" s="207">
        <v>2.6</v>
      </c>
      <c r="R35" s="207">
        <v>2.2000000000000002</v>
      </c>
      <c r="S35" s="207">
        <v>2.1</v>
      </c>
      <c r="T35" s="207">
        <v>2.2999999999999998</v>
      </c>
      <c r="U35" s="207">
        <v>2.5</v>
      </c>
      <c r="V35" s="207">
        <v>2.2999999999999998</v>
      </c>
      <c r="W35" s="207">
        <v>2.15</v>
      </c>
      <c r="X35" s="112">
        <f>X19/SUM('NASS Data'!$F15,'NASS Data'!$G15,'NASS Data'!$H15)</f>
        <v>6.6054816110193553</v>
      </c>
      <c r="Y35" s="112">
        <f>Y19/SUM('NASS Data'!$F27,'NASS Data'!$G27,'NASS Data'!$H27)</f>
        <v>6.6463363645866007</v>
      </c>
      <c r="Z35" s="112">
        <f>Z19/SUM('NASS Data'!$F39,'NASS Data'!$G39,'NASS Data'!$H39)</f>
        <v>6.6373837422584741</v>
      </c>
      <c r="AA35" s="112">
        <f>AA19/SUM('NASS Data'!$F51,'NASS Data'!$G51,'NASS Data'!$H51)</f>
        <v>6.2075378839902955</v>
      </c>
      <c r="AB35" s="112">
        <f>AB19/SUM('NASS Data'!$F63,'NASS Data'!$G63,'NASS Data'!$H63)</f>
        <v>5.9476028236132459</v>
      </c>
      <c r="AC35" s="112">
        <f>AC19/SUM('NASS Data'!$F75,'NASS Data'!$G75,'NASS Data'!$H75)</f>
        <v>5.9989392885249266</v>
      </c>
      <c r="AD35" s="112">
        <f>AD19/SUM('NASS Data'!$F87,'NASS Data'!$G87,'NASS Data'!$H87)</f>
        <v>5.7737401844035192</v>
      </c>
      <c r="AE35" s="112">
        <f>AE19/SUM('NASS Data'!$F99,'NASS Data'!$G99,'NASS Data'!$H99)</f>
        <v>5.9802922610467713</v>
      </c>
      <c r="AF35" s="112">
        <f>AF19/SUM('NASS Data'!$F111,'NASS Data'!$G111,'NASS Data'!$H111)</f>
        <v>5.5465038015704842</v>
      </c>
      <c r="AG35" s="112">
        <f>AG19/SUM('NASS Data'!$F123,'NASS Data'!$G123,'NASS Data'!$H123)</f>
        <v>5.6846152931807108</v>
      </c>
      <c r="AH35" s="208">
        <f t="shared" si="12"/>
        <v>5.8128825795436656</v>
      </c>
      <c r="AI35" s="208">
        <f t="shared" si="12"/>
        <v>5.7570793523759649</v>
      </c>
      <c r="AJ35" s="208">
        <f t="shared" si="12"/>
        <v>5.7515257417001129</v>
      </c>
      <c r="AK35" s="208">
        <f t="shared" si="12"/>
        <v>5.7310734624189301</v>
      </c>
      <c r="AL35" s="208">
        <f t="shared" si="12"/>
        <v>5.7465595188316696</v>
      </c>
      <c r="AM35" s="208">
        <f t="shared" si="12"/>
        <v>5.7517215376359161</v>
      </c>
      <c r="AN35" s="208">
        <f t="shared" si="13"/>
        <v>5.7499355993892332</v>
      </c>
      <c r="AO35" s="208">
        <f t="shared" si="14"/>
        <v>5.7493402866403391</v>
      </c>
      <c r="AP35" s="208">
        <f t="shared" si="14"/>
        <v>5.748611801620414</v>
      </c>
      <c r="AQ35" s="208">
        <f t="shared" si="14"/>
        <v>5.7492958958833285</v>
      </c>
      <c r="AR35" s="208">
        <f t="shared" si="14"/>
        <v>5.7495239273043</v>
      </c>
      <c r="AS35" s="208">
        <f t="shared" si="14"/>
        <v>5.7493867032759889</v>
      </c>
      <c r="AT35" s="208">
        <f t="shared" si="14"/>
        <v>5.7493409619332185</v>
      </c>
      <c r="AU35" s="208">
        <f t="shared" si="14"/>
        <v>5.7493411870308444</v>
      </c>
      <c r="AV35" s="208">
        <f t="shared" si="14"/>
        <v>5.7493562840800161</v>
      </c>
      <c r="AW35" s="208">
        <f t="shared" si="14"/>
        <v>5.7493613914622834</v>
      </c>
      <c r="AX35" s="208">
        <f t="shared" si="14"/>
        <v>5.7493529541910489</v>
      </c>
      <c r="AY35" s="208">
        <f t="shared" si="14"/>
        <v>5.7493501417673043</v>
      </c>
    </row>
    <row r="36" spans="1:51">
      <c r="A36" s="69" t="s">
        <v>40</v>
      </c>
      <c r="B36" s="207">
        <v>2.6</v>
      </c>
      <c r="C36" s="207">
        <v>2.6000000000000005</v>
      </c>
      <c r="D36" s="207">
        <v>2.6</v>
      </c>
      <c r="E36" s="207">
        <v>2.6</v>
      </c>
      <c r="F36" s="207">
        <v>2.6</v>
      </c>
      <c r="G36" s="207">
        <v>2.6000000000000005</v>
      </c>
      <c r="H36" s="207">
        <v>2.6000000000000005</v>
      </c>
      <c r="I36" s="207">
        <v>2.6</v>
      </c>
      <c r="J36" s="207">
        <v>2.6</v>
      </c>
      <c r="K36" s="207">
        <v>2.6000000000000005</v>
      </c>
      <c r="L36" s="207">
        <v>2.6</v>
      </c>
      <c r="M36" s="207">
        <v>2.6000000000000005</v>
      </c>
      <c r="N36" s="207">
        <v>2.6000000000000005</v>
      </c>
      <c r="O36" s="207">
        <v>2.5</v>
      </c>
      <c r="P36" s="207">
        <v>2.5</v>
      </c>
      <c r="Q36" s="207">
        <v>2.6</v>
      </c>
      <c r="R36" s="207">
        <v>2.2000000000000002</v>
      </c>
      <c r="S36" s="207">
        <v>2.1</v>
      </c>
      <c r="T36" s="207">
        <v>2.2999999999999998</v>
      </c>
      <c r="U36" s="207">
        <v>2.5</v>
      </c>
      <c r="V36" s="207">
        <v>2.2999999999999998</v>
      </c>
      <c r="W36" s="207">
        <v>2.15</v>
      </c>
      <c r="X36" s="112">
        <f>X20/SUM('NASS Data'!$F16,'NASS Data'!$G16,'NASS Data'!$H16)</f>
        <v>6.5976777555028656</v>
      </c>
      <c r="Y36" s="112">
        <f>Y20/SUM('NASS Data'!$F28,'NASS Data'!$G28,'NASS Data'!$H28)</f>
        <v>6.7725214247999679</v>
      </c>
      <c r="Z36" s="112">
        <f>Z20/SUM('NASS Data'!$F40,'NASS Data'!$G40,'NASS Data'!$H40)</f>
        <v>6.554572855936005</v>
      </c>
      <c r="AA36" s="112">
        <f>AA20/SUM('NASS Data'!$F52,'NASS Data'!$G52,'NASS Data'!$H52)</f>
        <v>5.9632592916007203</v>
      </c>
      <c r="AB36" s="112">
        <f>AB20/SUM('NASS Data'!$F64,'NASS Data'!$G64,'NASS Data'!$H64)</f>
        <v>5.9049569462194373</v>
      </c>
      <c r="AC36" s="112">
        <f>AC20/SUM('NASS Data'!$F76,'NASS Data'!$G76,'NASS Data'!$H76)</f>
        <v>5.633102458362762</v>
      </c>
      <c r="AD36" s="112">
        <f>AD20/SUM('NASS Data'!$F88,'NASS Data'!$G88,'NASS Data'!$H88)</f>
        <v>5.7158723078154843</v>
      </c>
      <c r="AE36" s="112">
        <f>AE20/SUM('NASS Data'!$F100,'NASS Data'!$G100,'NASS Data'!$H100)</f>
        <v>5.6401042731547744</v>
      </c>
      <c r="AF36" s="112">
        <f>AF20/SUM('NASS Data'!$F112,'NASS Data'!$G112,'NASS Data'!$H112)</f>
        <v>5.5273395340940796</v>
      </c>
      <c r="AG36" s="208">
        <f>(SUM(AB36:AF36)-MAX(AB36:AF36)-MIN(AB36:AF36))/3</f>
        <v>5.6630263464443393</v>
      </c>
      <c r="AH36" s="208">
        <f>(SUM(AC36:AG36)-MAX(AC36:AG36)-MIN(AC36:AG36))/3</f>
        <v>5.6454110259872925</v>
      </c>
      <c r="AI36" s="208">
        <f t="shared" si="12"/>
        <v>5.6495138818621369</v>
      </c>
      <c r="AJ36" s="208">
        <f t="shared" si="12"/>
        <v>5.6450097270014021</v>
      </c>
      <c r="AK36" s="208">
        <f t="shared" si="12"/>
        <v>5.6466448782836105</v>
      </c>
      <c r="AL36" s="208">
        <f t="shared" si="12"/>
        <v>5.6471899287110121</v>
      </c>
      <c r="AM36" s="208">
        <f t="shared" si="12"/>
        <v>5.6464152776606378</v>
      </c>
      <c r="AN36" s="208">
        <f t="shared" si="13"/>
        <v>5.6467500282184195</v>
      </c>
      <c r="AO36" s="208">
        <f t="shared" si="14"/>
        <v>5.6466033947208905</v>
      </c>
      <c r="AP36" s="208">
        <f t="shared" si="14"/>
        <v>5.6466661004076419</v>
      </c>
      <c r="AQ36" s="208">
        <f t="shared" si="14"/>
        <v>5.6466731744489849</v>
      </c>
      <c r="AR36" s="208">
        <f t="shared" si="14"/>
        <v>5.6466475565258394</v>
      </c>
      <c r="AS36" s="208">
        <f t="shared" si="14"/>
        <v>5.6466622771274873</v>
      </c>
      <c r="AT36" s="208">
        <f t="shared" si="14"/>
        <v>5.6466586446869895</v>
      </c>
      <c r="AU36" s="208">
        <f t="shared" si="14"/>
        <v>5.6466623407407068</v>
      </c>
      <c r="AV36" s="208">
        <f t="shared" si="14"/>
        <v>5.6466610875183951</v>
      </c>
      <c r="AW36" s="208">
        <f t="shared" si="14"/>
        <v>5.6466606697776243</v>
      </c>
      <c r="AX36" s="208">
        <f t="shared" si="14"/>
        <v>5.6466613448078355</v>
      </c>
      <c r="AY36" s="208">
        <f t="shared" si="14"/>
        <v>5.6466610340346177</v>
      </c>
    </row>
    <row r="37" spans="1:51">
      <c r="A37" s="69" t="s">
        <v>30</v>
      </c>
      <c r="B37" s="207">
        <v>2.6</v>
      </c>
      <c r="C37" s="207">
        <v>2.6000000000000005</v>
      </c>
      <c r="D37" s="207">
        <v>2.6</v>
      </c>
      <c r="E37" s="207">
        <v>2.6</v>
      </c>
      <c r="F37" s="207">
        <v>2.6000000000000005</v>
      </c>
      <c r="G37" s="207">
        <v>2.6000000000000005</v>
      </c>
      <c r="H37" s="207">
        <v>2.6000000000000005</v>
      </c>
      <c r="I37" s="207">
        <v>2.6</v>
      </c>
      <c r="J37" s="207">
        <v>2.6</v>
      </c>
      <c r="K37" s="207">
        <v>2.6</v>
      </c>
      <c r="L37" s="207">
        <v>2.6</v>
      </c>
      <c r="M37" s="207">
        <v>2.6</v>
      </c>
      <c r="N37" s="207">
        <v>2.6</v>
      </c>
      <c r="O37" s="207">
        <v>2.5</v>
      </c>
      <c r="P37" s="207">
        <v>2.5</v>
      </c>
      <c r="Q37" s="207">
        <v>2.6</v>
      </c>
      <c r="R37" s="207">
        <v>2.2000000000000002</v>
      </c>
      <c r="S37" s="207">
        <v>2.1</v>
      </c>
      <c r="T37" s="207">
        <v>2.2999999999999998</v>
      </c>
      <c r="U37" s="207">
        <v>2.5</v>
      </c>
      <c r="V37" s="207">
        <v>2.2999999999999998</v>
      </c>
      <c r="W37" s="112">
        <f>W21/SUM('NASS Data'!$F5,'NASS Data'!$G5,'NASS Data'!$H5)</f>
        <v>6.5080022131601041</v>
      </c>
      <c r="X37" s="112">
        <f>X21/SUM('NASS Data'!$F17,'NASS Data'!$G17,'NASS Data'!$H17)</f>
        <v>6.5410468436980516</v>
      </c>
      <c r="Y37" s="112">
        <f>Y21/SUM('NASS Data'!$F29,'NASS Data'!$G29,'NASS Data'!$H29)</f>
        <v>6.6001712755046151</v>
      </c>
      <c r="Z37" s="112">
        <f>Z21/SUM('NASS Data'!$F41,'NASS Data'!$G41,'NASS Data'!$H41)</f>
        <v>6.3183097362507912</v>
      </c>
      <c r="AA37" s="112">
        <f>AA21/SUM('NASS Data'!$F53,'NASS Data'!$G53,'NASS Data'!$H53)</f>
        <v>6.125022242784441</v>
      </c>
      <c r="AB37" s="112">
        <f>AB21/SUM('NASS Data'!$F65,'NASS Data'!$G65,'NASS Data'!$H65)</f>
        <v>6.0184836992893338</v>
      </c>
      <c r="AC37" s="112">
        <f>AC21/SUM('NASS Data'!$F77,'NASS Data'!$G77,'NASS Data'!$H77)</f>
        <v>5.6528111238806131</v>
      </c>
      <c r="AD37" s="112">
        <f>AD21/SUM('NASS Data'!$F89,'NASS Data'!$G89,'NASS Data'!$H89)</f>
        <v>5.5326012597013516</v>
      </c>
      <c r="AE37" s="112">
        <f>AE21/SUM('NASS Data'!$F101,'NASS Data'!$G101,'NASS Data'!$H101)</f>
        <v>5.847713244407359</v>
      </c>
      <c r="AF37" s="112">
        <f>AF21/SUM('NASS Data'!$F113,'NASS Data'!$G113,'NASS Data'!$H113)</f>
        <v>5.8530875398658315</v>
      </c>
      <c r="AG37" s="208">
        <f t="shared" ref="AG37:AH44" si="15">(SUM(AB37:AF37)-MAX(AB37:AF37)-MIN(AB37:AF37))/3</f>
        <v>5.7845373027179354</v>
      </c>
      <c r="AH37" s="208">
        <f t="shared" si="15"/>
        <v>5.7616872236686367</v>
      </c>
      <c r="AI37" s="208">
        <f t="shared" si="12"/>
        <v>5.7979792569313107</v>
      </c>
      <c r="AJ37" s="208">
        <f t="shared" si="12"/>
        <v>5.8100766013522014</v>
      </c>
      <c r="AK37" s="208">
        <f t="shared" si="12"/>
        <v>5.7975310536671474</v>
      </c>
      <c r="AL37" s="208">
        <f t="shared" si="12"/>
        <v>5.7933492044387975</v>
      </c>
      <c r="AM37" s="208">
        <f t="shared" si="12"/>
        <v>5.7962865050124179</v>
      </c>
      <c r="AN37" s="208">
        <f t="shared" si="13"/>
        <v>5.7972656052036262</v>
      </c>
      <c r="AO37" s="208">
        <f t="shared" si="14"/>
        <v>5.7970277212943984</v>
      </c>
      <c r="AP37" s="208">
        <f t="shared" si="14"/>
        <v>5.7968599438368145</v>
      </c>
      <c r="AQ37" s="208">
        <f t="shared" si="14"/>
        <v>5.7967247233812103</v>
      </c>
      <c r="AR37" s="208">
        <f t="shared" si="14"/>
        <v>5.7968707961708077</v>
      </c>
      <c r="AS37" s="208">
        <f t="shared" si="14"/>
        <v>5.7969194871006735</v>
      </c>
      <c r="AT37" s="208">
        <f t="shared" si="14"/>
        <v>5.7968834090360986</v>
      </c>
      <c r="AU37" s="208">
        <f t="shared" si="14"/>
        <v>5.7968713830145733</v>
      </c>
      <c r="AV37" s="208">
        <f t="shared" si="14"/>
        <v>5.7968751960738265</v>
      </c>
      <c r="AW37" s="208">
        <f t="shared" si="14"/>
        <v>5.7968766627081658</v>
      </c>
      <c r="AX37" s="208">
        <f t="shared" si="14"/>
        <v>5.7968784226060306</v>
      </c>
      <c r="AY37" s="208">
        <f t="shared" si="14"/>
        <v>5.7968767604626743</v>
      </c>
    </row>
    <row r="38" spans="1:51">
      <c r="A38" s="69" t="s">
        <v>31</v>
      </c>
      <c r="B38" s="207">
        <v>2.6</v>
      </c>
      <c r="C38" s="207">
        <v>2.6</v>
      </c>
      <c r="D38" s="207">
        <v>2.6000000000000005</v>
      </c>
      <c r="E38" s="207">
        <v>2.6000000000000005</v>
      </c>
      <c r="F38" s="207">
        <v>2.6000000000000005</v>
      </c>
      <c r="G38" s="207">
        <v>2.6</v>
      </c>
      <c r="H38" s="207">
        <v>2.6000000000000005</v>
      </c>
      <c r="I38" s="207">
        <v>2.6</v>
      </c>
      <c r="J38" s="207">
        <v>2.6000000000000005</v>
      </c>
      <c r="K38" s="207">
        <v>2.6</v>
      </c>
      <c r="L38" s="207">
        <v>2.6000000000000005</v>
      </c>
      <c r="M38" s="207">
        <v>2.6</v>
      </c>
      <c r="N38" s="207">
        <v>2.6</v>
      </c>
      <c r="O38" s="207">
        <v>2.5</v>
      </c>
      <c r="P38" s="207">
        <v>2.5</v>
      </c>
      <c r="Q38" s="207">
        <v>2.6</v>
      </c>
      <c r="R38" s="207">
        <v>2.2000000000000002</v>
      </c>
      <c r="S38" s="207">
        <v>2.1</v>
      </c>
      <c r="T38" s="207">
        <v>2.2999999999999998</v>
      </c>
      <c r="U38" s="207">
        <v>2.5</v>
      </c>
      <c r="V38" s="207">
        <v>2.2999999999999998</v>
      </c>
      <c r="W38" s="112">
        <f>W22/SUM('NASS Data'!$F6,'NASS Data'!$G6,'NASS Data'!$H6)</f>
        <v>6.618257408855091</v>
      </c>
      <c r="X38" s="112">
        <f>X22/SUM('NASS Data'!$F18,'NASS Data'!$G18,'NASS Data'!$H18)</f>
        <v>6.5300999268827695</v>
      </c>
      <c r="Y38" s="112">
        <f>Y22/SUM('NASS Data'!$F30,'NASS Data'!$G30,'NASS Data'!$H30)</f>
        <v>6.4360860052464579</v>
      </c>
      <c r="Z38" s="112">
        <f>Z22/SUM('NASS Data'!$F42,'NASS Data'!$G42,'NASS Data'!$H42)</f>
        <v>6.2743469726709948</v>
      </c>
      <c r="AA38" s="112">
        <f>AA22/SUM('NASS Data'!$F54,'NASS Data'!$G54,'NASS Data'!$H54)</f>
        <v>6.0102702907807695</v>
      </c>
      <c r="AB38" s="112">
        <f>AB22/SUM('NASS Data'!$F66,'NASS Data'!$G66,'NASS Data'!$H66)</f>
        <v>5.8488971835765184</v>
      </c>
      <c r="AC38" s="112">
        <f>AC22/SUM('NASS Data'!$F78,'NASS Data'!$G78,'NASS Data'!$H78)</f>
        <v>5.4475897927264025</v>
      </c>
      <c r="AD38" s="112">
        <f>AD22/SUM('NASS Data'!$F90,'NASS Data'!$G90,'NASS Data'!$H90)</f>
        <v>5.8484782252335945</v>
      </c>
      <c r="AE38" s="112">
        <f>AE22/SUM('NASS Data'!$F102,'NASS Data'!$G102,'NASS Data'!$H102)</f>
        <v>5.7858450845418696</v>
      </c>
      <c r="AF38" s="112">
        <f>AF22/SUM('NASS Data'!$F114,'NASS Data'!$G114,'NASS Data'!$H114)</f>
        <v>5.7808975402140588</v>
      </c>
      <c r="AG38" s="208">
        <f t="shared" si="15"/>
        <v>5.8050736166631749</v>
      </c>
      <c r="AH38" s="208">
        <f t="shared" si="15"/>
        <v>5.7906054138063681</v>
      </c>
      <c r="AI38" s="208">
        <f t="shared" si="12"/>
        <v>5.7938413716704709</v>
      </c>
      <c r="AJ38" s="208">
        <f t="shared" si="12"/>
        <v>5.7900972900062362</v>
      </c>
      <c r="AK38" s="208">
        <f t="shared" si="12"/>
        <v>5.7915146918276923</v>
      </c>
      <c r="AL38" s="208">
        <f t="shared" si="12"/>
        <v>5.7919871591015104</v>
      </c>
      <c r="AM38" s="208">
        <f t="shared" si="12"/>
        <v>5.7913690882451903</v>
      </c>
      <c r="AN38" s="208">
        <f t="shared" si="13"/>
        <v>5.7916236463914643</v>
      </c>
      <c r="AO38" s="208">
        <f t="shared" si="14"/>
        <v>5.7915024754881159</v>
      </c>
      <c r="AP38" s="208">
        <f t="shared" si="14"/>
        <v>5.7915469379024245</v>
      </c>
      <c r="AQ38" s="208">
        <f t="shared" si="14"/>
        <v>5.7915576865940013</v>
      </c>
      <c r="AR38" s="208">
        <f t="shared" si="14"/>
        <v>5.7915356999948466</v>
      </c>
      <c r="AS38" s="208">
        <f t="shared" si="14"/>
        <v>5.7915467748304232</v>
      </c>
      <c r="AT38" s="208">
        <f t="shared" si="14"/>
        <v>5.7915431375758972</v>
      </c>
      <c r="AU38" s="208">
        <f t="shared" si="14"/>
        <v>5.7915456167695814</v>
      </c>
      <c r="AV38" s="208">
        <f t="shared" si="14"/>
        <v>5.7915451763919679</v>
      </c>
      <c r="AW38" s="208">
        <f t="shared" si="14"/>
        <v>5.79154464357915</v>
      </c>
      <c r="AX38" s="208">
        <f t="shared" si="14"/>
        <v>5.7915451455802334</v>
      </c>
      <c r="AY38" s="208">
        <f t="shared" si="14"/>
        <v>5.7915449885171171</v>
      </c>
    </row>
    <row r="39" spans="1:51">
      <c r="A39" s="69" t="s">
        <v>32</v>
      </c>
      <c r="B39" s="207">
        <v>2.6000000000000005</v>
      </c>
      <c r="C39" s="207">
        <v>2.6000000000000005</v>
      </c>
      <c r="D39" s="207">
        <v>2.6000000000000005</v>
      </c>
      <c r="E39" s="207">
        <v>2.6000000000000005</v>
      </c>
      <c r="F39" s="207">
        <v>2.6</v>
      </c>
      <c r="G39" s="207">
        <v>2.6</v>
      </c>
      <c r="H39" s="207">
        <v>2.6000000000000005</v>
      </c>
      <c r="I39" s="207">
        <v>2.6</v>
      </c>
      <c r="J39" s="207">
        <v>2.6</v>
      </c>
      <c r="K39" s="207">
        <v>2.6000000000000005</v>
      </c>
      <c r="L39" s="207">
        <v>2.6000000000000005</v>
      </c>
      <c r="M39" s="207">
        <v>2.6</v>
      </c>
      <c r="N39" s="207">
        <v>2.6</v>
      </c>
      <c r="O39" s="207">
        <v>2.5</v>
      </c>
      <c r="P39" s="207">
        <v>2.5</v>
      </c>
      <c r="Q39" s="207">
        <v>2.6</v>
      </c>
      <c r="R39" s="207">
        <v>2.2000000000000002</v>
      </c>
      <c r="S39" s="207">
        <v>2.1</v>
      </c>
      <c r="T39" s="207">
        <v>2.2999999999999998</v>
      </c>
      <c r="U39" s="207">
        <v>2.5</v>
      </c>
      <c r="V39" s="207">
        <v>2.2999999999999998</v>
      </c>
      <c r="W39" s="112">
        <f>W23/SUM('NASS Data'!$F7,'NASS Data'!$G7,'NASS Data'!$H7)</f>
        <v>6.5903038790662238</v>
      </c>
      <c r="X39" s="112">
        <f>X23/SUM('NASS Data'!$F19,'NASS Data'!$G19,'NASS Data'!$H19)</f>
        <v>6.4797441800972111</v>
      </c>
      <c r="Y39" s="112">
        <f>Y23/SUM('NASS Data'!$F31,'NASS Data'!$G31,'NASS Data'!$H31)</f>
        <v>6.755599029976973</v>
      </c>
      <c r="Z39" s="112">
        <f>Z23/SUM('NASS Data'!$F43,'NASS Data'!$G43,'NASS Data'!$H43)</f>
        <v>6.309012012488755</v>
      </c>
      <c r="AA39" s="112">
        <f>AA23/SUM('NASS Data'!$F55,'NASS Data'!$G55,'NASS Data'!$H55)</f>
        <v>5.9523605874739758</v>
      </c>
      <c r="AB39" s="112">
        <f>AB23/SUM('NASS Data'!$F67,'NASS Data'!$G67,'NASS Data'!$H67)</f>
        <v>5.9023221566494124</v>
      </c>
      <c r="AC39" s="112">
        <f>AC23/SUM('NASS Data'!$F79,'NASS Data'!$G79,'NASS Data'!$H79)</f>
        <v>5.5574492576583356</v>
      </c>
      <c r="AD39" s="112">
        <f>AD23/SUM('NASS Data'!$F91,'NASS Data'!$G91,'NASS Data'!$H91)</f>
        <v>5.5789572151869136</v>
      </c>
      <c r="AE39" s="112">
        <f>AE23/SUM('NASS Data'!$F103,'NASS Data'!$G103,'NASS Data'!$H103)</f>
        <v>5.7412732235203983</v>
      </c>
      <c r="AF39" s="112">
        <f>AF23/SUM('NASS Data'!$F115,'NASS Data'!$G115,'NASS Data'!$H115)</f>
        <v>5.6985443805085847</v>
      </c>
      <c r="AG39" s="208">
        <f t="shared" si="15"/>
        <v>5.6729249397386328</v>
      </c>
      <c r="AH39" s="208">
        <f t="shared" si="15"/>
        <v>5.6501421784780446</v>
      </c>
      <c r="AI39" s="208">
        <f t="shared" si="12"/>
        <v>5.6738704995750879</v>
      </c>
      <c r="AJ39" s="208">
        <f t="shared" si="12"/>
        <v>5.6817799399407685</v>
      </c>
      <c r="AK39" s="208">
        <f t="shared" si="12"/>
        <v>5.6761917930848291</v>
      </c>
      <c r="AL39" s="208">
        <f t="shared" si="12"/>
        <v>5.674329077466183</v>
      </c>
      <c r="AM39" s="208">
        <f t="shared" si="12"/>
        <v>5.6747971233753667</v>
      </c>
      <c r="AN39" s="208">
        <f t="shared" si="13"/>
        <v>5.6751059979754599</v>
      </c>
      <c r="AO39" s="208">
        <f t="shared" si="14"/>
        <v>5.6753649714785519</v>
      </c>
      <c r="AP39" s="208">
        <f t="shared" si="14"/>
        <v>5.6750893642764595</v>
      </c>
      <c r="AQ39" s="208">
        <f t="shared" si="14"/>
        <v>5.6749974952090954</v>
      </c>
      <c r="AR39" s="208">
        <f t="shared" si="14"/>
        <v>5.675064285820338</v>
      </c>
      <c r="AS39" s="208">
        <f t="shared" si="14"/>
        <v>5.6750865493574194</v>
      </c>
      <c r="AT39" s="208">
        <f t="shared" si="14"/>
        <v>5.6750800664847389</v>
      </c>
      <c r="AU39" s="208">
        <f t="shared" si="14"/>
        <v>5.6750769672208321</v>
      </c>
      <c r="AV39" s="208">
        <f t="shared" si="14"/>
        <v>5.6750737731753027</v>
      </c>
      <c r="AW39" s="208">
        <f t="shared" si="14"/>
        <v>5.6750769356269579</v>
      </c>
      <c r="AX39" s="208">
        <f t="shared" si="14"/>
        <v>5.6750779897775097</v>
      </c>
      <c r="AY39" s="208">
        <f t="shared" si="14"/>
        <v>5.6750772975417663</v>
      </c>
    </row>
    <row r="40" spans="1:51">
      <c r="A40" s="69" t="s">
        <v>33</v>
      </c>
      <c r="B40" s="207">
        <v>2.6</v>
      </c>
      <c r="C40" s="207">
        <v>2.6000000000000005</v>
      </c>
      <c r="D40" s="207">
        <v>2.6000000000000005</v>
      </c>
      <c r="E40" s="207">
        <v>2.6</v>
      </c>
      <c r="F40" s="207">
        <v>2.6000000000000005</v>
      </c>
      <c r="G40" s="207">
        <v>2.6</v>
      </c>
      <c r="H40" s="207">
        <v>2.6</v>
      </c>
      <c r="I40" s="207">
        <v>2.6</v>
      </c>
      <c r="J40" s="207">
        <v>2.6000000000000005</v>
      </c>
      <c r="K40" s="207">
        <v>2.6000000000000005</v>
      </c>
      <c r="L40" s="207">
        <v>2.6000000000000005</v>
      </c>
      <c r="M40" s="207">
        <v>2.6000000000000005</v>
      </c>
      <c r="N40" s="207">
        <v>2.6</v>
      </c>
      <c r="O40" s="207">
        <v>2.5</v>
      </c>
      <c r="P40" s="207">
        <v>2.5</v>
      </c>
      <c r="Q40" s="207">
        <v>2.6</v>
      </c>
      <c r="R40" s="207">
        <v>2.2000000000000002</v>
      </c>
      <c r="S40" s="207">
        <v>2.1</v>
      </c>
      <c r="T40" s="207">
        <v>2.2999999999999998</v>
      </c>
      <c r="U40" s="207">
        <v>2.5</v>
      </c>
      <c r="V40" s="207">
        <v>2.4</v>
      </c>
      <c r="W40" s="112">
        <f>W24/SUM('NASS Data'!$F8,'NASS Data'!$G8,'NASS Data'!$H8)</f>
        <v>6.6692440045032608</v>
      </c>
      <c r="X40" s="112">
        <f>X24/SUM('NASS Data'!$F20,'NASS Data'!$G20,'NASS Data'!$H20)</f>
        <v>6.5987730727470142</v>
      </c>
      <c r="Y40" s="112">
        <f>Y24/SUM('NASS Data'!$F32,'NASS Data'!$G32,'NASS Data'!$H32)</f>
        <v>6.3566601440358275</v>
      </c>
      <c r="Z40" s="112">
        <f>Z24/SUM('NASS Data'!$F44,'NASS Data'!$G44,'NASS Data'!$H44)</f>
        <v>6.2510924106793633</v>
      </c>
      <c r="AA40" s="112">
        <f>AA24/SUM('NASS Data'!$F56,'NASS Data'!$G56,'NASS Data'!$H56)</f>
        <v>6.1360850475829638</v>
      </c>
      <c r="AB40" s="112">
        <f>AB24/SUM('NASS Data'!$F68,'NASS Data'!$G68,'NASS Data'!$H68)</f>
        <v>5.1829978126274421</v>
      </c>
      <c r="AC40" s="112">
        <f>AC24/SUM('NASS Data'!$F80,'NASS Data'!$G80,'NASS Data'!$H80)</f>
        <v>5.6567473493782776</v>
      </c>
      <c r="AD40" s="112">
        <f>AD24/SUM('NASS Data'!$F92,'NASS Data'!$G92,'NASS Data'!$H92)</f>
        <v>5.8999130530621242</v>
      </c>
      <c r="AE40" s="112">
        <f>AE24/SUM('NASS Data'!$F104,'NASS Data'!$G104,'NASS Data'!$H104)</f>
        <v>5.8986257135229279</v>
      </c>
      <c r="AF40" s="112">
        <f>AF24/SUM('NASS Data'!$F116,'NASS Data'!$G116,'NASS Data'!$H116)</f>
        <v>5.6275625104559435</v>
      </c>
      <c r="AG40" s="208">
        <f t="shared" si="15"/>
        <v>5.7276451911190511</v>
      </c>
      <c r="AH40" s="208">
        <f t="shared" si="15"/>
        <v>5.7610060846734186</v>
      </c>
      <c r="AI40" s="208">
        <f t="shared" si="12"/>
        <v>5.7957589964384653</v>
      </c>
      <c r="AJ40" s="208">
        <f t="shared" si="12"/>
        <v>5.7614700907436456</v>
      </c>
      <c r="AK40" s="208">
        <f t="shared" si="12"/>
        <v>5.7500404555120381</v>
      </c>
      <c r="AL40" s="208">
        <f t="shared" si="12"/>
        <v>5.7575055436430347</v>
      </c>
      <c r="AM40" s="208">
        <f t="shared" si="12"/>
        <v>5.7599939063533663</v>
      </c>
      <c r="AN40" s="208">
        <f t="shared" si="13"/>
        <v>5.7596565135800155</v>
      </c>
      <c r="AO40" s="208">
        <f t="shared" si="14"/>
        <v>5.7590519878588049</v>
      </c>
      <c r="AP40" s="208">
        <f t="shared" si="14"/>
        <v>5.7587380150272844</v>
      </c>
      <c r="AQ40" s="208">
        <f t="shared" si="14"/>
        <v>5.7591488388220347</v>
      </c>
      <c r="AR40" s="208">
        <f t="shared" si="14"/>
        <v>5.7592857800869517</v>
      </c>
      <c r="AS40" s="208">
        <f t="shared" si="14"/>
        <v>5.7591622022559301</v>
      </c>
      <c r="AT40" s="208">
        <f t="shared" si="14"/>
        <v>5.7591210096455896</v>
      </c>
      <c r="AU40" s="208">
        <f t="shared" si="14"/>
        <v>5.7591440169078512</v>
      </c>
      <c r="AV40" s="208">
        <f t="shared" si="14"/>
        <v>5.7591516859952714</v>
      </c>
      <c r="AW40" s="208">
        <f t="shared" si="14"/>
        <v>5.7591526350530167</v>
      </c>
      <c r="AX40" s="208">
        <f t="shared" si="14"/>
        <v>5.7591494459853791</v>
      </c>
      <c r="AY40" s="208">
        <f t="shared" si="14"/>
        <v>5.7591483829628336</v>
      </c>
    </row>
    <row r="41" spans="1:51">
      <c r="A41" s="69" t="s">
        <v>14</v>
      </c>
      <c r="B41" s="207">
        <v>2.6000000000000005</v>
      </c>
      <c r="C41" s="207">
        <v>2.6000000000000005</v>
      </c>
      <c r="D41" s="207">
        <v>2.6000000000000005</v>
      </c>
      <c r="E41" s="207">
        <v>2.6</v>
      </c>
      <c r="F41" s="207">
        <v>2.6</v>
      </c>
      <c r="G41" s="207">
        <v>2.6</v>
      </c>
      <c r="H41" s="207">
        <v>2.6000000000000005</v>
      </c>
      <c r="I41" s="207">
        <v>2.6000000000000005</v>
      </c>
      <c r="J41" s="207">
        <v>2.6</v>
      </c>
      <c r="K41" s="207">
        <v>2.6000000000000005</v>
      </c>
      <c r="L41" s="207">
        <v>2.6</v>
      </c>
      <c r="M41" s="207">
        <v>2.6000000000000005</v>
      </c>
      <c r="N41" s="207">
        <v>2.6000000000000005</v>
      </c>
      <c r="O41" s="207">
        <v>2.5</v>
      </c>
      <c r="P41" s="207">
        <v>2.5</v>
      </c>
      <c r="Q41" s="207">
        <v>2.6</v>
      </c>
      <c r="R41" s="207">
        <v>2.2000000000000002</v>
      </c>
      <c r="S41" s="207">
        <v>2.1</v>
      </c>
      <c r="T41" s="207">
        <v>2.2999999999999998</v>
      </c>
      <c r="U41" s="207">
        <v>2.5</v>
      </c>
      <c r="V41" s="207">
        <v>2.4</v>
      </c>
      <c r="W41" s="112">
        <f>W25/SUM('NASS Data'!$F9,'NASS Data'!$G9,'NASS Data'!$H9)</f>
        <v>6.6483022751788772</v>
      </c>
      <c r="X41" s="112">
        <f>X25/SUM('NASS Data'!$F21,'NASS Data'!$G21,'NASS Data'!$H21)</f>
        <v>6.613012990236637</v>
      </c>
      <c r="Y41" s="112">
        <f>Y25/SUM('NASS Data'!$F33,'NASS Data'!$G33,'NASS Data'!$H33)</f>
        <v>6.5586282853566944</v>
      </c>
      <c r="Z41" s="112">
        <f>Z25/SUM('NASS Data'!$F45,'NASS Data'!$G45,'NASS Data'!$H45)</f>
        <v>6.2835678380929378</v>
      </c>
      <c r="AA41" s="112">
        <f>AA25/SUM('NASS Data'!$F57,'NASS Data'!$G57,'NASS Data'!$H57)</f>
        <v>6.0589784321460174</v>
      </c>
      <c r="AB41" s="112">
        <f>AB25/SUM('NASS Data'!$F69,'NASS Data'!$G69,'NASS Data'!$H69)</f>
        <v>5.4742188163369274</v>
      </c>
      <c r="AC41" s="112">
        <f>AC25/SUM('NASS Data'!$F81,'NASS Data'!$G81,'NASS Data'!$H81)</f>
        <v>5.75843295601479</v>
      </c>
      <c r="AD41" s="112">
        <f>AD25/SUM('NASS Data'!$F93,'NASS Data'!$G93,'NASS Data'!$H93)</f>
        <v>5.7805055738008235</v>
      </c>
      <c r="AE41" s="112">
        <f>AE25/SUM('NASS Data'!$F105,'NASS Data'!$G105,'NASS Data'!$H105)</f>
        <v>5.6071887978242492</v>
      </c>
      <c r="AF41" s="112">
        <f>AF25/SUM('NASS Data'!$F117,'NASS Data'!$G117,'NASS Data'!$H117)</f>
        <v>5.5843877432133286</v>
      </c>
      <c r="AG41" s="208">
        <f t="shared" si="15"/>
        <v>5.6500031656841214</v>
      </c>
      <c r="AH41" s="208">
        <f t="shared" si="15"/>
        <v>5.6718749731743872</v>
      </c>
      <c r="AI41" s="208">
        <f t="shared" si="12"/>
        <v>5.6430223122275862</v>
      </c>
      <c r="AJ41" s="208">
        <f t="shared" si="12"/>
        <v>5.633404758578652</v>
      </c>
      <c r="AK41" s="208">
        <f t="shared" si="12"/>
        <v>5.6421434121634535</v>
      </c>
      <c r="AL41" s="208">
        <f t="shared" si="12"/>
        <v>5.6450562966917204</v>
      </c>
      <c r="AM41" s="208">
        <f t="shared" si="12"/>
        <v>5.6434073403609197</v>
      </c>
      <c r="AN41" s="208">
        <f t="shared" si="13"/>
        <v>5.6428576882506531</v>
      </c>
      <c r="AO41" s="208">
        <f t="shared" si="14"/>
        <v>5.6428028135916755</v>
      </c>
      <c r="AP41" s="208">
        <f t="shared" si="14"/>
        <v>5.6430226140677497</v>
      </c>
      <c r="AQ41" s="208">
        <f t="shared" si="14"/>
        <v>5.6430958808931075</v>
      </c>
      <c r="AR41" s="208">
        <f t="shared" si="14"/>
        <v>5.6429920610705038</v>
      </c>
      <c r="AS41" s="208">
        <f t="shared" si="14"/>
        <v>5.6429574544629695</v>
      </c>
      <c r="AT41" s="208">
        <f t="shared" si="14"/>
        <v>5.6429907098670746</v>
      </c>
      <c r="AU41" s="208">
        <f t="shared" si="14"/>
        <v>5.6430017950017763</v>
      </c>
      <c r="AV41" s="208">
        <f t="shared" si="14"/>
        <v>5.6429948553131188</v>
      </c>
      <c r="AW41" s="208">
        <f t="shared" si="14"/>
        <v>5.642992542083566</v>
      </c>
      <c r="AX41" s="208">
        <f t="shared" si="14"/>
        <v>5.6429927024212532</v>
      </c>
      <c r="AY41" s="208">
        <f t="shared" si="14"/>
        <v>5.6429933666059791</v>
      </c>
    </row>
    <row r="42" spans="1:51">
      <c r="A42" s="69" t="s">
        <v>34</v>
      </c>
      <c r="B42" s="207">
        <v>2.6000000000000005</v>
      </c>
      <c r="C42" s="207">
        <v>2.6</v>
      </c>
      <c r="D42" s="207">
        <v>2.6</v>
      </c>
      <c r="E42" s="207">
        <v>2.6</v>
      </c>
      <c r="F42" s="207">
        <v>2.6</v>
      </c>
      <c r="G42" s="207">
        <v>2.6000000000000005</v>
      </c>
      <c r="H42" s="207">
        <v>2.6</v>
      </c>
      <c r="I42" s="207">
        <v>2.6</v>
      </c>
      <c r="J42" s="207">
        <v>2.6</v>
      </c>
      <c r="K42" s="207">
        <v>2.6</v>
      </c>
      <c r="L42" s="207">
        <v>2.6</v>
      </c>
      <c r="M42" s="207">
        <v>2.6000000000000005</v>
      </c>
      <c r="N42" s="207">
        <v>2.6</v>
      </c>
      <c r="O42" s="207">
        <v>2.5</v>
      </c>
      <c r="P42" s="207">
        <v>2.5</v>
      </c>
      <c r="Q42" s="207">
        <v>2.6</v>
      </c>
      <c r="R42" s="207">
        <v>2.2000000000000002</v>
      </c>
      <c r="S42" s="207">
        <v>2.1</v>
      </c>
      <c r="T42" s="207">
        <v>2.2999999999999998</v>
      </c>
      <c r="U42" s="207">
        <v>2.5</v>
      </c>
      <c r="V42" s="207">
        <v>2.4</v>
      </c>
      <c r="W42" s="112">
        <f>W26/SUM('NASS Data'!$F10,'NASS Data'!$G10,'NASS Data'!$H10)</f>
        <v>6.5623346907930644</v>
      </c>
      <c r="X42" s="112">
        <f>X26/SUM('NASS Data'!$F22,'NASS Data'!$G22,'NASS Data'!$H22)</f>
        <v>6.9504746494066865</v>
      </c>
      <c r="Y42" s="112">
        <f>Y26/SUM('NASS Data'!$F34,'NASS Data'!$G34,'NASS Data'!$H34)</f>
        <v>6.6221902106888573</v>
      </c>
      <c r="Z42" s="112">
        <f>Z26/SUM('NASS Data'!$F46,'NASS Data'!$G46,'NASS Data'!$H46)</f>
        <v>6.0713409252362611</v>
      </c>
      <c r="AA42" s="112">
        <f>AA26/SUM('NASS Data'!$F58,'NASS Data'!$G58,'NASS Data'!$H58)</f>
        <v>5.9558629410655453</v>
      </c>
      <c r="AB42" s="112">
        <f>AB26/SUM('NASS Data'!$F70,'NASS Data'!$G70,'NASS Data'!$H70)</f>
        <v>5.9419136156869676</v>
      </c>
      <c r="AC42" s="112">
        <f>AC26/SUM('NASS Data'!$F82,'NASS Data'!$G82,'NASS Data'!$H82)</f>
        <v>5.6690688629604216</v>
      </c>
      <c r="AD42" s="112">
        <f>AD26/SUM('NASS Data'!$F94,'NASS Data'!$G94,'NASS Data'!$H94)</f>
        <v>5.900376777051509</v>
      </c>
      <c r="AE42" s="112">
        <f>AE26/SUM('NASS Data'!$F106,'NASS Data'!$G106,'NASS Data'!$H106)</f>
        <v>5.6639980866784994</v>
      </c>
      <c r="AF42" s="112">
        <f>AF26/SUM('NASS Data'!$F118,'NASS Data'!$G118,'NASS Data'!$H118)</f>
        <v>5.5537592474414428</v>
      </c>
      <c r="AG42" s="208">
        <f t="shared" si="15"/>
        <v>5.7444812422301439</v>
      </c>
      <c r="AH42" s="208">
        <f t="shared" si="15"/>
        <v>5.6925160639563543</v>
      </c>
      <c r="AI42" s="208">
        <f t="shared" si="12"/>
        <v>5.700331797621665</v>
      </c>
      <c r="AJ42" s="208">
        <f t="shared" si="12"/>
        <v>5.6856153160855056</v>
      </c>
      <c r="AK42" s="208">
        <f t="shared" si="12"/>
        <v>5.6928210592211741</v>
      </c>
      <c r="AL42" s="208">
        <f t="shared" si="12"/>
        <v>5.6952229735997308</v>
      </c>
      <c r="AM42" s="208">
        <f t="shared" si="12"/>
        <v>5.6935200322590864</v>
      </c>
      <c r="AN42" s="208">
        <f t="shared" si="13"/>
        <v>5.6938546883599974</v>
      </c>
      <c r="AO42" s="208">
        <f t="shared" si="14"/>
        <v>5.6933985932800866</v>
      </c>
      <c r="AP42" s="208">
        <f t="shared" si="14"/>
        <v>5.6935911046330574</v>
      </c>
      <c r="AQ42" s="208">
        <f t="shared" si="14"/>
        <v>5.6936552750840477</v>
      </c>
      <c r="AR42" s="208">
        <f t="shared" si="14"/>
        <v>5.6935888039920641</v>
      </c>
      <c r="AS42" s="208">
        <f t="shared" si="14"/>
        <v>5.6936117279030567</v>
      </c>
      <c r="AT42" s="208">
        <f t="shared" si="14"/>
        <v>5.6935972121760594</v>
      </c>
      <c r="AU42" s="208">
        <f t="shared" si="14"/>
        <v>5.6936000149040575</v>
      </c>
      <c r="AV42" s="208">
        <f t="shared" si="14"/>
        <v>5.6936029849943912</v>
      </c>
      <c r="AW42" s="208">
        <f t="shared" si="14"/>
        <v>5.6936000706915024</v>
      </c>
      <c r="AX42" s="208">
        <f t="shared" si="14"/>
        <v>5.6936010235299834</v>
      </c>
      <c r="AY42" s="208">
        <f t="shared" si="14"/>
        <v>5.6936003697085136</v>
      </c>
    </row>
    <row r="43" spans="1:51">
      <c r="A43" s="69" t="s">
        <v>35</v>
      </c>
      <c r="B43" s="207">
        <v>2.6</v>
      </c>
      <c r="C43" s="207">
        <v>2.6</v>
      </c>
      <c r="D43" s="207">
        <v>2.6</v>
      </c>
      <c r="E43" s="207">
        <v>2.6000000000000005</v>
      </c>
      <c r="F43" s="207">
        <v>2.6</v>
      </c>
      <c r="G43" s="207">
        <v>2.6</v>
      </c>
      <c r="H43" s="207">
        <v>2.6</v>
      </c>
      <c r="I43" s="207">
        <v>2.6000000000000005</v>
      </c>
      <c r="J43" s="207">
        <v>2.6000000000000005</v>
      </c>
      <c r="K43" s="207">
        <v>2.6</v>
      </c>
      <c r="L43" s="207">
        <v>2.6</v>
      </c>
      <c r="M43" s="207">
        <v>2.6</v>
      </c>
      <c r="N43" s="207">
        <v>2.6000000000000005</v>
      </c>
      <c r="O43" s="207">
        <v>2.5</v>
      </c>
      <c r="P43" s="207">
        <v>2.5</v>
      </c>
      <c r="Q43" s="207">
        <v>2.6</v>
      </c>
      <c r="R43" s="207">
        <v>2.2000000000000002</v>
      </c>
      <c r="S43" s="207">
        <v>2.1</v>
      </c>
      <c r="T43" s="207">
        <v>2.2999999999999998</v>
      </c>
      <c r="U43" s="207">
        <v>2.5</v>
      </c>
      <c r="V43" s="207">
        <v>2.4</v>
      </c>
      <c r="W43" s="112">
        <f>W27/SUM('NASS Data'!$F11,'NASS Data'!$G11,'NASS Data'!$H11)</f>
        <v>6.6851412307470985</v>
      </c>
      <c r="X43" s="112">
        <f>X27/SUM('NASS Data'!$F23,'NASS Data'!$G23,'NASS Data'!$H23)</f>
        <v>6.8358438333299416</v>
      </c>
      <c r="Y43" s="112">
        <f>Y27/SUM('NASS Data'!$F35,'NASS Data'!$G35,'NASS Data'!$H35)</f>
        <v>6.4033201041266592</v>
      </c>
      <c r="Z43" s="112">
        <f>Z27/SUM('NASS Data'!$F47,'NASS Data'!$G47,'NASS Data'!$H47)</f>
        <v>6.1866189730347552</v>
      </c>
      <c r="AA43" s="112">
        <f>AA27/SUM('NASS Data'!$F59,'NASS Data'!$G59,'NASS Data'!$H59)</f>
        <v>5.8088100818784749</v>
      </c>
      <c r="AB43" s="112">
        <f>AB27/SUM('NASS Data'!$F71,'NASS Data'!$G71,'NASS Data'!$H71)</f>
        <v>6.0193684655190625</v>
      </c>
      <c r="AC43" s="112">
        <f>AC27/SUM('NASS Data'!$F83,'NASS Data'!$G83,'NASS Data'!$H83)</f>
        <v>5.9057695619725594</v>
      </c>
      <c r="AD43" s="112">
        <f>AD27/SUM('NASS Data'!$F95,'NASS Data'!$G95,'NASS Data'!$H95)</f>
        <v>5.956656720745098</v>
      </c>
      <c r="AE43" s="112">
        <f>AE27/SUM('NASS Data'!$F107,'NASS Data'!$G107,'NASS Data'!$H107)</f>
        <v>6.1406225176893274</v>
      </c>
      <c r="AF43" s="112">
        <f>AF27/SUM('NASS Data'!$F119,'NASS Data'!$G119,'NASS Data'!$H119)</f>
        <v>5.8318384352757358</v>
      </c>
      <c r="AG43" s="208">
        <f t="shared" si="15"/>
        <v>5.9605982494122403</v>
      </c>
      <c r="AH43" s="208">
        <f t="shared" si="15"/>
        <v>5.9410081773766317</v>
      </c>
      <c r="AI43" s="208">
        <f t="shared" si="12"/>
        <v>5.9527543825113227</v>
      </c>
      <c r="AJ43" s="208">
        <f t="shared" si="12"/>
        <v>5.9514536031000658</v>
      </c>
      <c r="AK43" s="208">
        <f t="shared" si="12"/>
        <v>5.9484053876626746</v>
      </c>
      <c r="AL43" s="208">
        <f t="shared" si="12"/>
        <v>5.9508711244246895</v>
      </c>
      <c r="AM43" s="208">
        <f t="shared" si="12"/>
        <v>5.9502433717291439</v>
      </c>
      <c r="AN43" s="208">
        <f t="shared" si="13"/>
        <v>5.9508560330846336</v>
      </c>
      <c r="AO43" s="208">
        <f t="shared" si="14"/>
        <v>5.9506568430794893</v>
      </c>
      <c r="AP43" s="208">
        <f t="shared" si="14"/>
        <v>5.9505854159644223</v>
      </c>
      <c r="AQ43" s="208">
        <f t="shared" si="14"/>
        <v>5.9506994307095153</v>
      </c>
      <c r="AR43" s="208">
        <f t="shared" si="14"/>
        <v>5.9506472299178093</v>
      </c>
      <c r="AS43" s="208">
        <f t="shared" si="14"/>
        <v>5.9506678345689386</v>
      </c>
      <c r="AT43" s="208">
        <f t="shared" si="14"/>
        <v>5.950657302522079</v>
      </c>
      <c r="AU43" s="208">
        <f t="shared" si="14"/>
        <v>5.9506574556696092</v>
      </c>
      <c r="AV43" s="208">
        <f t="shared" si="14"/>
        <v>5.9506608642535426</v>
      </c>
      <c r="AW43" s="208">
        <f t="shared" si="14"/>
        <v>5.9506585408150769</v>
      </c>
      <c r="AX43" s="208">
        <f t="shared" si="14"/>
        <v>5.9506589535794099</v>
      </c>
      <c r="AY43" s="208">
        <f t="shared" si="14"/>
        <v>5.950658316688032</v>
      </c>
    </row>
    <row r="44" spans="1:51">
      <c r="A44" s="69" t="s">
        <v>36</v>
      </c>
      <c r="B44" s="207">
        <v>2.6</v>
      </c>
      <c r="C44" s="207">
        <v>2.6000000000000005</v>
      </c>
      <c r="D44" s="207">
        <v>2.6000000000000005</v>
      </c>
      <c r="E44" s="207">
        <v>2.6000000000000005</v>
      </c>
      <c r="F44" s="207">
        <v>2.6</v>
      </c>
      <c r="G44" s="207">
        <v>2.6</v>
      </c>
      <c r="H44" s="207">
        <v>2.6000000000000005</v>
      </c>
      <c r="I44" s="207">
        <v>2.6000000000000005</v>
      </c>
      <c r="J44" s="207">
        <v>2.6</v>
      </c>
      <c r="K44" s="207">
        <v>2.6</v>
      </c>
      <c r="L44" s="207">
        <v>2.6</v>
      </c>
      <c r="M44" s="207">
        <v>2.6000000000000005</v>
      </c>
      <c r="N44" s="207">
        <v>2.6</v>
      </c>
      <c r="O44" s="207">
        <v>2.5</v>
      </c>
      <c r="P44" s="207">
        <v>2.5</v>
      </c>
      <c r="Q44" s="207">
        <v>2.6</v>
      </c>
      <c r="R44" s="207">
        <v>2.2000000000000002</v>
      </c>
      <c r="S44" s="207">
        <v>2.1</v>
      </c>
      <c r="T44" s="207">
        <v>2.2999999999999998</v>
      </c>
      <c r="U44" s="207">
        <v>2.5</v>
      </c>
      <c r="V44" s="207">
        <v>2.4</v>
      </c>
      <c r="W44" s="112">
        <f>W28/SUM('NASS Data'!$F12,'NASS Data'!$G12,'NASS Data'!$H12)</f>
        <v>6.5820514417388045</v>
      </c>
      <c r="X44" s="112">
        <f>X28/SUM('NASS Data'!$F24,'NASS Data'!$G24,'NASS Data'!$H24)</f>
        <v>6.6990179506590186</v>
      </c>
      <c r="Y44" s="112">
        <f>Y28/SUM('NASS Data'!$F36,'NASS Data'!$G36,'NASS Data'!$H36)</f>
        <v>6.459134615384615</v>
      </c>
      <c r="Z44" s="112">
        <f>Z28/SUM('NASS Data'!$F48,'NASS Data'!$G48,'NASS Data'!$H48)</f>
        <v>6.1623805791513977</v>
      </c>
      <c r="AA44" s="112">
        <f>AA28/SUM('NASS Data'!$F60,'NASS Data'!$G60,'NASS Data'!$H60)</f>
        <v>6.0565947139854241</v>
      </c>
      <c r="AB44" s="112">
        <f>AB28/SUM('NASS Data'!$F72,'NASS Data'!$G72,'NASS Data'!$H72)</f>
        <v>5.8591518699335721</v>
      </c>
      <c r="AC44" s="112">
        <f>AC28/SUM('NASS Data'!$F84,'NASS Data'!$G84,'NASS Data'!$H84)</f>
        <v>5.3501270676356496</v>
      </c>
      <c r="AD44" s="112">
        <f>AD28/SUM('NASS Data'!$F96,'NASS Data'!$G96,'NASS Data'!$H96)</f>
        <v>5.7319559300743217</v>
      </c>
      <c r="AE44" s="112">
        <f>AE28/SUM('NASS Data'!$F108,'NASS Data'!$G108,'NASS Data'!$H108)</f>
        <v>5.955196375782239</v>
      </c>
      <c r="AF44" s="112">
        <f>AF28/SUM('NASS Data'!$F120,'NASS Data'!$G120,'NASS Data'!$H120)</f>
        <v>5.5256000824147522</v>
      </c>
      <c r="AG44" s="208">
        <f t="shared" si="15"/>
        <v>5.705569294140882</v>
      </c>
      <c r="AH44" s="208">
        <f t="shared" si="15"/>
        <v>5.6543751022099853</v>
      </c>
      <c r="AI44" s="208">
        <f t="shared" si="12"/>
        <v>5.6973001088083963</v>
      </c>
      <c r="AJ44" s="208">
        <f t="shared" si="12"/>
        <v>5.6857481683864215</v>
      </c>
      <c r="AK44" s="208">
        <f t="shared" si="12"/>
        <v>5.6791411264682674</v>
      </c>
      <c r="AL44" s="208">
        <f t="shared" si="12"/>
        <v>5.6873964678876945</v>
      </c>
      <c r="AM44" s="208">
        <f t="shared" si="12"/>
        <v>5.6840952542474605</v>
      </c>
      <c r="AN44" s="208">
        <f t="shared" si="13"/>
        <v>5.6857466301738588</v>
      </c>
      <c r="AO44" s="208">
        <f t="shared" si="14"/>
        <v>5.685196684269247</v>
      </c>
      <c r="AP44" s="208">
        <f t="shared" si="14"/>
        <v>5.6850128562301885</v>
      </c>
      <c r="AQ44" s="208">
        <f t="shared" si="14"/>
        <v>5.6853187235577645</v>
      </c>
      <c r="AR44" s="208">
        <f t="shared" si="14"/>
        <v>5.685176088019066</v>
      </c>
      <c r="AS44" s="208">
        <f t="shared" si="14"/>
        <v>5.6852304986153586</v>
      </c>
      <c r="AT44" s="208">
        <f t="shared" si="14"/>
        <v>5.6852010903012236</v>
      </c>
      <c r="AU44" s="208">
        <f t="shared" si="14"/>
        <v>5.68520255897855</v>
      </c>
      <c r="AV44" s="208">
        <f t="shared" si="14"/>
        <v>5.6852113826317101</v>
      </c>
      <c r="AW44" s="208">
        <f t="shared" si="14"/>
        <v>5.6852050106371612</v>
      </c>
      <c r="AX44" s="208">
        <f t="shared" si="14"/>
        <v>5.6852063174158074</v>
      </c>
      <c r="AY44" s="208">
        <f t="shared" si="14"/>
        <v>5.6852046290105065</v>
      </c>
    </row>
    <row r="45" spans="1:51" ht="12" thickBot="1">
      <c r="A45" s="69" t="s">
        <v>338</v>
      </c>
      <c r="B45" s="209">
        <v>0.43123287671232879</v>
      </c>
      <c r="C45" s="209">
        <v>0.4</v>
      </c>
      <c r="D45" s="209">
        <v>0.38043478260869568</v>
      </c>
      <c r="E45" s="210">
        <f>AVERAGE(E33:E44)</f>
        <v>2.600000000000001</v>
      </c>
      <c r="F45" s="210">
        <f t="shared" ref="F45:AF45" si="16">AVERAGE(F33:F44)</f>
        <v>2.600000000000001</v>
      </c>
      <c r="G45" s="210">
        <f t="shared" si="16"/>
        <v>2.600000000000001</v>
      </c>
      <c r="H45" s="210">
        <f t="shared" si="16"/>
        <v>2.600000000000001</v>
      </c>
      <c r="I45" s="210">
        <f t="shared" si="16"/>
        <v>2.6000000000000005</v>
      </c>
      <c r="J45" s="210">
        <f t="shared" si="16"/>
        <v>2.600000000000001</v>
      </c>
      <c r="K45" s="210">
        <f t="shared" si="16"/>
        <v>2.600000000000001</v>
      </c>
      <c r="L45" s="210">
        <f t="shared" si="16"/>
        <v>2.600000000000001</v>
      </c>
      <c r="M45" s="210">
        <f t="shared" si="16"/>
        <v>2.600000000000001</v>
      </c>
      <c r="N45" s="210">
        <f t="shared" si="16"/>
        <v>2.600000000000001</v>
      </c>
      <c r="O45" s="210">
        <f t="shared" si="16"/>
        <v>2.5</v>
      </c>
      <c r="P45" s="210">
        <f t="shared" si="16"/>
        <v>2.5</v>
      </c>
      <c r="Q45" s="210">
        <f t="shared" si="16"/>
        <v>2.6000000000000005</v>
      </c>
      <c r="R45" s="210">
        <f t="shared" si="16"/>
        <v>2.1999999999999997</v>
      </c>
      <c r="S45" s="210">
        <f t="shared" si="16"/>
        <v>2.1000000000000005</v>
      </c>
      <c r="T45" s="210">
        <f t="shared" si="16"/>
        <v>2.3000000000000003</v>
      </c>
      <c r="U45" s="210">
        <f t="shared" si="16"/>
        <v>2.5</v>
      </c>
      <c r="V45" s="210">
        <f t="shared" si="16"/>
        <v>2.3416666666666663</v>
      </c>
      <c r="W45" s="112">
        <f t="shared" si="16"/>
        <v>5.1219697620035438</v>
      </c>
      <c r="X45" s="112">
        <f t="shared" si="16"/>
        <v>6.6359383566446768</v>
      </c>
      <c r="Y45" s="112">
        <f t="shared" si="16"/>
        <v>6.5782322392089574</v>
      </c>
      <c r="Z45" s="112">
        <f t="shared" si="16"/>
        <v>6.3272333753658527</v>
      </c>
      <c r="AA45" s="112">
        <f t="shared" si="16"/>
        <v>6.0084292124119125</v>
      </c>
      <c r="AB45" s="112">
        <f t="shared" si="16"/>
        <v>5.8265788670328122</v>
      </c>
      <c r="AC45" s="112">
        <f t="shared" si="16"/>
        <v>5.7406563106857185</v>
      </c>
      <c r="AD45" s="112">
        <f t="shared" si="16"/>
        <v>5.7873247415083151</v>
      </c>
      <c r="AE45" s="112">
        <f t="shared" si="16"/>
        <v>5.7983805861431739</v>
      </c>
      <c r="AF45" s="112">
        <f t="shared" si="16"/>
        <v>5.6885948492947476</v>
      </c>
      <c r="AG45" s="208">
        <f>AVERAGE(AG33:AG44)</f>
        <v>5.6966823250763161</v>
      </c>
      <c r="AH45" s="208">
        <f>AVERAGE(AH33:AH44)</f>
        <v>5.7497597371447986</v>
      </c>
      <c r="AI45" s="208">
        <f t="shared" ref="AI45:AY45" si="17">AVERAGE(AI33:AI44)</f>
        <v>5.7479443322420591</v>
      </c>
      <c r="AJ45" s="208">
        <f t="shared" si="17"/>
        <v>5.7401722567015474</v>
      </c>
      <c r="AK45" s="208">
        <f t="shared" si="17"/>
        <v>5.7396027303873085</v>
      </c>
      <c r="AL45" s="208">
        <f t="shared" si="17"/>
        <v>5.7413303666425533</v>
      </c>
      <c r="AM45" s="208">
        <f t="shared" si="17"/>
        <v>5.742101413521481</v>
      </c>
      <c r="AN45" s="208">
        <f t="shared" si="17"/>
        <v>5.7418242065127396</v>
      </c>
      <c r="AO45" s="208">
        <f t="shared" si="17"/>
        <v>5.7415983344800772</v>
      </c>
      <c r="AP45" s="208">
        <f t="shared" si="17"/>
        <v>5.7415772684873509</v>
      </c>
      <c r="AQ45" s="208">
        <f t="shared" si="17"/>
        <v>5.7416513497867747</v>
      </c>
      <c r="AR45" s="208">
        <f t="shared" si="17"/>
        <v>5.7416863524337041</v>
      </c>
      <c r="AS45" s="208">
        <f t="shared" si="17"/>
        <v>5.7416605834292307</v>
      </c>
      <c r="AT45" s="208">
        <f t="shared" si="17"/>
        <v>5.741647976057572</v>
      </c>
      <c r="AU45" s="208">
        <f t="shared" si="17"/>
        <v>5.7416547036004779</v>
      </c>
      <c r="AV45" s="208">
        <f t="shared" si="17"/>
        <v>5.7416552848315332</v>
      </c>
      <c r="AW45" s="208">
        <f t="shared" si="17"/>
        <v>5.741655366640412</v>
      </c>
      <c r="AX45" s="208">
        <f t="shared" si="17"/>
        <v>5.741654286207158</v>
      </c>
      <c r="AY45" s="208">
        <f t="shared" si="17"/>
        <v>5.7416536595286258</v>
      </c>
    </row>
    <row r="46" spans="1:5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/>
      <c r="AW46" s="199"/>
      <c r="AX46" s="199"/>
      <c r="AY46" s="199"/>
    </row>
    <row r="47" spans="1:51" ht="12" thickBot="1">
      <c r="A47" s="69" t="s">
        <v>360</v>
      </c>
      <c r="J47" s="211"/>
    </row>
    <row r="48" spans="1:51" ht="12.75" thickBot="1">
      <c r="A48" s="212" t="s">
        <v>340</v>
      </c>
      <c r="B48" s="203" t="str">
        <f>B$2</f>
        <v xml:space="preserve">93/94 </v>
      </c>
      <c r="C48" s="203" t="str">
        <f t="shared" ref="C48:AY48" si="18">C$2</f>
        <v xml:space="preserve">94/95 </v>
      </c>
      <c r="D48" s="203" t="str">
        <f t="shared" si="18"/>
        <v xml:space="preserve">95/96 </v>
      </c>
      <c r="E48" s="203" t="str">
        <f t="shared" si="18"/>
        <v xml:space="preserve">96/97 </v>
      </c>
      <c r="F48" s="203" t="str">
        <f t="shared" si="18"/>
        <v xml:space="preserve">97/98 </v>
      </c>
      <c r="G48" s="203" t="str">
        <f t="shared" si="18"/>
        <v xml:space="preserve">98/99 </v>
      </c>
      <c r="H48" s="203" t="str">
        <f t="shared" si="18"/>
        <v xml:space="preserve">99/00 </v>
      </c>
      <c r="I48" s="203" t="str">
        <f t="shared" si="18"/>
        <v xml:space="preserve">00/01 </v>
      </c>
      <c r="J48" s="203" t="str">
        <f t="shared" si="18"/>
        <v xml:space="preserve">01/02 </v>
      </c>
      <c r="K48" s="203" t="str">
        <f t="shared" si="18"/>
        <v xml:space="preserve">02/03 </v>
      </c>
      <c r="L48" s="203" t="str">
        <f t="shared" si="18"/>
        <v xml:space="preserve">03/04 </v>
      </c>
      <c r="M48" s="203" t="str">
        <f t="shared" si="18"/>
        <v xml:space="preserve">04/05 </v>
      </c>
      <c r="N48" s="203" t="str">
        <f t="shared" si="18"/>
        <v xml:space="preserve">05/06 </v>
      </c>
      <c r="O48" s="203" t="str">
        <f t="shared" si="18"/>
        <v xml:space="preserve">06/07 </v>
      </c>
      <c r="P48" s="203" t="str">
        <f t="shared" si="18"/>
        <v xml:space="preserve">07/08 </v>
      </c>
      <c r="Q48" s="203" t="str">
        <f t="shared" si="18"/>
        <v xml:space="preserve">08/09 </v>
      </c>
      <c r="R48" s="203" t="str">
        <f t="shared" si="18"/>
        <v xml:space="preserve">09/10 </v>
      </c>
      <c r="S48" s="203" t="str">
        <f t="shared" si="18"/>
        <v xml:space="preserve">10/11 </v>
      </c>
      <c r="T48" s="203" t="str">
        <f t="shared" si="18"/>
        <v xml:space="preserve">11/12 </v>
      </c>
      <c r="U48" s="203" t="str">
        <f t="shared" si="18"/>
        <v xml:space="preserve">12/13 </v>
      </c>
      <c r="V48" s="203" t="str">
        <f t="shared" si="18"/>
        <v xml:space="preserve">13/14 </v>
      </c>
      <c r="W48" s="203" t="str">
        <f t="shared" si="18"/>
        <v xml:space="preserve">14/15 </v>
      </c>
      <c r="X48" s="203" t="str">
        <f t="shared" si="18"/>
        <v xml:space="preserve">15/16 </v>
      </c>
      <c r="Y48" s="203" t="str">
        <f t="shared" si="18"/>
        <v xml:space="preserve">16/17 </v>
      </c>
      <c r="Z48" s="203" t="str">
        <f t="shared" si="18"/>
        <v xml:space="preserve">17/18 </v>
      </c>
      <c r="AA48" s="203" t="str">
        <f t="shared" si="18"/>
        <v xml:space="preserve">18/19 </v>
      </c>
      <c r="AB48" s="203" t="str">
        <f t="shared" si="18"/>
        <v xml:space="preserve">19/20 </v>
      </c>
      <c r="AC48" s="203" t="str">
        <f t="shared" si="18"/>
        <v xml:space="preserve">20/21 </v>
      </c>
      <c r="AD48" s="203" t="str">
        <f t="shared" si="18"/>
        <v>21/22</v>
      </c>
      <c r="AE48" s="203" t="str">
        <f t="shared" si="18"/>
        <v>22/23</v>
      </c>
      <c r="AF48" s="203" t="str">
        <f t="shared" si="18"/>
        <v>23/24</v>
      </c>
      <c r="AG48" s="203" t="str">
        <f t="shared" si="18"/>
        <v>24/25</v>
      </c>
      <c r="AH48" s="203" t="str">
        <f t="shared" si="18"/>
        <v>25/26</v>
      </c>
      <c r="AI48" s="203" t="str">
        <f t="shared" si="18"/>
        <v>26/27</v>
      </c>
      <c r="AJ48" s="203" t="str">
        <f t="shared" si="18"/>
        <v>27/28</v>
      </c>
      <c r="AK48" s="203" t="str">
        <f t="shared" si="18"/>
        <v>28/29</v>
      </c>
      <c r="AL48" s="203" t="str">
        <f t="shared" si="18"/>
        <v>29/30</v>
      </c>
      <c r="AM48" s="203" t="str">
        <f t="shared" si="18"/>
        <v>30/31</v>
      </c>
      <c r="AN48" s="203" t="str">
        <f t="shared" si="18"/>
        <v>31/32</v>
      </c>
      <c r="AO48" s="203" t="str">
        <f t="shared" si="18"/>
        <v>32/33</v>
      </c>
      <c r="AP48" s="203" t="str">
        <f t="shared" si="18"/>
        <v>33/34</v>
      </c>
      <c r="AQ48" s="203" t="str">
        <f t="shared" si="18"/>
        <v>34/35</v>
      </c>
      <c r="AR48" s="203" t="str">
        <f t="shared" si="18"/>
        <v>35/36</v>
      </c>
      <c r="AS48" s="203" t="str">
        <f t="shared" si="18"/>
        <v>36/37</v>
      </c>
      <c r="AT48" s="203" t="str">
        <f t="shared" si="18"/>
        <v>37/38</v>
      </c>
      <c r="AU48" s="203" t="str">
        <f t="shared" si="18"/>
        <v>38/39</v>
      </c>
      <c r="AV48" s="203" t="str">
        <f t="shared" si="18"/>
        <v>39/40</v>
      </c>
      <c r="AW48" s="203" t="str">
        <f t="shared" si="18"/>
        <v>40/41</v>
      </c>
      <c r="AX48" s="203" t="str">
        <f t="shared" si="18"/>
        <v>41/42</v>
      </c>
      <c r="AY48" s="203" t="str">
        <f t="shared" si="18"/>
        <v>42/43</v>
      </c>
    </row>
    <row r="49" spans="1:51">
      <c r="A49" s="69" t="s">
        <v>37</v>
      </c>
      <c r="B49" s="210">
        <v>0.28399999815737675</v>
      </c>
      <c r="C49" s="210">
        <v>0.68899999552969227</v>
      </c>
      <c r="D49" s="210">
        <v>0.9019999941477248</v>
      </c>
      <c r="E49" s="210">
        <v>1.3079999915135518</v>
      </c>
      <c r="F49" s="210">
        <v>1.3129999914811117</v>
      </c>
      <c r="G49" s="210">
        <v>1.2339999919936722</v>
      </c>
      <c r="H49" s="210">
        <v>1.2249999920520653</v>
      </c>
      <c r="I49" s="210">
        <v>1.4349999906895623</v>
      </c>
      <c r="J49" s="210">
        <v>0.55199999641856334</v>
      </c>
      <c r="K49" s="210">
        <v>1.0589999931290917</v>
      </c>
      <c r="L49" s="210">
        <v>1.0649999930901628</v>
      </c>
      <c r="M49" s="210">
        <v>0.69499999549076363</v>
      </c>
      <c r="N49" s="210">
        <v>1.1939999922531965</v>
      </c>
      <c r="O49" s="210">
        <v>0.71199999538046577</v>
      </c>
      <c r="P49" s="210">
        <v>1.1989999922207559</v>
      </c>
      <c r="Q49" s="210">
        <v>0.83099999460838059</v>
      </c>
      <c r="R49" s="210">
        <v>0.52199999661320651</v>
      </c>
      <c r="S49" s="210">
        <v>0.45399999705439803</v>
      </c>
      <c r="T49" s="210">
        <v>0.65699999573731171</v>
      </c>
      <c r="U49" s="210">
        <v>0.98099999363516421</v>
      </c>
      <c r="V49" s="210">
        <v>0.9579999937843906</v>
      </c>
      <c r="W49" s="210">
        <v>0.95999999377141443</v>
      </c>
      <c r="X49" s="210">
        <v>1.0859999929539126</v>
      </c>
      <c r="Y49" s="210">
        <v>0.64599999580868084</v>
      </c>
      <c r="Z49" s="92">
        <v>1.105</v>
      </c>
      <c r="AA49" s="93">
        <v>1.212</v>
      </c>
      <c r="AB49" s="93">
        <v>1.3149999999999999</v>
      </c>
      <c r="AC49" s="93">
        <v>1.1819999999999999</v>
      </c>
      <c r="AD49" s="93">
        <v>0.84699999999999998</v>
      </c>
      <c r="AE49" s="93">
        <v>2.8340000000000001</v>
      </c>
      <c r="AF49" s="93">
        <v>1.794</v>
      </c>
      <c r="AG49" s="93">
        <v>1.577</v>
      </c>
      <c r="AH49" s="109">
        <f t="shared" ref="AG49:AM59" si="19">(SUM(AB49:AF49)/SUM(AB$61:AF$61))*AH$61</f>
        <v>1.5989409924184683</v>
      </c>
      <c r="AI49" s="109">
        <f t="shared" si="19"/>
        <v>1.5614658891575404</v>
      </c>
      <c r="AJ49" s="109">
        <f t="shared" si="19"/>
        <v>1.5620351180279812</v>
      </c>
      <c r="AK49" s="109">
        <f t="shared" si="19"/>
        <v>1.7856386515488545</v>
      </c>
      <c r="AL49" s="109">
        <f t="shared" si="19"/>
        <v>1.590348391582793</v>
      </c>
      <c r="AM49" s="109">
        <f t="shared" si="19"/>
        <v>1.6170161302305686</v>
      </c>
      <c r="AN49" s="109">
        <f t="shared" ref="AN49:AN59" si="20">(SUM(AH49:AL49)/SUM(AH$61:AL$61))*AN$61</f>
        <v>1.6196858085471275</v>
      </c>
      <c r="AO49" s="109">
        <f t="shared" ref="AO49:AY59" si="21">(SUM(AI49:AM49)/SUM(AI$61:AM$61))*AO$61</f>
        <v>1.6233008361095473</v>
      </c>
      <c r="AP49" s="109">
        <f t="shared" si="21"/>
        <v>1.634944819987465</v>
      </c>
      <c r="AQ49" s="109">
        <f t="shared" si="21"/>
        <v>1.6471979636037781</v>
      </c>
      <c r="AR49" s="109">
        <f t="shared" si="21"/>
        <v>1.6170591972915003</v>
      </c>
      <c r="AS49" s="109">
        <f t="shared" si="21"/>
        <v>1.6284291116956975</v>
      </c>
      <c r="AT49" s="109">
        <f t="shared" si="21"/>
        <v>1.6284377251078839</v>
      </c>
      <c r="AU49" s="109">
        <f t="shared" si="21"/>
        <v>1.6301863857375973</v>
      </c>
      <c r="AV49" s="109">
        <f t="shared" si="21"/>
        <v>1.631213763537265</v>
      </c>
      <c r="AW49" s="109">
        <f t="shared" si="21"/>
        <v>1.6302620766872913</v>
      </c>
      <c r="AX49" s="109">
        <f t="shared" si="21"/>
        <v>1.6270652366739888</v>
      </c>
      <c r="AY49" s="109">
        <f t="shared" si="21"/>
        <v>1.6297058125531472</v>
      </c>
    </row>
    <row r="50" spans="1:51">
      <c r="A50" s="69" t="s">
        <v>38</v>
      </c>
      <c r="B50" s="210">
        <v>0.17099999889053319</v>
      </c>
      <c r="C50" s="210">
        <v>0.54399999647046815</v>
      </c>
      <c r="D50" s="210">
        <v>0.85299999446564223</v>
      </c>
      <c r="E50" s="210">
        <v>1.599999989619024</v>
      </c>
      <c r="F50" s="210">
        <v>1.3049999915330166</v>
      </c>
      <c r="G50" s="210">
        <v>0.6419999958346333</v>
      </c>
      <c r="H50" s="210">
        <v>1.6729999891453919</v>
      </c>
      <c r="I50" s="210">
        <v>1.2559999918509339</v>
      </c>
      <c r="J50" s="210">
        <v>0.77099999499766714</v>
      </c>
      <c r="K50" s="210">
        <v>1.3239999914097422</v>
      </c>
      <c r="L50" s="210">
        <v>1.1999999922142681</v>
      </c>
      <c r="M50" s="210">
        <v>0.60299999608766963</v>
      </c>
      <c r="N50" s="210">
        <v>1.1209999927268286</v>
      </c>
      <c r="O50" s="210">
        <v>1.4679999904754544</v>
      </c>
      <c r="P50" s="210">
        <v>0.93199999395308153</v>
      </c>
      <c r="Q50" s="210">
        <v>1.1039999928371267</v>
      </c>
      <c r="R50" s="210">
        <v>0.32499999789136425</v>
      </c>
      <c r="S50" s="210">
        <v>0.44399999711927912</v>
      </c>
      <c r="T50" s="210">
        <v>0.86199999440724917</v>
      </c>
      <c r="U50" s="210">
        <v>0.84299999453052321</v>
      </c>
      <c r="V50" s="210">
        <v>1.0749999930252816</v>
      </c>
      <c r="W50" s="210">
        <v>0.91699999405040311</v>
      </c>
      <c r="X50" s="210">
        <v>0.94799999384927169</v>
      </c>
      <c r="Y50" s="210">
        <v>0.94999999383629552</v>
      </c>
      <c r="Z50" s="92">
        <v>1.26</v>
      </c>
      <c r="AA50" s="93">
        <v>1.165</v>
      </c>
      <c r="AB50" s="93">
        <v>1.1779999999999999</v>
      </c>
      <c r="AC50" s="93">
        <v>1.2709999999999999</v>
      </c>
      <c r="AD50" s="93">
        <v>0.91300000000000003</v>
      </c>
      <c r="AE50" s="93">
        <v>2.4740000000000002</v>
      </c>
      <c r="AF50" s="93">
        <v>1.6120000000000001</v>
      </c>
      <c r="AG50" s="93">
        <v>1.847</v>
      </c>
      <c r="AH50" s="109">
        <f t="shared" si="19"/>
        <v>1.493842512736171</v>
      </c>
      <c r="AI50" s="109">
        <f t="shared" si="19"/>
        <v>1.5392784336035654</v>
      </c>
      <c r="AJ50" s="109">
        <f t="shared" si="19"/>
        <v>1.5058624137112211</v>
      </c>
      <c r="AK50" s="109">
        <f t="shared" si="19"/>
        <v>1.7095095086303205</v>
      </c>
      <c r="AL50" s="109">
        <f t="shared" si="19"/>
        <v>1.5715909217840007</v>
      </c>
      <c r="AM50" s="109">
        <f t="shared" si="19"/>
        <v>1.6190985737362555</v>
      </c>
      <c r="AN50" s="109">
        <f t="shared" si="20"/>
        <v>1.564016758093056</v>
      </c>
      <c r="AO50" s="109">
        <f t="shared" si="21"/>
        <v>1.5890679702930726</v>
      </c>
      <c r="AP50" s="109">
        <f t="shared" si="21"/>
        <v>1.5940156351909707</v>
      </c>
      <c r="AQ50" s="109">
        <f t="shared" si="21"/>
        <v>1.6106567465073409</v>
      </c>
      <c r="AR50" s="109">
        <f t="shared" si="21"/>
        <v>1.587557971819471</v>
      </c>
      <c r="AS50" s="109">
        <f t="shared" si="21"/>
        <v>1.595371136764139</v>
      </c>
      <c r="AT50" s="109">
        <f t="shared" si="21"/>
        <v>1.589063016380782</v>
      </c>
      <c r="AU50" s="109">
        <f t="shared" si="21"/>
        <v>1.5953338921149987</v>
      </c>
      <c r="AV50" s="109">
        <f t="shared" si="21"/>
        <v>1.5953329013325404</v>
      </c>
      <c r="AW50" s="109">
        <f t="shared" si="21"/>
        <v>1.5955965527173466</v>
      </c>
      <c r="AX50" s="109">
        <f t="shared" si="21"/>
        <v>1.592531783682386</v>
      </c>
      <c r="AY50" s="109">
        <f t="shared" si="21"/>
        <v>1.5941394998619616</v>
      </c>
    </row>
    <row r="51" spans="1:51">
      <c r="A51" s="69" t="s">
        <v>39</v>
      </c>
      <c r="B51" s="210">
        <v>0.15699999898136674</v>
      </c>
      <c r="C51" s="210">
        <v>0.44899999708683858</v>
      </c>
      <c r="D51" s="210">
        <v>0.58199999622392007</v>
      </c>
      <c r="E51" s="210">
        <v>0.75099999512742932</v>
      </c>
      <c r="F51" s="210">
        <v>1.3639999911502179</v>
      </c>
      <c r="G51" s="210">
        <v>0.59499999613957455</v>
      </c>
      <c r="H51" s="210">
        <v>0.9909999935702829</v>
      </c>
      <c r="I51" s="210">
        <v>1.1629999924543282</v>
      </c>
      <c r="J51" s="210">
        <v>0.88099999428397513</v>
      </c>
      <c r="K51" s="210">
        <v>1.0749999930252818</v>
      </c>
      <c r="L51" s="210">
        <v>0.48899999682731421</v>
      </c>
      <c r="M51" s="210">
        <v>0.80399999478355966</v>
      </c>
      <c r="N51" s="210">
        <v>0.87999999429046316</v>
      </c>
      <c r="O51" s="210">
        <v>0.69599999548427549</v>
      </c>
      <c r="P51" s="210">
        <v>0.5759999962628487</v>
      </c>
      <c r="Q51" s="210">
        <v>0.9069999941152842</v>
      </c>
      <c r="R51" s="210">
        <v>0.71899999533504899</v>
      </c>
      <c r="S51" s="210">
        <v>0.4369999971646959</v>
      </c>
      <c r="T51" s="210">
        <v>0.70499999542588243</v>
      </c>
      <c r="U51" s="210">
        <v>0.78899999488088124</v>
      </c>
      <c r="V51" s="210">
        <v>0.80799999475760709</v>
      </c>
      <c r="W51" s="210">
        <v>0.54299999647695629</v>
      </c>
      <c r="X51" s="210">
        <v>1.1439999925776021</v>
      </c>
      <c r="Y51" s="210">
        <v>0.79099999486790495</v>
      </c>
      <c r="Z51" s="92">
        <v>1.2689999999999999</v>
      </c>
      <c r="AA51" s="93">
        <v>1.026</v>
      </c>
      <c r="AB51" s="93">
        <v>1.075</v>
      </c>
      <c r="AC51" s="93">
        <v>1.319</v>
      </c>
      <c r="AD51" s="93">
        <v>0.85399999999999998</v>
      </c>
      <c r="AE51" s="93">
        <v>1.7649999999999999</v>
      </c>
      <c r="AF51" s="93">
        <v>1.6</v>
      </c>
      <c r="AG51" s="93">
        <v>1.766</v>
      </c>
      <c r="AH51" s="109">
        <f t="shared" si="19"/>
        <v>1.326366881944723</v>
      </c>
      <c r="AI51" s="109">
        <f t="shared" si="19"/>
        <v>1.3851040629592757</v>
      </c>
      <c r="AJ51" s="109">
        <f t="shared" si="19"/>
        <v>1.3201583319540868</v>
      </c>
      <c r="AK51" s="109">
        <f t="shared" si="19"/>
        <v>1.4952707789362898</v>
      </c>
      <c r="AL51" s="109">
        <f t="shared" si="19"/>
        <v>1.4536223058808209</v>
      </c>
      <c r="AM51" s="109">
        <f t="shared" si="19"/>
        <v>1.4585800111588751</v>
      </c>
      <c r="AN51" s="109">
        <f t="shared" si="20"/>
        <v>1.3961044723350391</v>
      </c>
      <c r="AO51" s="109">
        <f t="shared" si="21"/>
        <v>1.4225470981778698</v>
      </c>
      <c r="AP51" s="109">
        <f t="shared" si="21"/>
        <v>1.4247471800530223</v>
      </c>
      <c r="AQ51" s="109">
        <f t="shared" si="21"/>
        <v>1.4452249332977791</v>
      </c>
      <c r="AR51" s="109">
        <f t="shared" si="21"/>
        <v>1.4311202135211254</v>
      </c>
      <c r="AS51" s="109">
        <f t="shared" si="21"/>
        <v>1.4294407390045172</v>
      </c>
      <c r="AT51" s="109">
        <f t="shared" si="21"/>
        <v>1.423948779476967</v>
      </c>
      <c r="AU51" s="109">
        <f t="shared" si="21"/>
        <v>1.4306160328108628</v>
      </c>
      <c r="AV51" s="109">
        <f t="shared" si="21"/>
        <v>1.430896369070682</v>
      </c>
      <c r="AW51" s="109">
        <f t="shared" si="21"/>
        <v>1.4320701396222504</v>
      </c>
      <c r="AX51" s="109">
        <f t="shared" si="21"/>
        <v>1.4292044267768309</v>
      </c>
      <c r="AY51" s="109">
        <f t="shared" si="21"/>
        <v>1.4293944119970559</v>
      </c>
    </row>
    <row r="52" spans="1:51">
      <c r="A52" s="69" t="s">
        <v>40</v>
      </c>
      <c r="B52" s="210">
        <v>0.15199999901380729</v>
      </c>
      <c r="C52" s="210">
        <v>0.87599999431641562</v>
      </c>
      <c r="D52" s="210">
        <v>0.54699999645100383</v>
      </c>
      <c r="E52" s="210">
        <v>0.53499999652886121</v>
      </c>
      <c r="F52" s="210">
        <v>0.84699999450457086</v>
      </c>
      <c r="G52" s="210">
        <v>0.50999999669106388</v>
      </c>
      <c r="H52" s="210">
        <v>1.1089999928046861</v>
      </c>
      <c r="I52" s="210">
        <v>1.3129999914811117</v>
      </c>
      <c r="J52" s="210">
        <v>1.0499999931874846</v>
      </c>
      <c r="K52" s="210">
        <v>1.0279999933302228</v>
      </c>
      <c r="L52" s="210">
        <v>0.63499999588005018</v>
      </c>
      <c r="M52" s="210">
        <v>0.57399999627582488</v>
      </c>
      <c r="N52" s="210">
        <v>0.3529999977096972</v>
      </c>
      <c r="O52" s="210">
        <v>0.8129999947251666</v>
      </c>
      <c r="P52" s="210">
        <v>0.59699999612659826</v>
      </c>
      <c r="Q52" s="210">
        <v>0.9349999939336171</v>
      </c>
      <c r="R52" s="210">
        <v>0.26399999828713894</v>
      </c>
      <c r="S52" s="210">
        <v>0.66499999568540691</v>
      </c>
      <c r="T52" s="210">
        <v>0.64499999581516898</v>
      </c>
      <c r="U52" s="210">
        <v>0.78599999490034544</v>
      </c>
      <c r="V52" s="210">
        <v>0.61999999597737177</v>
      </c>
      <c r="W52" s="210">
        <v>0.74899999514040561</v>
      </c>
      <c r="X52" s="210">
        <v>0.69799999547129921</v>
      </c>
      <c r="Y52" s="210">
        <v>0.97899999364814039</v>
      </c>
      <c r="Z52" s="92">
        <v>1.0109999999999999</v>
      </c>
      <c r="AA52" s="93">
        <v>1.097</v>
      </c>
      <c r="AB52" s="93">
        <v>1.0049999999999999</v>
      </c>
      <c r="AC52" s="93">
        <v>1.3089999999999999</v>
      </c>
      <c r="AD52" s="93">
        <v>2.2480000000000002</v>
      </c>
      <c r="AE52" s="93">
        <v>2.1219999999999999</v>
      </c>
      <c r="AF52" s="93">
        <v>1.5589999999999999</v>
      </c>
      <c r="AG52" s="109">
        <f t="shared" si="19"/>
        <v>1.6863161544796492</v>
      </c>
      <c r="AH52" s="109">
        <f t="shared" si="19"/>
        <v>1.6532953588190464</v>
      </c>
      <c r="AI52" s="109">
        <f t="shared" si="19"/>
        <v>1.6923749404029109</v>
      </c>
      <c r="AJ52" s="109">
        <f t="shared" si="19"/>
        <v>1.6735632218297649</v>
      </c>
      <c r="AK52" s="109">
        <f t="shared" si="19"/>
        <v>1.6612460706600964</v>
      </c>
      <c r="AL52" s="109">
        <f t="shared" si="19"/>
        <v>1.6239707758800912</v>
      </c>
      <c r="AM52" s="109">
        <f t="shared" si="19"/>
        <v>1.6733591492382935</v>
      </c>
      <c r="AN52" s="109">
        <f t="shared" si="20"/>
        <v>1.660890073518382</v>
      </c>
      <c r="AO52" s="109">
        <f t="shared" si="21"/>
        <v>1.6649028316022318</v>
      </c>
      <c r="AP52" s="109">
        <f t="shared" si="21"/>
        <v>1.6586058582253256</v>
      </c>
      <c r="AQ52" s="109">
        <f t="shared" si="21"/>
        <v>1.656873780179819</v>
      </c>
      <c r="AR52" s="109">
        <f t="shared" si="21"/>
        <v>1.656345737692865</v>
      </c>
      <c r="AS52" s="109">
        <f t="shared" si="21"/>
        <v>1.6629263385528101</v>
      </c>
      <c r="AT52" s="109">
        <f t="shared" si="21"/>
        <v>1.6595236562437246</v>
      </c>
      <c r="AU52" s="109">
        <f t="shared" si="21"/>
        <v>1.65993090925061</v>
      </c>
      <c r="AV52" s="109">
        <f t="shared" si="21"/>
        <v>1.6588550741789088</v>
      </c>
      <c r="AW52" s="109">
        <f t="shared" si="21"/>
        <v>1.659120084383966</v>
      </c>
      <c r="AX52" s="109">
        <f t="shared" si="21"/>
        <v>1.6595163431837836</v>
      </c>
      <c r="AY52" s="109">
        <f t="shared" si="21"/>
        <v>1.6600712125220038</v>
      </c>
    </row>
    <row r="53" spans="1:51">
      <c r="A53" s="69" t="s">
        <v>30</v>
      </c>
      <c r="B53" s="210">
        <v>0.3809999975280301</v>
      </c>
      <c r="C53" s="210">
        <v>0.61999999597737177</v>
      </c>
      <c r="D53" s="210">
        <v>0.91099999408933174</v>
      </c>
      <c r="E53" s="210">
        <v>0.85999999442022534</v>
      </c>
      <c r="F53" s="210">
        <v>0.64799999579570466</v>
      </c>
      <c r="G53" s="210">
        <v>0.89299999420611786</v>
      </c>
      <c r="H53" s="210">
        <v>1.4399999906571217</v>
      </c>
      <c r="I53" s="210">
        <v>1.3379999913189089</v>
      </c>
      <c r="J53" s="210">
        <v>1.8349999880943182</v>
      </c>
      <c r="K53" s="210">
        <v>1.1219999927203406</v>
      </c>
      <c r="L53" s="210">
        <v>0.55499999639909892</v>
      </c>
      <c r="M53" s="210">
        <v>0.70999999539344183</v>
      </c>
      <c r="N53" s="210">
        <v>0.74999999513391746</v>
      </c>
      <c r="O53" s="210">
        <v>0.65399999575677592</v>
      </c>
      <c r="P53" s="210">
        <v>1.0539999931615323</v>
      </c>
      <c r="Q53" s="210">
        <v>0.55799999637963471</v>
      </c>
      <c r="R53" s="210">
        <v>0.48199999687273093</v>
      </c>
      <c r="S53" s="210">
        <v>0.79799999482248829</v>
      </c>
      <c r="T53" s="210">
        <v>0.66699999567243062</v>
      </c>
      <c r="U53" s="210">
        <v>0.79699999482897632</v>
      </c>
      <c r="V53" s="210">
        <v>0.8789999942969513</v>
      </c>
      <c r="W53" s="210">
        <v>0.54799999644451569</v>
      </c>
      <c r="X53" s="210">
        <v>0.59499999613957455</v>
      </c>
      <c r="Y53" s="213">
        <v>1.159</v>
      </c>
      <c r="Z53" s="92">
        <v>1.145</v>
      </c>
      <c r="AA53" s="93">
        <v>0.92900000000000005</v>
      </c>
      <c r="AB53" s="93">
        <v>1.204</v>
      </c>
      <c r="AC53" s="93">
        <v>1.3360000000000001</v>
      </c>
      <c r="AD53" s="93">
        <v>2.7160000000000002</v>
      </c>
      <c r="AE53" s="93">
        <v>2.161</v>
      </c>
      <c r="AF53" s="93">
        <v>1.647</v>
      </c>
      <c r="AG53" s="109">
        <f t="shared" si="19"/>
        <v>1.8087642494907021</v>
      </c>
      <c r="AH53" s="109">
        <f t="shared" si="19"/>
        <v>1.8179630149624937</v>
      </c>
      <c r="AI53" s="109">
        <f t="shared" si="19"/>
        <v>1.8335493764738451</v>
      </c>
      <c r="AJ53" s="109">
        <f t="shared" si="19"/>
        <v>1.8328402048396508</v>
      </c>
      <c r="AK53" s="109">
        <f t="shared" si="19"/>
        <v>1.7671194869113591</v>
      </c>
      <c r="AL53" s="109">
        <f t="shared" si="19"/>
        <v>1.7567186429362149</v>
      </c>
      <c r="AM53" s="109">
        <f t="shared" si="19"/>
        <v>1.8120472665356104</v>
      </c>
      <c r="AN53" s="109">
        <f t="shared" si="20"/>
        <v>1.8016381452247128</v>
      </c>
      <c r="AO53" s="109">
        <f t="shared" si="21"/>
        <v>1.8004549955393361</v>
      </c>
      <c r="AP53" s="109">
        <f t="shared" si="21"/>
        <v>1.7940727492895094</v>
      </c>
      <c r="AQ53" s="109">
        <f t="shared" si="21"/>
        <v>1.7875957074294466</v>
      </c>
      <c r="AR53" s="109">
        <f t="shared" si="21"/>
        <v>1.7929863599050768</v>
      </c>
      <c r="AS53" s="109">
        <f t="shared" si="21"/>
        <v>1.799161772803723</v>
      </c>
      <c r="AT53" s="109">
        <f t="shared" si="21"/>
        <v>1.7953495914776163</v>
      </c>
      <c r="AU53" s="109">
        <f t="shared" si="21"/>
        <v>1.7948543169934184</v>
      </c>
      <c r="AV53" s="109">
        <f t="shared" si="21"/>
        <v>1.7938332361810745</v>
      </c>
      <c r="AW53" s="109">
        <f t="shared" si="21"/>
        <v>1.7939895497218561</v>
      </c>
      <c r="AX53" s="109">
        <f t="shared" si="21"/>
        <v>1.7952370554721817</v>
      </c>
      <c r="AY53" s="109">
        <f t="shared" si="21"/>
        <v>1.7954376934355374</v>
      </c>
    </row>
    <row r="54" spans="1:51">
      <c r="A54" s="69" t="s">
        <v>31</v>
      </c>
      <c r="B54" s="210">
        <v>0.78699999489385741</v>
      </c>
      <c r="C54" s="210">
        <v>0.91399999406986732</v>
      </c>
      <c r="D54" s="210">
        <v>1.9269999874974122</v>
      </c>
      <c r="E54" s="210">
        <v>0.59499999613957455</v>
      </c>
      <c r="F54" s="210">
        <v>1.0259999933431991</v>
      </c>
      <c r="G54" s="210">
        <v>0.89699999418016529</v>
      </c>
      <c r="H54" s="210">
        <v>1.1249999927008763</v>
      </c>
      <c r="I54" s="210">
        <v>1.1779999923570064</v>
      </c>
      <c r="J54" s="210">
        <v>1.6729999891453919</v>
      </c>
      <c r="K54" s="210">
        <v>0.83399999458891627</v>
      </c>
      <c r="L54" s="210">
        <v>0.54699999645100383</v>
      </c>
      <c r="M54" s="210">
        <v>0.9579999937843906</v>
      </c>
      <c r="N54" s="210">
        <v>1.3119999914875997</v>
      </c>
      <c r="O54" s="210">
        <v>0.59499999613957455</v>
      </c>
      <c r="P54" s="210">
        <v>0.84899999449159458</v>
      </c>
      <c r="Q54" s="210">
        <v>0.41599999730094622</v>
      </c>
      <c r="R54" s="210">
        <v>0.41499999730743431</v>
      </c>
      <c r="S54" s="210">
        <v>0.46099999700898131</v>
      </c>
      <c r="T54" s="210">
        <v>1.1869999922986134</v>
      </c>
      <c r="U54" s="210">
        <v>0.7589999950755244</v>
      </c>
      <c r="V54" s="210">
        <v>0.98399999361569968</v>
      </c>
      <c r="W54" s="210">
        <v>0.81399999471867845</v>
      </c>
      <c r="X54" s="210">
        <v>0.94299999388171218</v>
      </c>
      <c r="Y54" s="213">
        <v>0.71199999999999997</v>
      </c>
      <c r="Z54" s="92">
        <v>0.93400000000000005</v>
      </c>
      <c r="AA54" s="93">
        <v>1.087</v>
      </c>
      <c r="AB54" s="93">
        <v>1.008</v>
      </c>
      <c r="AC54" s="93">
        <v>1.2669999999999999</v>
      </c>
      <c r="AD54" s="93">
        <v>2.371</v>
      </c>
      <c r="AE54" s="93">
        <v>2.2570000000000001</v>
      </c>
      <c r="AF54" s="93">
        <v>2.1030000000000002</v>
      </c>
      <c r="AG54" s="109">
        <f t="shared" si="19"/>
        <v>1.7316111135191361</v>
      </c>
      <c r="AH54" s="109">
        <f t="shared" si="19"/>
        <v>1.8063299771350638</v>
      </c>
      <c r="AI54" s="109">
        <f t="shared" si="19"/>
        <v>1.8450881550313629</v>
      </c>
      <c r="AJ54" s="109">
        <f t="shared" si="19"/>
        <v>1.8541851831633096</v>
      </c>
      <c r="AK54" s="109">
        <f t="shared" si="19"/>
        <v>1.8576373481959565</v>
      </c>
      <c r="AL54" s="109">
        <f t="shared" si="19"/>
        <v>1.8353371772708087</v>
      </c>
      <c r="AM54" s="109">
        <f t="shared" si="19"/>
        <v>1.8189703554089656</v>
      </c>
      <c r="AN54" s="109">
        <f t="shared" si="20"/>
        <v>1.8397155681593003</v>
      </c>
      <c r="AO54" s="109">
        <f t="shared" si="21"/>
        <v>1.8422436438140808</v>
      </c>
      <c r="AP54" s="109">
        <f t="shared" si="21"/>
        <v>1.8411691264396679</v>
      </c>
      <c r="AQ54" s="109">
        <f t="shared" si="21"/>
        <v>1.8387808185698225</v>
      </c>
      <c r="AR54" s="109">
        <f t="shared" si="21"/>
        <v>1.8354871742185646</v>
      </c>
      <c r="AS54" s="109">
        <f t="shared" si="21"/>
        <v>1.8361759024783673</v>
      </c>
      <c r="AT54" s="109">
        <f t="shared" si="21"/>
        <v>1.839479266240287</v>
      </c>
      <c r="AU54" s="109">
        <f t="shared" si="21"/>
        <v>1.8387713331041007</v>
      </c>
      <c r="AV54" s="109">
        <f t="shared" si="21"/>
        <v>1.8382184575893419</v>
      </c>
      <c r="AW54" s="109">
        <f t="shared" si="21"/>
        <v>1.8377388989222281</v>
      </c>
      <c r="AX54" s="109">
        <f t="shared" si="21"/>
        <v>1.8376264267261322</v>
      </c>
      <c r="AY54" s="109">
        <f t="shared" si="21"/>
        <v>1.8380767716668651</v>
      </c>
    </row>
    <row r="55" spans="1:51">
      <c r="A55" s="69" t="s">
        <v>32</v>
      </c>
      <c r="B55" s="210">
        <v>0.63999999584760958</v>
      </c>
      <c r="C55" s="210">
        <v>0.78099999493278605</v>
      </c>
      <c r="D55" s="210">
        <v>1.3319999913578375</v>
      </c>
      <c r="E55" s="210">
        <v>0.65199999576975221</v>
      </c>
      <c r="F55" s="210">
        <v>0.83399999458891627</v>
      </c>
      <c r="G55" s="210">
        <v>0.97999999364165225</v>
      </c>
      <c r="H55" s="210">
        <v>0.79599999483546446</v>
      </c>
      <c r="I55" s="210">
        <v>0.61999999597737177</v>
      </c>
      <c r="J55" s="210">
        <v>1.6129999895346787</v>
      </c>
      <c r="K55" s="210">
        <v>1.5249999901056321</v>
      </c>
      <c r="L55" s="210">
        <v>0.84599999451105889</v>
      </c>
      <c r="M55" s="210">
        <v>0.90799999410879606</v>
      </c>
      <c r="N55" s="210">
        <v>1.4749999904300377</v>
      </c>
      <c r="O55" s="210">
        <v>0.68899999552969227</v>
      </c>
      <c r="P55" s="210">
        <v>1.3309999913643256</v>
      </c>
      <c r="Q55" s="210">
        <v>0.47999999688570721</v>
      </c>
      <c r="R55" s="210">
        <v>0.72899999527016779</v>
      </c>
      <c r="S55" s="210">
        <v>0.62399999595141942</v>
      </c>
      <c r="T55" s="210">
        <v>0.84199999453701124</v>
      </c>
      <c r="U55" s="210">
        <v>0.71999999532856074</v>
      </c>
      <c r="V55" s="210">
        <v>1.080999992986353</v>
      </c>
      <c r="W55" s="210">
        <v>1.4149999908193243</v>
      </c>
      <c r="X55" s="210">
        <v>0.89499999419314158</v>
      </c>
      <c r="Y55" s="213">
        <v>1.002</v>
      </c>
      <c r="Z55" s="92">
        <v>0.85499999999999998</v>
      </c>
      <c r="AA55" s="93">
        <v>1.1060000000000001</v>
      </c>
      <c r="AB55" s="93">
        <v>1.2589999999999999</v>
      </c>
      <c r="AC55" s="93">
        <v>1.208</v>
      </c>
      <c r="AD55" s="93">
        <v>2.9140000000000001</v>
      </c>
      <c r="AE55" s="93">
        <v>1.921</v>
      </c>
      <c r="AF55" s="93">
        <v>2.2189999999999999</v>
      </c>
      <c r="AG55" s="109">
        <f t="shared" si="19"/>
        <v>1.8222010315981096</v>
      </c>
      <c r="AH55" s="109">
        <f t="shared" si="19"/>
        <v>1.9096233302579326</v>
      </c>
      <c r="AI55" s="109">
        <f t="shared" si="19"/>
        <v>1.9123313007344822</v>
      </c>
      <c r="AJ55" s="109">
        <f t="shared" si="19"/>
        <v>1.9475148940289881</v>
      </c>
      <c r="AK55" s="109">
        <f t="shared" si="19"/>
        <v>1.8654786433531036</v>
      </c>
      <c r="AL55" s="109">
        <f t="shared" si="19"/>
        <v>1.9277810529601527</v>
      </c>
      <c r="AM55" s="109">
        <f t="shared" si="19"/>
        <v>1.8914298399945231</v>
      </c>
      <c r="AN55" s="109">
        <f t="shared" si="20"/>
        <v>1.9125458442669319</v>
      </c>
      <c r="AO55" s="109">
        <f t="shared" si="21"/>
        <v>1.9089071462142497</v>
      </c>
      <c r="AP55" s="109">
        <f t="shared" si="21"/>
        <v>1.9089500549207399</v>
      </c>
      <c r="AQ55" s="109">
        <f t="shared" si="21"/>
        <v>1.9012285053577918</v>
      </c>
      <c r="AR55" s="109">
        <f t="shared" si="21"/>
        <v>1.9099227876713192</v>
      </c>
      <c r="AS55" s="109">
        <f t="shared" si="21"/>
        <v>1.9046122781508474</v>
      </c>
      <c r="AT55" s="109">
        <f t="shared" si="21"/>
        <v>1.9083108676862066</v>
      </c>
      <c r="AU55" s="109">
        <f t="shared" si="21"/>
        <v>1.9067241544629896</v>
      </c>
      <c r="AV55" s="109">
        <f t="shared" si="21"/>
        <v>1.9066048987573807</v>
      </c>
      <c r="AW55" s="109">
        <f t="shared" si="21"/>
        <v>1.906159718665831</v>
      </c>
      <c r="AX55" s="109">
        <f t="shared" si="21"/>
        <v>1.907234997345749</v>
      </c>
      <c r="AY55" s="109">
        <f t="shared" si="21"/>
        <v>1.9064823835446509</v>
      </c>
    </row>
    <row r="56" spans="1:51">
      <c r="A56" s="69" t="s">
        <v>33</v>
      </c>
      <c r="B56" s="210">
        <v>0.67699999560754953</v>
      </c>
      <c r="C56" s="210">
        <v>0.87599999431641562</v>
      </c>
      <c r="D56" s="210">
        <v>1.289999991630338</v>
      </c>
      <c r="E56" s="210">
        <v>0.65199999576975221</v>
      </c>
      <c r="F56" s="210">
        <v>0.97999999364165225</v>
      </c>
      <c r="G56" s="210">
        <v>0.7159999953545132</v>
      </c>
      <c r="H56" s="210">
        <v>0.80199999479653583</v>
      </c>
      <c r="I56" s="210">
        <v>0.43599999717118404</v>
      </c>
      <c r="J56" s="210">
        <v>1.2669999917795645</v>
      </c>
      <c r="K56" s="210">
        <v>1.2339999919936722</v>
      </c>
      <c r="L56" s="210">
        <v>1.227999992032601</v>
      </c>
      <c r="M56" s="210">
        <v>1.0409999932458776</v>
      </c>
      <c r="N56" s="210">
        <v>1.1219999927203406</v>
      </c>
      <c r="O56" s="210">
        <v>0.71299999537397762</v>
      </c>
      <c r="P56" s="210">
        <v>1.1669999924283756</v>
      </c>
      <c r="Q56" s="210">
        <v>0.46799999696356459</v>
      </c>
      <c r="R56" s="210">
        <v>0.75399999510796512</v>
      </c>
      <c r="S56" s="210">
        <v>0.73399999523772719</v>
      </c>
      <c r="T56" s="210">
        <v>1.2619999918120051</v>
      </c>
      <c r="U56" s="210">
        <v>1.0649999930901628</v>
      </c>
      <c r="V56" s="210">
        <v>0.81899999468623785</v>
      </c>
      <c r="W56" s="210">
        <v>0.87599999431641551</v>
      </c>
      <c r="X56" s="210">
        <v>0.57799999624987242</v>
      </c>
      <c r="Y56" s="213">
        <v>0.92</v>
      </c>
      <c r="Z56" s="93">
        <v>1.109</v>
      </c>
      <c r="AA56" s="93">
        <v>1.2070000000000001</v>
      </c>
      <c r="AB56" s="93">
        <v>1.355</v>
      </c>
      <c r="AC56" s="93">
        <v>1.4059999999999999</v>
      </c>
      <c r="AD56" s="93">
        <v>2.2879999999999998</v>
      </c>
      <c r="AE56" s="93">
        <v>1.889</v>
      </c>
      <c r="AF56" s="93">
        <v>1.9430000000000001</v>
      </c>
      <c r="AG56" s="109">
        <f t="shared" si="19"/>
        <v>1.765203068787655</v>
      </c>
      <c r="AH56" s="109">
        <f t="shared" si="19"/>
        <v>1.7812587749207751</v>
      </c>
      <c r="AI56" s="109">
        <f t="shared" si="19"/>
        <v>1.7619500438605515</v>
      </c>
      <c r="AJ56" s="109">
        <f t="shared" si="19"/>
        <v>1.7454000530327141</v>
      </c>
      <c r="AK56" s="109">
        <f t="shared" si="19"/>
        <v>1.7427403810536015</v>
      </c>
      <c r="AL56" s="109">
        <f t="shared" si="19"/>
        <v>1.7678591382762563</v>
      </c>
      <c r="AM56" s="109">
        <f t="shared" si="19"/>
        <v>1.7593104643310598</v>
      </c>
      <c r="AN56" s="109">
        <f t="shared" si="20"/>
        <v>1.7598416782287796</v>
      </c>
      <c r="AO56" s="109">
        <f t="shared" si="21"/>
        <v>1.7554520161108367</v>
      </c>
      <c r="AP56" s="109">
        <f t="shared" si="21"/>
        <v>1.7550303429844825</v>
      </c>
      <c r="AQ56" s="109">
        <f t="shared" si="21"/>
        <v>1.7570407356001065</v>
      </c>
      <c r="AR56" s="109">
        <f t="shared" si="21"/>
        <v>1.759498727986283</v>
      </c>
      <c r="AS56" s="109">
        <f t="shared" si="21"/>
        <v>1.757335047451053</v>
      </c>
      <c r="AT56" s="109">
        <f t="shared" si="21"/>
        <v>1.7573727001820978</v>
      </c>
      <c r="AU56" s="109">
        <f t="shared" si="21"/>
        <v>1.7568713740265522</v>
      </c>
      <c r="AV56" s="109">
        <f t="shared" si="21"/>
        <v>1.7572555108408048</v>
      </c>
      <c r="AW56" s="109">
        <f t="shared" si="21"/>
        <v>1.7576237170492184</v>
      </c>
      <c r="AX56" s="109">
        <f t="shared" si="21"/>
        <v>1.7576666720973579</v>
      </c>
      <c r="AY56" s="109">
        <f t="shared" si="21"/>
        <v>1.757291669909945</v>
      </c>
    </row>
    <row r="57" spans="1:51">
      <c r="A57" s="69" t="s">
        <v>14</v>
      </c>
      <c r="B57" s="210">
        <v>0.83999999454998753</v>
      </c>
      <c r="C57" s="210">
        <v>1.1039999928371267</v>
      </c>
      <c r="D57" s="210">
        <v>0.9069999941152842</v>
      </c>
      <c r="E57" s="210">
        <v>1.1959999922402207</v>
      </c>
      <c r="F57" s="210">
        <v>1.0479999932004607</v>
      </c>
      <c r="G57" s="210">
        <v>0.49599999678189743</v>
      </c>
      <c r="H57" s="210">
        <v>1.226999992039089</v>
      </c>
      <c r="I57" s="210">
        <v>0.45199999706737426</v>
      </c>
      <c r="J57" s="210">
        <v>0.94599999386224787</v>
      </c>
      <c r="K57" s="210">
        <v>0.81399999471867845</v>
      </c>
      <c r="L57" s="210">
        <v>1.0839999929668889</v>
      </c>
      <c r="M57" s="210">
        <v>0.98799999358974733</v>
      </c>
      <c r="N57" s="210">
        <v>0.96799999371950973</v>
      </c>
      <c r="O57" s="210">
        <v>0.50799999670404017</v>
      </c>
      <c r="P57" s="210">
        <v>1.4629999905078952</v>
      </c>
      <c r="Q57" s="210">
        <v>0.32299999790434042</v>
      </c>
      <c r="R57" s="210">
        <v>0.61699999599683608</v>
      </c>
      <c r="S57" s="210">
        <v>0.78699999489385741</v>
      </c>
      <c r="T57" s="210">
        <v>0.98299999362218782</v>
      </c>
      <c r="U57" s="210">
        <v>1.3219999914227185</v>
      </c>
      <c r="V57" s="210">
        <v>1.0469999932069489</v>
      </c>
      <c r="W57" s="210">
        <v>0.80699999476409523</v>
      </c>
      <c r="X57" s="210">
        <v>0.96899999371302148</v>
      </c>
      <c r="Y57" s="213">
        <v>0.91900000000000004</v>
      </c>
      <c r="Z57" s="93">
        <v>1.302</v>
      </c>
      <c r="AA57" s="93">
        <v>1.0289999999999999</v>
      </c>
      <c r="AB57" s="93">
        <v>1.347</v>
      </c>
      <c r="AC57" s="93">
        <v>1.1399999999999999</v>
      </c>
      <c r="AD57" s="93">
        <v>2.8730000000000002</v>
      </c>
      <c r="AE57" s="93">
        <v>1.7829999999999999</v>
      </c>
      <c r="AF57" s="93">
        <v>1.5389999999999999</v>
      </c>
      <c r="AG57" s="109">
        <f t="shared" si="19"/>
        <v>1.7710545706731393</v>
      </c>
      <c r="AH57" s="109">
        <f t="shared" si="19"/>
        <v>1.7413454209956278</v>
      </c>
      <c r="AI57" s="109">
        <f t="shared" si="19"/>
        <v>1.726839154349431</v>
      </c>
      <c r="AJ57" s="109">
        <f t="shared" si="19"/>
        <v>1.7527919454103313</v>
      </c>
      <c r="AK57" s="109">
        <f t="shared" si="19"/>
        <v>1.6323134400446531</v>
      </c>
      <c r="AL57" s="109">
        <f t="shared" si="19"/>
        <v>1.6763339473440353</v>
      </c>
      <c r="AM57" s="109">
        <f t="shared" si="19"/>
        <v>1.7248689062946365</v>
      </c>
      <c r="AN57" s="109">
        <f t="shared" si="20"/>
        <v>1.7059247816288157</v>
      </c>
      <c r="AO57" s="109">
        <f t="shared" si="21"/>
        <v>1.7026294786886176</v>
      </c>
      <c r="AP57" s="109">
        <f t="shared" si="21"/>
        <v>1.6984466041444946</v>
      </c>
      <c r="AQ57" s="109">
        <f t="shared" si="21"/>
        <v>1.6884141108001516</v>
      </c>
      <c r="AR57" s="109">
        <f t="shared" si="21"/>
        <v>1.7016407436201197</v>
      </c>
      <c r="AS57" s="109">
        <f t="shared" si="21"/>
        <v>1.7040567763113428</v>
      </c>
      <c r="AT57" s="109">
        <f t="shared" si="21"/>
        <v>1.6994111437764394</v>
      </c>
      <c r="AU57" s="109">
        <f t="shared" si="21"/>
        <v>1.6990375427129449</v>
      </c>
      <c r="AV57" s="109">
        <f t="shared" si="21"/>
        <v>1.6983938757305097</v>
      </c>
      <c r="AW57" s="109">
        <f t="shared" si="21"/>
        <v>1.6985120634441997</v>
      </c>
      <c r="AX57" s="109">
        <f t="shared" si="21"/>
        <v>1.7005080164302711</v>
      </c>
      <c r="AY57" s="109">
        <f t="shared" si="21"/>
        <v>1.6998822803950873</v>
      </c>
    </row>
    <row r="58" spans="1:51">
      <c r="A58" s="69" t="s">
        <v>34</v>
      </c>
      <c r="B58" s="210">
        <v>0.61999999597737177</v>
      </c>
      <c r="C58" s="210">
        <v>1.0309999933107585</v>
      </c>
      <c r="D58" s="210">
        <v>1.1119999927852215</v>
      </c>
      <c r="E58" s="210">
        <v>1.1519999925256974</v>
      </c>
      <c r="F58" s="210">
        <v>1.172999992389447</v>
      </c>
      <c r="G58" s="210">
        <v>1.1919999922661728</v>
      </c>
      <c r="H58" s="210">
        <v>0.90099999415421295</v>
      </c>
      <c r="I58" s="210">
        <v>0.69099999551671598</v>
      </c>
      <c r="J58" s="210">
        <v>1.0579999931355797</v>
      </c>
      <c r="K58" s="210">
        <v>1.4759999904235497</v>
      </c>
      <c r="L58" s="210">
        <v>1.808999988263009</v>
      </c>
      <c r="M58" s="210">
        <v>1.21699999210397</v>
      </c>
      <c r="N58" s="210">
        <v>1.0109999934405209</v>
      </c>
      <c r="O58" s="210">
        <v>1.0119999934340327</v>
      </c>
      <c r="P58" s="210">
        <v>1.0959999928890314</v>
      </c>
      <c r="Q58" s="210">
        <v>0.44399999711927912</v>
      </c>
      <c r="R58" s="210">
        <v>0.63599999587356204</v>
      </c>
      <c r="S58" s="210">
        <v>0.61199999602927668</v>
      </c>
      <c r="T58" s="210">
        <v>0.92099999402445054</v>
      </c>
      <c r="U58" s="210">
        <v>1.0339999932912942</v>
      </c>
      <c r="V58" s="210">
        <v>0.56699999632124165</v>
      </c>
      <c r="W58" s="210">
        <v>1.3949999909490864</v>
      </c>
      <c r="X58" s="210">
        <v>0.92899999397254562</v>
      </c>
      <c r="Y58" s="213">
        <v>0.85499999999999998</v>
      </c>
      <c r="Z58" s="93">
        <v>1.18</v>
      </c>
      <c r="AA58" s="93">
        <v>1.417</v>
      </c>
      <c r="AB58" s="93">
        <v>1.0549999999999999</v>
      </c>
      <c r="AC58" s="93">
        <v>1.1459999999999999</v>
      </c>
      <c r="AD58" s="93">
        <v>2.6030000000000002</v>
      </c>
      <c r="AE58" s="93">
        <v>1.0840000000000001</v>
      </c>
      <c r="AF58" s="93">
        <v>1.8080000000000001</v>
      </c>
      <c r="AG58" s="109">
        <f t="shared" si="19"/>
        <v>1.5831563434614881</v>
      </c>
      <c r="AH58" s="109">
        <f t="shared" si="19"/>
        <v>1.5435837779293193</v>
      </c>
      <c r="AI58" s="109">
        <f t="shared" si="19"/>
        <v>1.5595991738418409</v>
      </c>
      <c r="AJ58" s="109">
        <f t="shared" si="19"/>
        <v>1.5567625371535787</v>
      </c>
      <c r="AK58" s="109">
        <f t="shared" si="19"/>
        <v>1.4449105875730763</v>
      </c>
      <c r="AL58" s="109">
        <f t="shared" si="19"/>
        <v>1.5820286165306687</v>
      </c>
      <c r="AM58" s="109">
        <f t="shared" si="19"/>
        <v>1.5376024839918605</v>
      </c>
      <c r="AN58" s="109">
        <f t="shared" si="20"/>
        <v>1.5373769386056968</v>
      </c>
      <c r="AO58" s="109">
        <f t="shared" si="21"/>
        <v>1.5361806798182052</v>
      </c>
      <c r="AP58" s="109">
        <f t="shared" si="21"/>
        <v>1.5317362327709763</v>
      </c>
      <c r="AQ58" s="109">
        <f t="shared" si="21"/>
        <v>1.5276198613039014</v>
      </c>
      <c r="AR58" s="109">
        <f t="shared" si="21"/>
        <v>1.5449849903434814</v>
      </c>
      <c r="AS58" s="109">
        <f t="shared" si="21"/>
        <v>1.5341032392981282</v>
      </c>
      <c r="AT58" s="109">
        <f t="shared" si="21"/>
        <v>1.5355797405684521</v>
      </c>
      <c r="AU58" s="109">
        <f t="shared" si="21"/>
        <v>1.5349250007069384</v>
      </c>
      <c r="AV58" s="109">
        <f t="shared" si="21"/>
        <v>1.534804812856988</v>
      </c>
      <c r="AW58" s="109">
        <f t="shared" si="21"/>
        <v>1.5354425664441802</v>
      </c>
      <c r="AX58" s="109">
        <f t="shared" si="21"/>
        <v>1.5368795567547977</v>
      </c>
      <c r="AY58" s="109">
        <f t="shared" si="21"/>
        <v>1.5349710719749374</v>
      </c>
    </row>
    <row r="59" spans="1:51">
      <c r="A59" s="69" t="s">
        <v>35</v>
      </c>
      <c r="B59" s="210">
        <v>0.5759999962628487</v>
      </c>
      <c r="C59" s="210">
        <v>1.0119999934340327</v>
      </c>
      <c r="D59" s="210">
        <v>1.8529999879775323</v>
      </c>
      <c r="E59" s="210">
        <v>1.9249999875103883</v>
      </c>
      <c r="F59" s="210">
        <v>1.007999993459985</v>
      </c>
      <c r="G59" s="210">
        <v>1.6189999894957499</v>
      </c>
      <c r="H59" s="210">
        <v>0.92499999399849819</v>
      </c>
      <c r="I59" s="210">
        <v>0.49599999678189743</v>
      </c>
      <c r="J59" s="210">
        <v>1.3729999910918249</v>
      </c>
      <c r="K59" s="210">
        <v>1.4969999902872995</v>
      </c>
      <c r="L59" s="210">
        <v>1.4419999906441454</v>
      </c>
      <c r="M59" s="210">
        <v>0.76899999501064342</v>
      </c>
      <c r="N59" s="210">
        <v>0.86399999439427289</v>
      </c>
      <c r="O59" s="210">
        <v>1.1739999923829587</v>
      </c>
      <c r="P59" s="210">
        <v>1.6339999893984283</v>
      </c>
      <c r="Q59" s="210">
        <v>0.53599999652237307</v>
      </c>
      <c r="R59" s="210">
        <v>0.68599999554915647</v>
      </c>
      <c r="S59" s="210">
        <v>0.59299999615255072</v>
      </c>
      <c r="T59" s="210">
        <v>0.75799999508201266</v>
      </c>
      <c r="U59" s="210">
        <v>0.93299999394659328</v>
      </c>
      <c r="V59" s="210">
        <v>0.64899999578921663</v>
      </c>
      <c r="W59" s="210">
        <v>0.98099999363516421</v>
      </c>
      <c r="X59" s="210">
        <v>0.88199999427748688</v>
      </c>
      <c r="Y59" s="213">
        <v>0.99099999999999999</v>
      </c>
      <c r="Z59" s="93">
        <v>1.1890000000000001</v>
      </c>
      <c r="AA59" s="93">
        <v>1.4430000000000001</v>
      </c>
      <c r="AB59" s="93">
        <v>1.2949999999999999</v>
      </c>
      <c r="AC59" s="93">
        <v>0.77200000000000002</v>
      </c>
      <c r="AD59" s="93">
        <v>2.5409999999999999</v>
      </c>
      <c r="AE59" s="93">
        <v>1.2889999999999999</v>
      </c>
      <c r="AF59" s="93">
        <v>1.9419999999999999</v>
      </c>
      <c r="AG59" s="109">
        <f t="shared" si="19"/>
        <v>1.5907416236834118</v>
      </c>
      <c r="AH59" s="109">
        <f t="shared" si="19"/>
        <v>1.5722652332624656</v>
      </c>
      <c r="AI59" s="109">
        <f t="shared" si="19"/>
        <v>1.5426428907568219</v>
      </c>
      <c r="AJ59" s="109">
        <f t="shared" si="19"/>
        <v>1.6133267470673729</v>
      </c>
      <c r="AK59" s="109">
        <f t="shared" si="19"/>
        <v>1.5132272129236679</v>
      </c>
      <c r="AL59" s="109">
        <f t="shared" si="19"/>
        <v>1.6232686515828088</v>
      </c>
      <c r="AM59" s="109">
        <f t="shared" si="19"/>
        <v>1.566440741538748</v>
      </c>
      <c r="AN59" s="109">
        <f t="shared" si="20"/>
        <v>1.5729461471186275</v>
      </c>
      <c r="AO59" s="109">
        <f t="shared" si="21"/>
        <v>1.5717812487738838</v>
      </c>
      <c r="AP59" s="109">
        <f t="shared" si="21"/>
        <v>1.5778419000462449</v>
      </c>
      <c r="AQ59" s="109">
        <f t="shared" si="21"/>
        <v>1.5695328003875473</v>
      </c>
      <c r="AR59" s="109">
        <f t="shared" si="21"/>
        <v>1.5824557378120625</v>
      </c>
      <c r="AS59" s="109">
        <f t="shared" si="21"/>
        <v>1.5717085675730103</v>
      </c>
      <c r="AT59" s="109">
        <f t="shared" si="21"/>
        <v>1.574911566827673</v>
      </c>
      <c r="AU59" s="109">
        <f t="shared" si="21"/>
        <v>1.5746640509185497</v>
      </c>
      <c r="AV59" s="109">
        <f t="shared" si="21"/>
        <v>1.5752901145293075</v>
      </c>
      <c r="AW59" s="109">
        <f t="shared" si="21"/>
        <v>1.5746545447037685</v>
      </c>
      <c r="AX59" s="109">
        <f t="shared" si="21"/>
        <v>1.5758060075321207</v>
      </c>
      <c r="AY59" s="109">
        <f t="shared" si="21"/>
        <v>1.5742457689104619</v>
      </c>
    </row>
    <row r="60" spans="1:51">
      <c r="A60" s="69" t="s">
        <v>36</v>
      </c>
      <c r="B60" s="210">
        <v>0.61399999601630051</v>
      </c>
      <c r="C60" s="210">
        <v>0.93699999392064093</v>
      </c>
      <c r="D60" s="210">
        <v>2.2609999853303835</v>
      </c>
      <c r="E60" s="210">
        <v>2.1949999857585984</v>
      </c>
      <c r="F60" s="210">
        <v>0.70099999545183489</v>
      </c>
      <c r="G60" s="210">
        <v>1.6229999894697973</v>
      </c>
      <c r="H60" s="210">
        <v>1.1749999923764707</v>
      </c>
      <c r="I60" s="210">
        <v>0.55399999640558706</v>
      </c>
      <c r="J60" s="210">
        <v>1.1179999927462929</v>
      </c>
      <c r="K60" s="210">
        <v>0.93799999391415301</v>
      </c>
      <c r="L60" s="210">
        <v>1.262999991805517</v>
      </c>
      <c r="M60" s="210">
        <v>1.0949999928955196</v>
      </c>
      <c r="N60" s="210">
        <v>1.0019999934989139</v>
      </c>
      <c r="O60" s="210">
        <v>0.97999999364165225</v>
      </c>
      <c r="P60" s="210">
        <v>1.1759999923699826</v>
      </c>
      <c r="Q60" s="210">
        <v>0.66799999566594248</v>
      </c>
      <c r="R60" s="210">
        <v>0.8129999947251666</v>
      </c>
      <c r="S60" s="210">
        <v>0.80099999480302386</v>
      </c>
      <c r="T60" s="210">
        <v>1.1479999925516495</v>
      </c>
      <c r="U60" s="210">
        <v>0.97499999367409274</v>
      </c>
      <c r="V60" s="210">
        <v>0.80099999480302386</v>
      </c>
      <c r="W60" s="210">
        <v>0.96999999370653334</v>
      </c>
      <c r="X60" s="210">
        <v>0.70399999543237046</v>
      </c>
      <c r="Y60" s="213">
        <v>1.1970000000000001</v>
      </c>
      <c r="Z60" s="93">
        <v>1.429</v>
      </c>
      <c r="AA60" s="93">
        <v>1.6319999999999999</v>
      </c>
      <c r="AB60" s="93">
        <v>1.155</v>
      </c>
      <c r="AC60" s="93">
        <v>1.3440000000000001</v>
      </c>
      <c r="AD60" s="93">
        <v>2.7</v>
      </c>
      <c r="AE60" s="93">
        <v>1.536</v>
      </c>
      <c r="AF60" s="93">
        <v>2.016</v>
      </c>
      <c r="AG60" s="109">
        <f t="shared" ref="AG60:AL60" si="22">AG61-SUM(AG49:AG59)</f>
        <v>1.0509518443067094</v>
      </c>
      <c r="AH60" s="109">
        <f t="shared" si="22"/>
        <v>1.7551847246179086</v>
      </c>
      <c r="AI60" s="109">
        <f t="shared" si="22"/>
        <v>1.6397765788283749</v>
      </c>
      <c r="AJ60" s="109">
        <f t="shared" si="22"/>
        <v>1.6355593497810013</v>
      </c>
      <c r="AK60" s="109">
        <f t="shared" si="22"/>
        <v>1.5249078901690254</v>
      </c>
      <c r="AL60" s="109">
        <f t="shared" si="22"/>
        <v>1.5911403779713496</v>
      </c>
      <c r="AM60" s="109">
        <f t="shared" ref="AM60:AY60" si="23">AM61-SUM(AM49:AM59)</f>
        <v>1.5212760775406018</v>
      </c>
      <c r="AN60" s="109">
        <f t="shared" si="23"/>
        <v>1.6293137842735277</v>
      </c>
      <c r="AO60" s="109">
        <f t="shared" si="23"/>
        <v>1.582532054858067</v>
      </c>
      <c r="AP60" s="109">
        <f t="shared" si="23"/>
        <v>1.5804394959471004</v>
      </c>
      <c r="AQ60" s="109">
        <f t="shared" si="23"/>
        <v>1.5698340369625114</v>
      </c>
      <c r="AR60" s="109">
        <f t="shared" si="23"/>
        <v>1.5809403581181307</v>
      </c>
      <c r="AS60" s="109">
        <f t="shared" si="23"/>
        <v>1.5766790899163645</v>
      </c>
      <c r="AT60" s="109">
        <f t="shared" si="23"/>
        <v>1.5886119460318717</v>
      </c>
      <c r="AU60" s="109">
        <f t="shared" si="23"/>
        <v>1.5780850071604355</v>
      </c>
      <c r="AV60" s="109">
        <f t="shared" si="23"/>
        <v>1.5793009853952</v>
      </c>
      <c r="AW60" s="109">
        <f t="shared" si="23"/>
        <v>1.5788300876378614</v>
      </c>
      <c r="AX60" s="109">
        <f t="shared" si="23"/>
        <v>1.5807234773243977</v>
      </c>
      <c r="AY60" s="109">
        <f t="shared" si="23"/>
        <v>1.5803014232283452</v>
      </c>
    </row>
    <row r="61" spans="1:51" ht="12" thickBot="1">
      <c r="A61" s="69" t="s">
        <v>138</v>
      </c>
      <c r="B61" s="228">
        <f>SUM(B49:B60)</f>
        <v>5.8989999617266387</v>
      </c>
      <c r="C61" s="228">
        <f>SUM(C49:C60)</f>
        <v>9.8329999362024125</v>
      </c>
      <c r="D61" s="228">
        <f>SUM(D49:D60)</f>
        <v>14.476999906071633</v>
      </c>
      <c r="E61" s="228">
        <f t="shared" ref="E61:AF61" si="24">SUM(E49:E60)</f>
        <v>13.420999912923076</v>
      </c>
      <c r="F61" s="228">
        <f t="shared" si="24"/>
        <v>12.246999920540118</v>
      </c>
      <c r="G61" s="228">
        <f t="shared" si="24"/>
        <v>11.39699992605501</v>
      </c>
      <c r="H61" s="228">
        <f t="shared" si="24"/>
        <v>13.388999913130693</v>
      </c>
      <c r="I61" s="228">
        <f t="shared" si="24"/>
        <v>10.931999929071981</v>
      </c>
      <c r="J61" s="228">
        <f t="shared" si="24"/>
        <v>14.136999908277589</v>
      </c>
      <c r="K61" s="228">
        <f t="shared" si="24"/>
        <v>13.925999909646579</v>
      </c>
      <c r="L61" s="228">
        <f t="shared" si="24"/>
        <v>12.162999921085117</v>
      </c>
      <c r="M61" s="228">
        <f t="shared" si="24"/>
        <v>10.361999932770205</v>
      </c>
      <c r="N61" s="228">
        <f t="shared" si="24"/>
        <v>12.051999921805297</v>
      </c>
      <c r="O61" s="228">
        <f t="shared" si="24"/>
        <v>10.013999935028066</v>
      </c>
      <c r="P61" s="228">
        <f t="shared" si="24"/>
        <v>13.073999915174452</v>
      </c>
      <c r="Q61" s="228">
        <f t="shared" si="24"/>
        <v>7.669999950236198</v>
      </c>
      <c r="R61" s="228">
        <f t="shared" si="24"/>
        <v>6.9619999548297784</v>
      </c>
      <c r="S61" s="228">
        <f t="shared" si="24"/>
        <v>7.4099999519231057</v>
      </c>
      <c r="T61" s="228">
        <f t="shared" si="24"/>
        <v>10.636999930985974</v>
      </c>
      <c r="U61" s="228">
        <f t="shared" si="24"/>
        <v>11.003999928604836</v>
      </c>
      <c r="V61" s="228">
        <f t="shared" si="24"/>
        <v>10.287999933250322</v>
      </c>
      <c r="W61" s="228">
        <f t="shared" si="24"/>
        <v>10.974999928792991</v>
      </c>
      <c r="X61" s="228">
        <f t="shared" si="24"/>
        <v>10.370999932711811</v>
      </c>
      <c r="Y61" s="214">
        <f t="shared" si="24"/>
        <v>11.12099997816102</v>
      </c>
      <c r="Z61" s="214">
        <f t="shared" si="24"/>
        <v>13.788</v>
      </c>
      <c r="AA61" s="214">
        <f t="shared" si="24"/>
        <v>14.35</v>
      </c>
      <c r="AB61" s="214">
        <f t="shared" si="24"/>
        <v>14.250999999999998</v>
      </c>
      <c r="AC61" s="214">
        <f t="shared" si="24"/>
        <v>14.7</v>
      </c>
      <c r="AD61" s="214">
        <f t="shared" si="24"/>
        <v>25.868000000000002</v>
      </c>
      <c r="AE61" s="214">
        <f t="shared" si="24"/>
        <v>23.115000000000002</v>
      </c>
      <c r="AF61" s="214">
        <f t="shared" si="24"/>
        <v>21.781999999999996</v>
      </c>
      <c r="AG61" s="215">
        <f t="shared" ref="AG61:AY61" si="25">AG6</f>
        <v>20</v>
      </c>
      <c r="AH61" s="215">
        <f t="shared" si="25"/>
        <v>20</v>
      </c>
      <c r="AI61" s="215">
        <f t="shared" si="25"/>
        <v>20</v>
      </c>
      <c r="AJ61" s="215">
        <f t="shared" si="25"/>
        <v>20</v>
      </c>
      <c r="AK61" s="215">
        <f t="shared" si="25"/>
        <v>20</v>
      </c>
      <c r="AL61" s="215">
        <f t="shared" si="25"/>
        <v>20</v>
      </c>
      <c r="AM61" s="215">
        <f t="shared" si="25"/>
        <v>20</v>
      </c>
      <c r="AN61" s="215">
        <f t="shared" si="25"/>
        <v>20</v>
      </c>
      <c r="AO61" s="215">
        <f t="shared" si="25"/>
        <v>20</v>
      </c>
      <c r="AP61" s="215">
        <f t="shared" si="25"/>
        <v>20</v>
      </c>
      <c r="AQ61" s="215">
        <f t="shared" si="25"/>
        <v>20</v>
      </c>
      <c r="AR61" s="215">
        <f t="shared" si="25"/>
        <v>20</v>
      </c>
      <c r="AS61" s="215">
        <f t="shared" si="25"/>
        <v>20</v>
      </c>
      <c r="AT61" s="215">
        <f t="shared" si="25"/>
        <v>20</v>
      </c>
      <c r="AU61" s="215">
        <f t="shared" si="25"/>
        <v>20</v>
      </c>
      <c r="AV61" s="215">
        <f t="shared" si="25"/>
        <v>20</v>
      </c>
      <c r="AW61" s="215">
        <f t="shared" si="25"/>
        <v>20</v>
      </c>
      <c r="AX61" s="215">
        <f t="shared" si="25"/>
        <v>20</v>
      </c>
      <c r="AY61" s="215">
        <f t="shared" si="25"/>
        <v>20</v>
      </c>
    </row>
    <row r="62" spans="1:5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</row>
    <row r="63" spans="1:51" ht="12" thickBot="1">
      <c r="A63" s="69" t="s">
        <v>361</v>
      </c>
      <c r="AE63" s="216"/>
    </row>
    <row r="64" spans="1:51" ht="12.75" thickBot="1">
      <c r="A64" s="212" t="s">
        <v>340</v>
      </c>
      <c r="B64" s="203" t="str">
        <f>B$2</f>
        <v xml:space="preserve">93/94 </v>
      </c>
      <c r="C64" s="203" t="str">
        <f t="shared" ref="C64:AY64" si="26">C$2</f>
        <v xml:space="preserve">94/95 </v>
      </c>
      <c r="D64" s="203" t="str">
        <f t="shared" si="26"/>
        <v xml:space="preserve">95/96 </v>
      </c>
      <c r="E64" s="203" t="str">
        <f t="shared" si="26"/>
        <v xml:space="preserve">96/97 </v>
      </c>
      <c r="F64" s="203" t="str">
        <f t="shared" si="26"/>
        <v xml:space="preserve">97/98 </v>
      </c>
      <c r="G64" s="203" t="str">
        <f t="shared" si="26"/>
        <v xml:space="preserve">98/99 </v>
      </c>
      <c r="H64" s="203" t="str">
        <f t="shared" si="26"/>
        <v xml:space="preserve">99/00 </v>
      </c>
      <c r="I64" s="203" t="str">
        <f t="shared" si="26"/>
        <v xml:space="preserve">00/01 </v>
      </c>
      <c r="J64" s="203" t="str">
        <f t="shared" si="26"/>
        <v xml:space="preserve">01/02 </v>
      </c>
      <c r="K64" s="203" t="str">
        <f t="shared" si="26"/>
        <v xml:space="preserve">02/03 </v>
      </c>
      <c r="L64" s="203" t="str">
        <f t="shared" si="26"/>
        <v xml:space="preserve">03/04 </v>
      </c>
      <c r="M64" s="203" t="str">
        <f t="shared" si="26"/>
        <v xml:space="preserve">04/05 </v>
      </c>
      <c r="N64" s="203" t="str">
        <f t="shared" si="26"/>
        <v xml:space="preserve">05/06 </v>
      </c>
      <c r="O64" s="203" t="str">
        <f t="shared" si="26"/>
        <v xml:space="preserve">06/07 </v>
      </c>
      <c r="P64" s="203" t="str">
        <f t="shared" si="26"/>
        <v xml:space="preserve">07/08 </v>
      </c>
      <c r="Q64" s="203" t="str">
        <f t="shared" si="26"/>
        <v xml:space="preserve">08/09 </v>
      </c>
      <c r="R64" s="203" t="str">
        <f t="shared" si="26"/>
        <v xml:space="preserve">09/10 </v>
      </c>
      <c r="S64" s="203" t="str">
        <f t="shared" si="26"/>
        <v xml:space="preserve">10/11 </v>
      </c>
      <c r="T64" s="203" t="str">
        <f t="shared" si="26"/>
        <v xml:space="preserve">11/12 </v>
      </c>
      <c r="U64" s="203" t="str">
        <f t="shared" si="26"/>
        <v xml:space="preserve">12/13 </v>
      </c>
      <c r="V64" s="203" t="str">
        <f t="shared" si="26"/>
        <v xml:space="preserve">13/14 </v>
      </c>
      <c r="W64" s="203" t="str">
        <f t="shared" si="26"/>
        <v xml:space="preserve">14/15 </v>
      </c>
      <c r="X64" s="203" t="str">
        <f t="shared" si="26"/>
        <v xml:space="preserve">15/16 </v>
      </c>
      <c r="Y64" s="203" t="str">
        <f t="shared" si="26"/>
        <v xml:space="preserve">16/17 </v>
      </c>
      <c r="Z64" s="203" t="str">
        <f t="shared" si="26"/>
        <v xml:space="preserve">17/18 </v>
      </c>
      <c r="AA64" s="203" t="str">
        <f t="shared" si="26"/>
        <v xml:space="preserve">18/19 </v>
      </c>
      <c r="AB64" s="203" t="str">
        <f t="shared" si="26"/>
        <v xml:space="preserve">19/20 </v>
      </c>
      <c r="AC64" s="203" t="str">
        <f t="shared" si="26"/>
        <v xml:space="preserve">20/21 </v>
      </c>
      <c r="AD64" s="203" t="str">
        <f t="shared" si="26"/>
        <v>21/22</v>
      </c>
      <c r="AE64" s="203" t="str">
        <f t="shared" si="26"/>
        <v>22/23</v>
      </c>
      <c r="AF64" s="203" t="str">
        <f t="shared" si="26"/>
        <v>23/24</v>
      </c>
      <c r="AG64" s="203" t="str">
        <f t="shared" si="26"/>
        <v>24/25</v>
      </c>
      <c r="AH64" s="203" t="str">
        <f t="shared" si="26"/>
        <v>25/26</v>
      </c>
      <c r="AI64" s="203" t="str">
        <f t="shared" si="26"/>
        <v>26/27</v>
      </c>
      <c r="AJ64" s="203" t="str">
        <f t="shared" si="26"/>
        <v>27/28</v>
      </c>
      <c r="AK64" s="203" t="str">
        <f t="shared" si="26"/>
        <v>28/29</v>
      </c>
      <c r="AL64" s="203" t="str">
        <f t="shared" si="26"/>
        <v>29/30</v>
      </c>
      <c r="AM64" s="203" t="str">
        <f t="shared" si="26"/>
        <v>30/31</v>
      </c>
      <c r="AN64" s="203" t="str">
        <f t="shared" si="26"/>
        <v>31/32</v>
      </c>
      <c r="AO64" s="203" t="str">
        <f t="shared" si="26"/>
        <v>32/33</v>
      </c>
      <c r="AP64" s="203" t="str">
        <f t="shared" si="26"/>
        <v>33/34</v>
      </c>
      <c r="AQ64" s="203" t="str">
        <f t="shared" si="26"/>
        <v>34/35</v>
      </c>
      <c r="AR64" s="203" t="str">
        <f t="shared" si="26"/>
        <v>35/36</v>
      </c>
      <c r="AS64" s="203" t="str">
        <f t="shared" si="26"/>
        <v>36/37</v>
      </c>
      <c r="AT64" s="203" t="str">
        <f t="shared" si="26"/>
        <v>37/38</v>
      </c>
      <c r="AU64" s="203" t="str">
        <f t="shared" si="26"/>
        <v>38/39</v>
      </c>
      <c r="AV64" s="203" t="str">
        <f t="shared" si="26"/>
        <v>39/40</v>
      </c>
      <c r="AW64" s="203" t="str">
        <f t="shared" si="26"/>
        <v>40/41</v>
      </c>
      <c r="AX64" s="203" t="str">
        <f t="shared" si="26"/>
        <v>41/42</v>
      </c>
      <c r="AY64" s="203" t="str">
        <f t="shared" si="26"/>
        <v>42/43</v>
      </c>
    </row>
    <row r="65" spans="1:51">
      <c r="A65" s="69" t="s">
        <v>37</v>
      </c>
      <c r="B65" s="108">
        <v>48.415999685871668</v>
      </c>
      <c r="C65" s="108">
        <v>53.868999650492007</v>
      </c>
      <c r="D65" s="108">
        <v>68.767999553825661</v>
      </c>
      <c r="E65" s="108">
        <v>49.011999682004756</v>
      </c>
      <c r="F65" s="108">
        <v>59.500999613950967</v>
      </c>
      <c r="G65" s="108">
        <v>65.698999573737652</v>
      </c>
      <c r="H65" s="108">
        <v>45.267999706296237</v>
      </c>
      <c r="I65" s="108">
        <v>65.6939995737701</v>
      </c>
      <c r="J65" s="108">
        <v>72.673999528483094</v>
      </c>
      <c r="K65" s="108">
        <v>47.931999689011903</v>
      </c>
      <c r="L65" s="108">
        <v>95.429999380839661</v>
      </c>
      <c r="M65" s="108">
        <v>91.604999405656685</v>
      </c>
      <c r="N65" s="108">
        <v>76.455999503945051</v>
      </c>
      <c r="O65" s="108">
        <v>91.340999407369551</v>
      </c>
      <c r="P65" s="108">
        <v>110.57699928256426</v>
      </c>
      <c r="Q65" s="108">
        <v>99.109999356963414</v>
      </c>
      <c r="R65" s="108">
        <v>57.156999629159095</v>
      </c>
      <c r="S65" s="108">
        <v>61.862999598626047</v>
      </c>
      <c r="T65" s="108">
        <v>57.008999630119334</v>
      </c>
      <c r="U65" s="108">
        <v>94.778999385063429</v>
      </c>
      <c r="V65" s="108">
        <v>59.313999615164235</v>
      </c>
      <c r="W65" s="108">
        <v>63.70099958670091</v>
      </c>
      <c r="X65" s="108">
        <v>54.110999648921876</v>
      </c>
      <c r="Y65" s="108">
        <v>60.361999608364712</v>
      </c>
      <c r="Z65" s="87">
        <v>173.05799999999999</v>
      </c>
      <c r="AA65" s="217">
        <v>131.37200000000001</v>
      </c>
      <c r="AB65" s="217">
        <v>85.049000000000007</v>
      </c>
      <c r="AC65" s="217">
        <v>99.682000000000002</v>
      </c>
      <c r="AD65" s="217">
        <v>68.191999999999993</v>
      </c>
      <c r="AE65" s="217">
        <v>45.78</v>
      </c>
      <c r="AF65" s="217">
        <v>83.792000000000002</v>
      </c>
      <c r="AG65" s="217">
        <v>98.698999999999998</v>
      </c>
      <c r="AH65" s="77">
        <f t="shared" ref="AH65:AM75" si="27">(SUM(AB65:AF65)/SUM(AB$77:AF$77))*AH$77</f>
        <v>91.192236448537315</v>
      </c>
      <c r="AI65" s="77">
        <f t="shared" si="27"/>
        <v>91.881216459327433</v>
      </c>
      <c r="AJ65" s="77">
        <f t="shared" si="27"/>
        <v>90.831291665738163</v>
      </c>
      <c r="AK65" s="77">
        <f t="shared" si="27"/>
        <v>95.449188254767108</v>
      </c>
      <c r="AL65" s="77">
        <f t="shared" si="27"/>
        <v>97.270240451739511</v>
      </c>
      <c r="AM65" s="77">
        <f t="shared" si="27"/>
        <v>93.610586565673998</v>
      </c>
      <c r="AN65" s="77">
        <f t="shared" ref="AN65:AN75" si="28">(SUM(AH65:AL65)/SUM(AH$77:AL$77))*AN$77</f>
        <v>93.324834656021906</v>
      </c>
      <c r="AO65" s="77">
        <f t="shared" ref="AO65:AY75" si="29">(SUM(AI65:AM65)/SUM(AI$77:AM$77))*AO$77</f>
        <v>93.808504679449243</v>
      </c>
      <c r="AP65" s="77">
        <f t="shared" si="29"/>
        <v>94.097228318788126</v>
      </c>
      <c r="AQ65" s="77">
        <f t="shared" si="29"/>
        <v>94.69267092153035</v>
      </c>
      <c r="AR65" s="77">
        <f t="shared" si="29"/>
        <v>94.422278934334557</v>
      </c>
      <c r="AS65" s="77">
        <f t="shared" si="29"/>
        <v>93.906765028292725</v>
      </c>
      <c r="AT65" s="77">
        <f t="shared" si="29"/>
        <v>94.069103502024845</v>
      </c>
      <c r="AU65" s="77">
        <f t="shared" si="29"/>
        <v>94.185489576479</v>
      </c>
      <c r="AV65" s="77">
        <f t="shared" si="29"/>
        <v>94.237609340994126</v>
      </c>
      <c r="AW65" s="77">
        <f t="shared" si="29"/>
        <v>94.255261592532293</v>
      </c>
      <c r="AX65" s="77">
        <f t="shared" si="29"/>
        <v>94.164249276425053</v>
      </c>
      <c r="AY65" s="77">
        <f t="shared" si="29"/>
        <v>94.130845808064606</v>
      </c>
    </row>
    <row r="66" spans="1:51">
      <c r="A66" s="69" t="s">
        <v>38</v>
      </c>
      <c r="B66" s="108">
        <v>78.671999489567412</v>
      </c>
      <c r="C66" s="108">
        <v>46.953999695357275</v>
      </c>
      <c r="D66" s="108">
        <v>52.233999661100064</v>
      </c>
      <c r="E66" s="108">
        <v>83.658999457211209</v>
      </c>
      <c r="F66" s="108">
        <v>83.379999459021406</v>
      </c>
      <c r="G66" s="108">
        <v>68.527999555382806</v>
      </c>
      <c r="H66" s="108">
        <v>63.884999585507089</v>
      </c>
      <c r="I66" s="108">
        <v>57.788999625058608</v>
      </c>
      <c r="J66" s="108">
        <v>56.302999634699944</v>
      </c>
      <c r="K66" s="108">
        <v>66.529999568346042</v>
      </c>
      <c r="L66" s="108">
        <v>76.440999504042381</v>
      </c>
      <c r="M66" s="108">
        <v>71.751999534465128</v>
      </c>
      <c r="N66" s="108">
        <v>73.002999526348518</v>
      </c>
      <c r="O66" s="108">
        <v>104.11699932447746</v>
      </c>
      <c r="P66" s="108">
        <v>78.519999490553587</v>
      </c>
      <c r="Q66" s="108">
        <v>70.715999541186818</v>
      </c>
      <c r="R66" s="108">
        <v>52.232999661106554</v>
      </c>
      <c r="S66" s="108">
        <v>45.474999704953198</v>
      </c>
      <c r="T66" s="108">
        <v>77.250999498787024</v>
      </c>
      <c r="U66" s="108">
        <v>54.112999648908904</v>
      </c>
      <c r="V66" s="108">
        <v>107.53099930232705</v>
      </c>
      <c r="W66" s="108">
        <v>90.49299941287147</v>
      </c>
      <c r="X66" s="108">
        <v>38.956999747242698</v>
      </c>
      <c r="Y66" s="108">
        <v>50.065999675166282</v>
      </c>
      <c r="Z66" s="87">
        <v>98.686999999999998</v>
      </c>
      <c r="AA66" s="217">
        <v>97.652000000000001</v>
      </c>
      <c r="AB66" s="217">
        <v>75.561000000000007</v>
      </c>
      <c r="AC66" s="217">
        <v>96.143000000000001</v>
      </c>
      <c r="AD66" s="217">
        <v>76.516000000000005</v>
      </c>
      <c r="AE66" s="217">
        <v>24.983000000000001</v>
      </c>
      <c r="AF66" s="217">
        <v>17.731000000000002</v>
      </c>
      <c r="AG66" s="217">
        <v>92.718000000000004</v>
      </c>
      <c r="AH66" s="77">
        <f t="shared" si="27"/>
        <v>69.362794595795393</v>
      </c>
      <c r="AI66" s="77">
        <f t="shared" si="27"/>
        <v>71.458117255476267</v>
      </c>
      <c r="AJ66" s="77">
        <f t="shared" si="27"/>
        <v>65.913782222424217</v>
      </c>
      <c r="AK66" s="77">
        <f t="shared" si="27"/>
        <v>64.102277307543247</v>
      </c>
      <c r="AL66" s="77">
        <f t="shared" si="27"/>
        <v>67.600398462838427</v>
      </c>
      <c r="AM66" s="77">
        <f t="shared" si="27"/>
        <v>72.710994276247831</v>
      </c>
      <c r="AN66" s="77">
        <f t="shared" si="28"/>
        <v>67.68747396881551</v>
      </c>
      <c r="AO66" s="77">
        <f t="shared" si="29"/>
        <v>68.357113904906001</v>
      </c>
      <c r="AP66" s="77">
        <f t="shared" si="29"/>
        <v>67.602985247573841</v>
      </c>
      <c r="AQ66" s="77">
        <f t="shared" si="29"/>
        <v>68.091651584070192</v>
      </c>
      <c r="AR66" s="77">
        <f t="shared" si="29"/>
        <v>68.791793172076325</v>
      </c>
      <c r="AS66" s="77">
        <f t="shared" si="29"/>
        <v>68.890043796322658</v>
      </c>
      <c r="AT66" s="77">
        <f t="shared" si="29"/>
        <v>68.106203575488379</v>
      </c>
      <c r="AU66" s="77">
        <f t="shared" si="29"/>
        <v>68.346717540989815</v>
      </c>
      <c r="AV66" s="77">
        <f t="shared" si="29"/>
        <v>68.296535475106282</v>
      </c>
      <c r="AW66" s="77">
        <f t="shared" si="29"/>
        <v>68.445281933789474</v>
      </c>
      <c r="AX66" s="77">
        <f t="shared" si="29"/>
        <v>68.486258711996683</v>
      </c>
      <c r="AY66" s="77">
        <f t="shared" si="29"/>
        <v>68.416956464339322</v>
      </c>
    </row>
    <row r="67" spans="1:51">
      <c r="A67" s="69" t="s">
        <v>39</v>
      </c>
      <c r="B67" s="108">
        <v>65.929999572238899</v>
      </c>
      <c r="C67" s="108">
        <v>54.851999644114194</v>
      </c>
      <c r="D67" s="108">
        <v>57.267999628438915</v>
      </c>
      <c r="E67" s="108">
        <v>43.076999720511687</v>
      </c>
      <c r="F67" s="108">
        <v>57.947999624027005</v>
      </c>
      <c r="G67" s="108">
        <v>57.322999628082066</v>
      </c>
      <c r="H67" s="108">
        <v>33.844999780409921</v>
      </c>
      <c r="I67" s="108">
        <v>52.221999661177918</v>
      </c>
      <c r="J67" s="108">
        <v>60.004999610680969</v>
      </c>
      <c r="K67" s="108">
        <v>57.546999626628732</v>
      </c>
      <c r="L67" s="108">
        <v>66.854999566237396</v>
      </c>
      <c r="M67" s="108">
        <v>85.22899944702489</v>
      </c>
      <c r="N67" s="108">
        <v>77.998999493933908</v>
      </c>
      <c r="O67" s="108">
        <v>74.713999515247338</v>
      </c>
      <c r="P67" s="108">
        <v>82.911999462057821</v>
      </c>
      <c r="Q67" s="108">
        <v>41.749999729121406</v>
      </c>
      <c r="R67" s="108">
        <v>54.775999644607296</v>
      </c>
      <c r="S67" s="108">
        <v>48.558999684943863</v>
      </c>
      <c r="T67" s="108">
        <v>63.559999587615728</v>
      </c>
      <c r="U67" s="108">
        <v>42.70199972294472</v>
      </c>
      <c r="V67" s="108">
        <v>61.943999598100518</v>
      </c>
      <c r="W67" s="108">
        <v>65.685999573822002</v>
      </c>
      <c r="X67" s="108">
        <v>57.518999626810405</v>
      </c>
      <c r="Y67" s="108">
        <v>77.326999498293915</v>
      </c>
      <c r="Z67" s="87">
        <v>70.998999999999995</v>
      </c>
      <c r="AA67" s="217">
        <v>61.421999999999997</v>
      </c>
      <c r="AB67" s="217">
        <v>92.162000000000006</v>
      </c>
      <c r="AC67" s="217">
        <v>39.817</v>
      </c>
      <c r="AD67" s="217">
        <v>91.241</v>
      </c>
      <c r="AE67" s="217">
        <v>41.043999999999997</v>
      </c>
      <c r="AF67" s="217">
        <v>20.626000000000001</v>
      </c>
      <c r="AG67" s="217">
        <v>54.293999999999997</v>
      </c>
      <c r="AH67" s="77">
        <f t="shared" si="27"/>
        <v>67.921819218091201</v>
      </c>
      <c r="AI67" s="77">
        <f t="shared" si="27"/>
        <v>57.293874344535404</v>
      </c>
      <c r="AJ67" s="77">
        <f t="shared" si="27"/>
        <v>64.464818250385719</v>
      </c>
      <c r="AK67" s="77">
        <f t="shared" si="27"/>
        <v>55.963817699135056</v>
      </c>
      <c r="AL67" s="77">
        <f t="shared" si="27"/>
        <v>56.393504351691703</v>
      </c>
      <c r="AM67" s="77">
        <f t="shared" si="27"/>
        <v>59.987665902429477</v>
      </c>
      <c r="AN67" s="77">
        <f t="shared" si="28"/>
        <v>60.407566772767815</v>
      </c>
      <c r="AO67" s="77">
        <f t="shared" si="29"/>
        <v>58.820736109635469</v>
      </c>
      <c r="AP67" s="77">
        <f t="shared" si="29"/>
        <v>59.443474595281948</v>
      </c>
      <c r="AQ67" s="77">
        <f t="shared" si="29"/>
        <v>58.314658167131903</v>
      </c>
      <c r="AR67" s="77">
        <f t="shared" si="29"/>
        <v>59.010589546361281</v>
      </c>
      <c r="AS67" s="77">
        <f t="shared" si="29"/>
        <v>59.394820309449322</v>
      </c>
      <c r="AT67" s="77">
        <f t="shared" si="29"/>
        <v>59.199405038235689</v>
      </c>
      <c r="AU67" s="77">
        <f t="shared" si="29"/>
        <v>58.996855745571992</v>
      </c>
      <c r="AV67" s="77">
        <f t="shared" si="29"/>
        <v>59.072589531292039</v>
      </c>
      <c r="AW67" s="77">
        <f t="shared" si="29"/>
        <v>58.983265761350033</v>
      </c>
      <c r="AX67" s="77">
        <f t="shared" si="29"/>
        <v>59.13485203418206</v>
      </c>
      <c r="AY67" s="77">
        <f t="shared" si="29"/>
        <v>59.129387277179823</v>
      </c>
    </row>
    <row r="68" spans="1:51">
      <c r="A68" s="69" t="s">
        <v>40</v>
      </c>
      <c r="B68" s="108">
        <v>89.837999417121168</v>
      </c>
      <c r="C68" s="108">
        <v>35.094999772299779</v>
      </c>
      <c r="D68" s="108">
        <v>65.393999575716521</v>
      </c>
      <c r="E68" s="108">
        <v>54.966999643368062</v>
      </c>
      <c r="F68" s="108">
        <v>77.337999498222544</v>
      </c>
      <c r="G68" s="108">
        <v>42.090999726908962</v>
      </c>
      <c r="H68" s="108">
        <v>45.83999970258504</v>
      </c>
      <c r="I68" s="108">
        <v>64.258999583080538</v>
      </c>
      <c r="J68" s="108">
        <v>62.753999592845148</v>
      </c>
      <c r="K68" s="108">
        <v>71.837999533907151</v>
      </c>
      <c r="L68" s="108">
        <v>78.3179994918642</v>
      </c>
      <c r="M68" s="108">
        <v>65.99799957179772</v>
      </c>
      <c r="N68" s="108">
        <v>68.732999554052739</v>
      </c>
      <c r="O68" s="108">
        <v>49.149999681109392</v>
      </c>
      <c r="P68" s="108">
        <v>53.305999654144806</v>
      </c>
      <c r="Q68" s="108">
        <v>60.509999607404467</v>
      </c>
      <c r="R68" s="108">
        <v>44.963999708268616</v>
      </c>
      <c r="S68" s="108">
        <v>55.78099963808674</v>
      </c>
      <c r="T68" s="108">
        <v>50.034999675367416</v>
      </c>
      <c r="U68" s="108">
        <v>82.787999462862345</v>
      </c>
      <c r="V68" s="108">
        <v>65.569999574574624</v>
      </c>
      <c r="W68" s="108">
        <v>40.197999739190955</v>
      </c>
      <c r="X68" s="108">
        <v>66.493999568579611</v>
      </c>
      <c r="Y68" s="108">
        <v>35.933999766856253</v>
      </c>
      <c r="Z68" s="87">
        <v>134.495</v>
      </c>
      <c r="AA68" s="217">
        <v>132.18299999999999</v>
      </c>
      <c r="AB68" s="217">
        <v>21.721</v>
      </c>
      <c r="AC68" s="217">
        <v>75.900000000000006</v>
      </c>
      <c r="AD68" s="217">
        <v>44.768999999999998</v>
      </c>
      <c r="AE68" s="217">
        <v>42.273000000000003</v>
      </c>
      <c r="AF68" s="217">
        <v>37</v>
      </c>
      <c r="AG68" s="77">
        <f t="shared" ref="AG68:AG75" si="30">(SUM(AA68:AE68)/SUM(AA$77:AE$77))*AG$77</f>
        <v>66.250048275714462</v>
      </c>
      <c r="AH68" s="77">
        <f t="shared" si="27"/>
        <v>52.847605087366183</v>
      </c>
      <c r="AI68" s="77">
        <f t="shared" si="27"/>
        <v>61.740143652886331</v>
      </c>
      <c r="AJ68" s="77">
        <f t="shared" si="27"/>
        <v>56.969922481777914</v>
      </c>
      <c r="AK68" s="77">
        <f t="shared" si="27"/>
        <v>60.356628747429646</v>
      </c>
      <c r="AL68" s="77">
        <f t="shared" si="27"/>
        <v>58.568935559452804</v>
      </c>
      <c r="AM68" s="77">
        <f t="shared" si="27"/>
        <v>59.632869649034895</v>
      </c>
      <c r="AN68" s="77">
        <f t="shared" si="28"/>
        <v>58.096647105782573</v>
      </c>
      <c r="AO68" s="77">
        <f t="shared" si="29"/>
        <v>59.453700018116322</v>
      </c>
      <c r="AP68" s="77">
        <f t="shared" si="29"/>
        <v>58.725000708695568</v>
      </c>
      <c r="AQ68" s="77">
        <f t="shared" si="29"/>
        <v>59.221756215963254</v>
      </c>
      <c r="AR68" s="77">
        <f t="shared" si="29"/>
        <v>58.895430608216436</v>
      </c>
      <c r="AS68" s="77">
        <f t="shared" si="29"/>
        <v>59.025994739518524</v>
      </c>
      <c r="AT68" s="77">
        <f t="shared" si="29"/>
        <v>58.878506931354835</v>
      </c>
      <c r="AU68" s="77">
        <f t="shared" si="29"/>
        <v>59.064376458102018</v>
      </c>
      <c r="AV68" s="77">
        <f t="shared" si="29"/>
        <v>58.949337840749713</v>
      </c>
      <c r="AW68" s="77">
        <f t="shared" si="29"/>
        <v>59.017212990631016</v>
      </c>
      <c r="AX68" s="77">
        <f t="shared" si="29"/>
        <v>58.962729315588305</v>
      </c>
      <c r="AY68" s="77">
        <f t="shared" si="29"/>
        <v>58.98708579207122</v>
      </c>
    </row>
    <row r="69" spans="1:51">
      <c r="A69" s="69" t="s">
        <v>30</v>
      </c>
      <c r="B69" s="108">
        <v>35.438999770067873</v>
      </c>
      <c r="C69" s="108">
        <v>36.564999762762255</v>
      </c>
      <c r="D69" s="108">
        <v>67.205999563960091</v>
      </c>
      <c r="E69" s="108">
        <v>56.284999634816735</v>
      </c>
      <c r="F69" s="108">
        <v>75.729999508655425</v>
      </c>
      <c r="G69" s="108">
        <v>57.214999628782785</v>
      </c>
      <c r="H69" s="108">
        <v>62.478999594629379</v>
      </c>
      <c r="I69" s="108">
        <v>78.133999493058013</v>
      </c>
      <c r="J69" s="108">
        <v>47.153999694059664</v>
      </c>
      <c r="K69" s="108">
        <v>66.076999571285157</v>
      </c>
      <c r="L69" s="108">
        <v>51.718999664441441</v>
      </c>
      <c r="M69" s="108">
        <v>95.325999381514421</v>
      </c>
      <c r="N69" s="108">
        <v>60.035999610479827</v>
      </c>
      <c r="O69" s="108">
        <v>73.376999523921953</v>
      </c>
      <c r="P69" s="108">
        <v>68.282999556972371</v>
      </c>
      <c r="Q69" s="108">
        <v>44.901999708670886</v>
      </c>
      <c r="R69" s="108">
        <v>54.535999646164427</v>
      </c>
      <c r="S69" s="108">
        <v>64.85599957920715</v>
      </c>
      <c r="T69" s="108">
        <v>84.424999452241309</v>
      </c>
      <c r="U69" s="108">
        <v>77.455999497456958</v>
      </c>
      <c r="V69" s="108">
        <v>72.476999529761244</v>
      </c>
      <c r="W69" s="108">
        <v>76.036999506663577</v>
      </c>
      <c r="X69" s="108">
        <v>35.989999766492922</v>
      </c>
      <c r="Y69" s="87">
        <v>74.781999999999996</v>
      </c>
      <c r="Z69" s="87">
        <v>49.048000000000002</v>
      </c>
      <c r="AA69" s="217">
        <v>57.454000000000001</v>
      </c>
      <c r="AB69" s="217">
        <v>61.764000000000003</v>
      </c>
      <c r="AC69" s="217">
        <v>55.353999999999999</v>
      </c>
      <c r="AD69" s="217">
        <v>74.451999999999998</v>
      </c>
      <c r="AE69" s="217">
        <v>62.872999999999998</v>
      </c>
      <c r="AF69" s="217">
        <v>27.808</v>
      </c>
      <c r="AG69" s="77">
        <f t="shared" si="30"/>
        <v>65.215250648739499</v>
      </c>
      <c r="AH69" s="77">
        <f t="shared" si="27"/>
        <v>67.292644164854707</v>
      </c>
      <c r="AI69" s="77">
        <f t="shared" si="27"/>
        <v>66.265307740281571</v>
      </c>
      <c r="AJ69" s="77">
        <f t="shared" si="27"/>
        <v>69.740079293508742</v>
      </c>
      <c r="AK69" s="77">
        <f t="shared" si="27"/>
        <v>67.165531163457047</v>
      </c>
      <c r="AL69" s="77">
        <f t="shared" si="27"/>
        <v>63.154055836325718</v>
      </c>
      <c r="AM69" s="77">
        <f t="shared" si="27"/>
        <v>67.135762602168313</v>
      </c>
      <c r="AN69" s="77">
        <f t="shared" si="28"/>
        <v>66.723523639685567</v>
      </c>
      <c r="AO69" s="77">
        <f t="shared" si="29"/>
        <v>66.692147327148291</v>
      </c>
      <c r="AP69" s="77">
        <f t="shared" si="29"/>
        <v>66.783790507029082</v>
      </c>
      <c r="AQ69" s="77">
        <f t="shared" si="29"/>
        <v>66.174204113756986</v>
      </c>
      <c r="AR69" s="77">
        <f t="shared" si="29"/>
        <v>66.097855982471387</v>
      </c>
      <c r="AS69" s="77">
        <f t="shared" si="29"/>
        <v>66.701885637957645</v>
      </c>
      <c r="AT69" s="77">
        <f t="shared" si="29"/>
        <v>66.494304314018265</v>
      </c>
      <c r="AU69" s="77">
        <f t="shared" si="29"/>
        <v>66.489976713672675</v>
      </c>
      <c r="AV69" s="77">
        <f t="shared" si="29"/>
        <v>66.45040811104667</v>
      </c>
      <c r="AW69" s="77">
        <f t="shared" si="29"/>
        <v>66.391645352375377</v>
      </c>
      <c r="AX69" s="77">
        <f t="shared" si="29"/>
        <v>66.446886151833326</v>
      </c>
      <c r="AY69" s="77">
        <f t="shared" si="29"/>
        <v>66.505644025814135</v>
      </c>
    </row>
    <row r="70" spans="1:51">
      <c r="A70" s="69" t="s">
        <v>31</v>
      </c>
      <c r="B70" s="108">
        <v>33.544999782356356</v>
      </c>
      <c r="C70" s="108">
        <v>40.534999737004455</v>
      </c>
      <c r="D70" s="108">
        <v>53.539999652626591</v>
      </c>
      <c r="E70" s="108">
        <v>75.675999509005791</v>
      </c>
      <c r="F70" s="108">
        <v>43.378999718552279</v>
      </c>
      <c r="G70" s="108">
        <v>40.468999737432675</v>
      </c>
      <c r="H70" s="108">
        <v>60.890999604932489</v>
      </c>
      <c r="I70" s="108">
        <v>60.733999605951126</v>
      </c>
      <c r="J70" s="108">
        <v>62.437999594895381</v>
      </c>
      <c r="K70" s="108">
        <v>63.341999589030138</v>
      </c>
      <c r="L70" s="108">
        <v>92.694999398584642</v>
      </c>
      <c r="M70" s="108">
        <v>67.715999560651142</v>
      </c>
      <c r="N70" s="108">
        <v>82.564999464309196</v>
      </c>
      <c r="O70" s="108">
        <v>91.66399940527387</v>
      </c>
      <c r="P70" s="108">
        <v>84.945999448861002</v>
      </c>
      <c r="Q70" s="108">
        <v>33.023999785736649</v>
      </c>
      <c r="R70" s="108">
        <v>71.012999539259852</v>
      </c>
      <c r="S70" s="108">
        <v>42.822999722159665</v>
      </c>
      <c r="T70" s="108">
        <v>90.12699941524609</v>
      </c>
      <c r="U70" s="108">
        <v>79.635999483312872</v>
      </c>
      <c r="V70" s="108">
        <v>66.065999571356514</v>
      </c>
      <c r="W70" s="108">
        <v>50.563999671935207</v>
      </c>
      <c r="X70" s="108">
        <v>77.607999496470768</v>
      </c>
      <c r="Y70" s="87">
        <v>63.357999999999997</v>
      </c>
      <c r="Z70" s="87">
        <v>85.659000000000006</v>
      </c>
      <c r="AA70" s="217">
        <v>31.372</v>
      </c>
      <c r="AB70" s="217">
        <v>34.037999999999997</v>
      </c>
      <c r="AC70" s="217">
        <v>82.944999999999993</v>
      </c>
      <c r="AD70" s="217">
        <v>53.073999999999998</v>
      </c>
      <c r="AE70" s="217">
        <v>29.192</v>
      </c>
      <c r="AF70" s="217">
        <v>24.039000000000001</v>
      </c>
      <c r="AG70" s="77">
        <f t="shared" si="30"/>
        <v>48.221067595593901</v>
      </c>
      <c r="AH70" s="77">
        <f t="shared" si="27"/>
        <v>53.235028149703922</v>
      </c>
      <c r="AI70" s="77">
        <f t="shared" si="27"/>
        <v>55.078646870661849</v>
      </c>
      <c r="AJ70" s="77">
        <f t="shared" si="27"/>
        <v>48.680391518301406</v>
      </c>
      <c r="AK70" s="77">
        <f t="shared" si="27"/>
        <v>48.674461791846241</v>
      </c>
      <c r="AL70" s="77">
        <f t="shared" si="27"/>
        <v>48.860238108987595</v>
      </c>
      <c r="AM70" s="77">
        <f t="shared" si="27"/>
        <v>50.777919185221471</v>
      </c>
      <c r="AN70" s="77">
        <f t="shared" si="28"/>
        <v>50.905753287900204</v>
      </c>
      <c r="AO70" s="77">
        <f t="shared" si="29"/>
        <v>50.414331495003715</v>
      </c>
      <c r="AP70" s="77">
        <f t="shared" si="29"/>
        <v>49.579752778451386</v>
      </c>
      <c r="AQ70" s="77">
        <f t="shared" si="29"/>
        <v>49.926540773791842</v>
      </c>
      <c r="AR70" s="77">
        <f t="shared" si="29"/>
        <v>50.107598971112878</v>
      </c>
      <c r="AS70" s="77">
        <f t="shared" si="29"/>
        <v>50.320859504073724</v>
      </c>
      <c r="AT70" s="77">
        <f t="shared" si="29"/>
        <v>50.186795461251997</v>
      </c>
      <c r="AU70" s="77">
        <f t="shared" si="29"/>
        <v>50.069816704486712</v>
      </c>
      <c r="AV70" s="77">
        <f t="shared" si="29"/>
        <v>50.024309497736361</v>
      </c>
      <c r="AW70" s="77">
        <f t="shared" si="29"/>
        <v>50.122322282943436</v>
      </c>
      <c r="AX70" s="77">
        <f t="shared" si="29"/>
        <v>50.14187602773233</v>
      </c>
      <c r="AY70" s="77">
        <f t="shared" si="29"/>
        <v>50.144820690098449</v>
      </c>
    </row>
    <row r="71" spans="1:51">
      <c r="A71" s="69" t="s">
        <v>32</v>
      </c>
      <c r="B71" s="108">
        <v>55.385999640649537</v>
      </c>
      <c r="C71" s="108">
        <v>54.807999644399665</v>
      </c>
      <c r="D71" s="108">
        <v>93.753999391713748</v>
      </c>
      <c r="E71" s="108">
        <v>62.716999593085198</v>
      </c>
      <c r="F71" s="108">
        <v>68.540999555298441</v>
      </c>
      <c r="G71" s="108">
        <v>52.940999656512972</v>
      </c>
      <c r="H71" s="108">
        <v>41.706999729400394</v>
      </c>
      <c r="I71" s="108">
        <v>66.952999565601573</v>
      </c>
      <c r="J71" s="108">
        <v>81.383999471971649</v>
      </c>
      <c r="K71" s="108">
        <v>54.477999646540738</v>
      </c>
      <c r="L71" s="108">
        <v>49.124999681271589</v>
      </c>
      <c r="M71" s="108">
        <v>58.924999617688115</v>
      </c>
      <c r="N71" s="108">
        <v>53.208999654774153</v>
      </c>
      <c r="O71" s="108">
        <v>99.134999356801202</v>
      </c>
      <c r="P71" s="108">
        <v>92.258999401413462</v>
      </c>
      <c r="Q71" s="108">
        <v>40.657999736206435</v>
      </c>
      <c r="R71" s="108">
        <v>46.690999697063653</v>
      </c>
      <c r="S71" s="108">
        <v>69.903999546455154</v>
      </c>
      <c r="T71" s="108">
        <v>88.743999424219155</v>
      </c>
      <c r="U71" s="108">
        <v>108.01199929920627</v>
      </c>
      <c r="V71" s="108">
        <v>76.696999502381416</v>
      </c>
      <c r="W71" s="108">
        <v>82.999999461486865</v>
      </c>
      <c r="X71" s="108">
        <v>65.805999573043422</v>
      </c>
      <c r="Y71" s="87">
        <v>47.889000000000003</v>
      </c>
      <c r="Z71" s="87">
        <v>45.356999999999999</v>
      </c>
      <c r="AA71" s="217">
        <v>74.543000000000006</v>
      </c>
      <c r="AB71" s="217">
        <v>30.341999999999999</v>
      </c>
      <c r="AC71" s="217">
        <v>65.634</v>
      </c>
      <c r="AD71" s="217">
        <v>20.963000000000001</v>
      </c>
      <c r="AE71" s="217">
        <v>21.831</v>
      </c>
      <c r="AF71" s="217">
        <v>19.321999999999999</v>
      </c>
      <c r="AG71" s="77">
        <f t="shared" si="30"/>
        <v>44.602098646779446</v>
      </c>
      <c r="AH71" s="77">
        <f t="shared" si="27"/>
        <v>37.691376474521654</v>
      </c>
      <c r="AI71" s="77">
        <f t="shared" si="27"/>
        <v>39.975060856464417</v>
      </c>
      <c r="AJ71" s="77">
        <f t="shared" si="27"/>
        <v>33.836507083480036</v>
      </c>
      <c r="AK71" s="77">
        <f t="shared" si="27"/>
        <v>37.920659540092949</v>
      </c>
      <c r="AL71" s="77">
        <f t="shared" si="27"/>
        <v>37.388233486373217</v>
      </c>
      <c r="AM71" s="77">
        <f t="shared" si="27"/>
        <v>38.805140520267699</v>
      </c>
      <c r="AN71" s="77">
        <f t="shared" si="28"/>
        <v>37.36236748818645</v>
      </c>
      <c r="AO71" s="77">
        <f t="shared" si="29"/>
        <v>37.585120297335664</v>
      </c>
      <c r="AP71" s="77">
        <f t="shared" si="29"/>
        <v>37.062581623680067</v>
      </c>
      <c r="AQ71" s="77">
        <f t="shared" si="29"/>
        <v>37.8123042664512</v>
      </c>
      <c r="AR71" s="77">
        <f t="shared" si="29"/>
        <v>37.640688683168626</v>
      </c>
      <c r="AS71" s="77">
        <f t="shared" si="29"/>
        <v>37.725502839184223</v>
      </c>
      <c r="AT71" s="77">
        <f t="shared" si="29"/>
        <v>37.492612471764403</v>
      </c>
      <c r="AU71" s="77">
        <f t="shared" si="29"/>
        <v>37.565239541963962</v>
      </c>
      <c r="AV71" s="77">
        <f t="shared" si="29"/>
        <v>37.546737976849705</v>
      </c>
      <c r="AW71" s="77">
        <f t="shared" si="29"/>
        <v>37.647269560506487</v>
      </c>
      <c r="AX71" s="77">
        <f t="shared" si="29"/>
        <v>37.594156302586185</v>
      </c>
      <c r="AY71" s="77">
        <f t="shared" si="29"/>
        <v>37.595472478053757</v>
      </c>
    </row>
    <row r="72" spans="1:51">
      <c r="A72" s="69" t="s">
        <v>33</v>
      </c>
      <c r="B72" s="108">
        <v>35.448999770002985</v>
      </c>
      <c r="C72" s="108">
        <v>47.585999691256795</v>
      </c>
      <c r="D72" s="108">
        <v>47.321999692969655</v>
      </c>
      <c r="E72" s="108">
        <v>65.360999575930634</v>
      </c>
      <c r="F72" s="108">
        <v>53.541999652613612</v>
      </c>
      <c r="G72" s="108">
        <v>45.248999706419511</v>
      </c>
      <c r="H72" s="108">
        <v>65.382999575787906</v>
      </c>
      <c r="I72" s="108">
        <v>64.932999578707552</v>
      </c>
      <c r="J72" s="108">
        <v>77.925999494407534</v>
      </c>
      <c r="K72" s="108">
        <v>67.916999559347033</v>
      </c>
      <c r="L72" s="108">
        <v>59.624999613146443</v>
      </c>
      <c r="M72" s="108">
        <v>74.80199951467641</v>
      </c>
      <c r="N72" s="108">
        <v>51.315999667056147</v>
      </c>
      <c r="O72" s="108">
        <v>73.003999526342014</v>
      </c>
      <c r="P72" s="108">
        <v>88.407999426399172</v>
      </c>
      <c r="Q72" s="108">
        <v>49.785999676982954</v>
      </c>
      <c r="R72" s="108">
        <v>57.691999625687956</v>
      </c>
      <c r="S72" s="108">
        <v>71.527999535918454</v>
      </c>
      <c r="T72" s="108">
        <v>60.231999609208152</v>
      </c>
      <c r="U72" s="108">
        <v>64.673999580387971</v>
      </c>
      <c r="V72" s="108">
        <v>97.3089993686485</v>
      </c>
      <c r="W72" s="108">
        <v>55.117999642388348</v>
      </c>
      <c r="X72" s="108">
        <v>53.337999653937189</v>
      </c>
      <c r="Y72" s="87">
        <v>75.698999999999998</v>
      </c>
      <c r="Z72" s="217">
        <v>81.867000000000004</v>
      </c>
      <c r="AA72" s="217">
        <v>122.907</v>
      </c>
      <c r="AB72" s="217">
        <v>71.656999999999996</v>
      </c>
      <c r="AC72" s="217">
        <v>74.466999999999999</v>
      </c>
      <c r="AD72" s="217">
        <v>37.481999999999999</v>
      </c>
      <c r="AE72" s="217">
        <v>43.978000000000002</v>
      </c>
      <c r="AF72" s="217">
        <v>69.923000000000002</v>
      </c>
      <c r="AG72" s="77">
        <f t="shared" si="30"/>
        <v>73.28495758255886</v>
      </c>
      <c r="AH72" s="77">
        <f t="shared" si="27"/>
        <v>70.929891081177516</v>
      </c>
      <c r="AI72" s="77">
        <f t="shared" si="27"/>
        <v>69.380867581806712</v>
      </c>
      <c r="AJ72" s="77">
        <f t="shared" si="27"/>
        <v>69.261374239955472</v>
      </c>
      <c r="AK72" s="77">
        <f t="shared" si="27"/>
        <v>75.992992006483973</v>
      </c>
      <c r="AL72" s="77">
        <f t="shared" si="27"/>
        <v>75.186950439624212</v>
      </c>
      <c r="AM72" s="77">
        <f t="shared" si="27"/>
        <v>71.770016498396515</v>
      </c>
      <c r="AN72" s="77">
        <f t="shared" si="28"/>
        <v>72.150415069809583</v>
      </c>
      <c r="AO72" s="77">
        <f t="shared" si="29"/>
        <v>72.318440153253377</v>
      </c>
      <c r="AP72" s="77">
        <f t="shared" si="29"/>
        <v>72.872349650853948</v>
      </c>
      <c r="AQ72" s="77">
        <f t="shared" si="29"/>
        <v>73.483762833513538</v>
      </c>
      <c r="AR72" s="77">
        <f t="shared" si="29"/>
        <v>72.859634362387524</v>
      </c>
      <c r="AS72" s="77">
        <f t="shared" si="29"/>
        <v>72.518996841165404</v>
      </c>
      <c r="AT72" s="77">
        <f t="shared" si="29"/>
        <v>72.736920413963588</v>
      </c>
      <c r="AU72" s="77">
        <f t="shared" si="29"/>
        <v>72.810636768234758</v>
      </c>
      <c r="AV72" s="77">
        <f t="shared" si="29"/>
        <v>72.894332820376803</v>
      </c>
      <c r="AW72" s="77">
        <f t="shared" si="29"/>
        <v>72.881990243852968</v>
      </c>
      <c r="AX72" s="77">
        <f t="shared" si="29"/>
        <v>72.76410424122561</v>
      </c>
      <c r="AY72" s="77">
        <f t="shared" si="29"/>
        <v>72.768575417518718</v>
      </c>
    </row>
    <row r="73" spans="1:51">
      <c r="A73" s="69" t="s">
        <v>14</v>
      </c>
      <c r="B73" s="108">
        <v>53.935999650057305</v>
      </c>
      <c r="C73" s="108">
        <v>59.645999613010197</v>
      </c>
      <c r="D73" s="108">
        <v>78.711999489307885</v>
      </c>
      <c r="E73" s="108">
        <v>68.698999554273342</v>
      </c>
      <c r="F73" s="108">
        <v>50.01499967549718</v>
      </c>
      <c r="G73" s="108">
        <v>65.932999572219444</v>
      </c>
      <c r="H73" s="108">
        <v>52.226999661145477</v>
      </c>
      <c r="I73" s="108">
        <v>63.573999587524895</v>
      </c>
      <c r="J73" s="108">
        <v>49.333999679915586</v>
      </c>
      <c r="K73" s="108">
        <v>65.490999575087201</v>
      </c>
      <c r="L73" s="108">
        <v>62.685999593286347</v>
      </c>
      <c r="M73" s="108">
        <v>56.012999636581497</v>
      </c>
      <c r="N73" s="108">
        <v>86.203999440698965</v>
      </c>
      <c r="O73" s="108">
        <v>78.493999490722288</v>
      </c>
      <c r="P73" s="108">
        <v>98.502999360901711</v>
      </c>
      <c r="Q73" s="108">
        <v>90.232999414558364</v>
      </c>
      <c r="R73" s="108">
        <v>58.452999620750504</v>
      </c>
      <c r="S73" s="108">
        <v>49.54199967856605</v>
      </c>
      <c r="T73" s="108">
        <v>75.363999511030087</v>
      </c>
      <c r="U73" s="108">
        <v>109.59799928891611</v>
      </c>
      <c r="V73" s="108">
        <v>78.276999492130216</v>
      </c>
      <c r="W73" s="108">
        <v>79.410999484772688</v>
      </c>
      <c r="X73" s="108">
        <v>90.624999412015029</v>
      </c>
      <c r="Y73" s="87">
        <v>121.99</v>
      </c>
      <c r="Z73" s="217">
        <v>171.03100000000001</v>
      </c>
      <c r="AA73" s="217">
        <v>82.004000000000005</v>
      </c>
      <c r="AB73" s="217">
        <v>87.864000000000004</v>
      </c>
      <c r="AC73" s="217">
        <v>60.420999999999999</v>
      </c>
      <c r="AD73" s="217">
        <v>109.919</v>
      </c>
      <c r="AE73" s="217">
        <v>54.77</v>
      </c>
      <c r="AF73" s="217">
        <v>61.253999999999998</v>
      </c>
      <c r="AG73" s="77">
        <f t="shared" si="30"/>
        <v>82.586845242941834</v>
      </c>
      <c r="AH73" s="77">
        <f t="shared" si="27"/>
        <v>89.221266321555106</v>
      </c>
      <c r="AI73" s="77">
        <f t="shared" si="27"/>
        <v>85.573849157804716</v>
      </c>
      <c r="AJ73" s="77">
        <f t="shared" si="27"/>
        <v>93.196850778726784</v>
      </c>
      <c r="AK73" s="77">
        <f t="shared" si="27"/>
        <v>86.645864769734189</v>
      </c>
      <c r="AL73" s="77">
        <f t="shared" si="27"/>
        <v>87.772677718647373</v>
      </c>
      <c r="AM73" s="77">
        <f t="shared" si="27"/>
        <v>87.444935254152526</v>
      </c>
      <c r="AN73" s="77">
        <f t="shared" si="28"/>
        <v>88.482101749293633</v>
      </c>
      <c r="AO73" s="77">
        <f t="shared" si="29"/>
        <v>88.126835535813129</v>
      </c>
      <c r="AP73" s="77">
        <f t="shared" si="29"/>
        <v>88.708486054110907</v>
      </c>
      <c r="AQ73" s="77">
        <f t="shared" si="29"/>
        <v>87.69448300552817</v>
      </c>
      <c r="AR73" s="77">
        <f t="shared" si="29"/>
        <v>88.107007262403499</v>
      </c>
      <c r="AS73" s="77">
        <f t="shared" si="29"/>
        <v>88.091368319779676</v>
      </c>
      <c r="AT73" s="77">
        <f t="shared" si="29"/>
        <v>88.22378272142987</v>
      </c>
      <c r="AU73" s="77">
        <f t="shared" si="29"/>
        <v>88.145636035527076</v>
      </c>
      <c r="AV73" s="77">
        <f t="shared" si="29"/>
        <v>88.165025472650427</v>
      </c>
      <c r="AW73" s="77">
        <f t="shared" si="29"/>
        <v>88.052455468933658</v>
      </c>
      <c r="AX73" s="77">
        <f t="shared" si="29"/>
        <v>88.146563962358115</v>
      </c>
      <c r="AY73" s="77">
        <f t="shared" si="29"/>
        <v>88.135653603664153</v>
      </c>
    </row>
    <row r="74" spans="1:51">
      <c r="A74" s="69" t="s">
        <v>34</v>
      </c>
      <c r="B74" s="108">
        <v>49.816999676781833</v>
      </c>
      <c r="C74" s="108">
        <v>49.501999678825577</v>
      </c>
      <c r="D74" s="108">
        <v>60.986999604309631</v>
      </c>
      <c r="E74" s="108">
        <v>64.840999579304452</v>
      </c>
      <c r="F74" s="108">
        <v>59.973999610882089</v>
      </c>
      <c r="G74" s="108">
        <v>53.561999652483848</v>
      </c>
      <c r="H74" s="108">
        <v>42.496999724274787</v>
      </c>
      <c r="I74" s="108">
        <v>71.875999533660604</v>
      </c>
      <c r="J74" s="108">
        <v>104.50299932197305</v>
      </c>
      <c r="K74" s="108">
        <v>65.442999575398616</v>
      </c>
      <c r="L74" s="108">
        <v>98.204999362835153</v>
      </c>
      <c r="M74" s="108">
        <v>84.14399945406447</v>
      </c>
      <c r="N74" s="108">
        <v>75.857999507824942</v>
      </c>
      <c r="O74" s="108">
        <v>76.631999502803154</v>
      </c>
      <c r="P74" s="108">
        <v>89.576999418814566</v>
      </c>
      <c r="Q74" s="108">
        <v>51.887999663344957</v>
      </c>
      <c r="R74" s="108">
        <v>73.317999524304753</v>
      </c>
      <c r="S74" s="108">
        <v>63.524999587842814</v>
      </c>
      <c r="T74" s="108">
        <v>85.418999445792124</v>
      </c>
      <c r="U74" s="108">
        <v>89.048999422240286</v>
      </c>
      <c r="V74" s="108">
        <v>103.14399933079038</v>
      </c>
      <c r="W74" s="108">
        <v>84.920999449023213</v>
      </c>
      <c r="X74" s="108">
        <v>83.852999455952514</v>
      </c>
      <c r="Y74" s="87">
        <v>114.931</v>
      </c>
      <c r="Z74" s="217">
        <v>67.869</v>
      </c>
      <c r="AA74" s="217">
        <v>106.13800000000001</v>
      </c>
      <c r="AB74" s="217">
        <v>36.06</v>
      </c>
      <c r="AC74" s="217">
        <v>72.748999999999995</v>
      </c>
      <c r="AD74" s="217">
        <v>89.843000000000004</v>
      </c>
      <c r="AE74" s="217">
        <v>74.700999999999993</v>
      </c>
      <c r="AF74" s="217">
        <v>58.405999999999999</v>
      </c>
      <c r="AG74" s="77">
        <f t="shared" si="30"/>
        <v>79.348633311448324</v>
      </c>
      <c r="AH74" s="77">
        <f t="shared" si="27"/>
        <v>79.096053992680396</v>
      </c>
      <c r="AI74" s="77">
        <f t="shared" si="27"/>
        <v>86.987928104223556</v>
      </c>
      <c r="AJ74" s="77">
        <f t="shared" si="27"/>
        <v>89.364385735269835</v>
      </c>
      <c r="AK74" s="77">
        <f t="shared" si="27"/>
        <v>87.837088254334247</v>
      </c>
      <c r="AL74" s="77">
        <f t="shared" si="27"/>
        <v>83.802162755305105</v>
      </c>
      <c r="AM74" s="77">
        <f t="shared" si="27"/>
        <v>84.526817879591277</v>
      </c>
      <c r="AN74" s="77">
        <f t="shared" si="28"/>
        <v>85.417523768362628</v>
      </c>
      <c r="AO74" s="77">
        <f t="shared" si="29"/>
        <v>86.503676545744824</v>
      </c>
      <c r="AP74" s="77">
        <f t="shared" si="29"/>
        <v>86.18959567857263</v>
      </c>
      <c r="AQ74" s="77">
        <f t="shared" si="29"/>
        <v>85.617453840667608</v>
      </c>
      <c r="AR74" s="77">
        <f t="shared" si="29"/>
        <v>85.287955325515298</v>
      </c>
      <c r="AS74" s="77">
        <f t="shared" si="29"/>
        <v>85.651013542587791</v>
      </c>
      <c r="AT74" s="77">
        <f t="shared" si="29"/>
        <v>85.803241031772615</v>
      </c>
      <c r="AU74" s="77">
        <f t="shared" si="29"/>
        <v>85.84993898661763</v>
      </c>
      <c r="AV74" s="77">
        <f t="shared" si="29"/>
        <v>85.709851883823191</v>
      </c>
      <c r="AW74" s="77">
        <f t="shared" si="29"/>
        <v>85.641920545432185</v>
      </c>
      <c r="AX74" s="77">
        <f t="shared" si="29"/>
        <v>85.660400154063296</v>
      </c>
      <c r="AY74" s="77">
        <f t="shared" si="29"/>
        <v>85.731193198046682</v>
      </c>
    </row>
    <row r="75" spans="1:51">
      <c r="A75" s="69" t="s">
        <v>35</v>
      </c>
      <c r="B75" s="108">
        <v>60.679999606301486</v>
      </c>
      <c r="C75" s="108">
        <v>64.946999578616726</v>
      </c>
      <c r="D75" s="108">
        <v>60.873999605042783</v>
      </c>
      <c r="E75" s="108">
        <v>86.976999435683652</v>
      </c>
      <c r="F75" s="108">
        <v>89.377999420105695</v>
      </c>
      <c r="G75" s="108">
        <v>43.939999714912446</v>
      </c>
      <c r="H75" s="108">
        <v>92.527999399668161</v>
      </c>
      <c r="I75" s="108">
        <v>57.009999630112851</v>
      </c>
      <c r="J75" s="108">
        <v>73.867999520736291</v>
      </c>
      <c r="K75" s="108">
        <v>105.66699931442088</v>
      </c>
      <c r="L75" s="108">
        <v>97.295999368732851</v>
      </c>
      <c r="M75" s="108">
        <v>53.16299965507261</v>
      </c>
      <c r="N75" s="108">
        <v>81.910999468552433</v>
      </c>
      <c r="O75" s="108">
        <v>84.118999454226682</v>
      </c>
      <c r="P75" s="108">
        <v>104.95099931906637</v>
      </c>
      <c r="Q75" s="108">
        <v>65.125999577455346</v>
      </c>
      <c r="R75" s="108">
        <v>68.982999552430712</v>
      </c>
      <c r="S75" s="108">
        <v>89.053999422207852</v>
      </c>
      <c r="T75" s="108">
        <v>89.099999421909388</v>
      </c>
      <c r="U75" s="108">
        <v>111.45999927683525</v>
      </c>
      <c r="V75" s="108">
        <v>80.154999479945531</v>
      </c>
      <c r="W75" s="108">
        <v>47.360999692716618</v>
      </c>
      <c r="X75" s="108">
        <v>39.275999745172989</v>
      </c>
      <c r="Y75" s="87">
        <v>127.024</v>
      </c>
      <c r="Z75" s="217">
        <v>84.177999999999997</v>
      </c>
      <c r="AA75" s="217">
        <v>49.97</v>
      </c>
      <c r="AB75" s="217">
        <v>23.465</v>
      </c>
      <c r="AC75" s="217">
        <v>94.301000000000002</v>
      </c>
      <c r="AD75" s="217">
        <v>88.075000000000003</v>
      </c>
      <c r="AE75" s="217">
        <v>61.195</v>
      </c>
      <c r="AF75" s="217">
        <v>83.275999999999996</v>
      </c>
      <c r="AG75" s="77">
        <f t="shared" si="30"/>
        <v>66.283503038356614</v>
      </c>
      <c r="AH75" s="77">
        <f t="shared" si="27"/>
        <v>83.519352500712429</v>
      </c>
      <c r="AI75" s="77">
        <f t="shared" si="27"/>
        <v>91.182039017106149</v>
      </c>
      <c r="AJ75" s="77">
        <f t="shared" si="27"/>
        <v>89.587956385417769</v>
      </c>
      <c r="AK75" s="77">
        <f t="shared" si="27"/>
        <v>89.441955478715997</v>
      </c>
      <c r="AL75" s="77">
        <f t="shared" si="27"/>
        <v>88.20235008846123</v>
      </c>
      <c r="AM75" s="77">
        <f t="shared" si="27"/>
        <v>84.002961284061797</v>
      </c>
      <c r="AN75" s="77">
        <f t="shared" si="28"/>
        <v>88.386730694082715</v>
      </c>
      <c r="AO75" s="77">
        <f t="shared" si="29"/>
        <v>88.483452450752594</v>
      </c>
      <c r="AP75" s="77">
        <f t="shared" si="29"/>
        <v>87.924390786147896</v>
      </c>
      <c r="AQ75" s="77">
        <f t="shared" si="29"/>
        <v>87.703489999214867</v>
      </c>
      <c r="AR75" s="77">
        <f t="shared" si="29"/>
        <v>87.399977060701261</v>
      </c>
      <c r="AS75" s="77">
        <f t="shared" si="29"/>
        <v>87.300205042851985</v>
      </c>
      <c r="AT75" s="77">
        <f t="shared" si="29"/>
        <v>87.979608198179875</v>
      </c>
      <c r="AU75" s="77">
        <f t="shared" si="29"/>
        <v>87.762303067933715</v>
      </c>
      <c r="AV75" s="77">
        <f t="shared" si="29"/>
        <v>87.661534217419174</v>
      </c>
      <c r="AW75" s="77">
        <f t="shared" si="29"/>
        <v>87.629116673776338</v>
      </c>
      <c r="AX75" s="77">
        <f t="shared" si="29"/>
        <v>87.620725517417185</v>
      </c>
      <c r="AY75" s="77">
        <f t="shared" si="29"/>
        <v>87.666553440032203</v>
      </c>
    </row>
    <row r="76" spans="1:51">
      <c r="A76" s="69" t="s">
        <v>36</v>
      </c>
      <c r="B76" s="108">
        <v>39.344999744725314</v>
      </c>
      <c r="C76" s="108">
        <v>63.421999588511085</v>
      </c>
      <c r="D76" s="108">
        <v>66.279999569968069</v>
      </c>
      <c r="E76" s="108">
        <v>65.80099957307587</v>
      </c>
      <c r="F76" s="108">
        <v>52.815999657323978</v>
      </c>
      <c r="G76" s="108">
        <v>52.234999661093575</v>
      </c>
      <c r="H76" s="108">
        <v>89.27499942077398</v>
      </c>
      <c r="I76" s="108">
        <v>87.34899943327008</v>
      </c>
      <c r="J76" s="108">
        <v>70.543999542302771</v>
      </c>
      <c r="K76" s="108">
        <v>82.433999465159133</v>
      </c>
      <c r="L76" s="108">
        <v>74.337999517686868</v>
      </c>
      <c r="M76" s="108">
        <v>58.815999618395324</v>
      </c>
      <c r="N76" s="108">
        <v>113.63399926273011</v>
      </c>
      <c r="O76" s="108">
        <v>91.841999404119008</v>
      </c>
      <c r="P76" s="108">
        <v>145.98699905282027</v>
      </c>
      <c r="Q76" s="108">
        <v>70.148999544865561</v>
      </c>
      <c r="R76" s="108">
        <v>60.890999604932489</v>
      </c>
      <c r="S76" s="108">
        <v>64.283999582918341</v>
      </c>
      <c r="T76" s="108">
        <v>78.014999493830103</v>
      </c>
      <c r="U76" s="108">
        <v>83.452999458547751</v>
      </c>
      <c r="V76" s="108">
        <v>104.4339993224207</v>
      </c>
      <c r="W76" s="108">
        <v>125.71799918432778</v>
      </c>
      <c r="X76" s="108">
        <v>82.352999465684661</v>
      </c>
      <c r="Y76" s="87">
        <v>76.450999999999993</v>
      </c>
      <c r="Z76" s="217">
        <v>161.858</v>
      </c>
      <c r="AA76" s="217">
        <v>141.18299999999999</v>
      </c>
      <c r="AB76" s="217">
        <v>130.774</v>
      </c>
      <c r="AC76" s="217">
        <v>69.673000000000002</v>
      </c>
      <c r="AD76" s="217">
        <v>60.024999999999999</v>
      </c>
      <c r="AE76" s="217">
        <v>22.277000000000001</v>
      </c>
      <c r="AF76" s="217">
        <v>85.055999999999997</v>
      </c>
      <c r="AG76" s="77">
        <f t="shared" ref="AG76:AL76" si="31">AG77-SUM(AG65:AG75)</f>
        <v>78.496595657867033</v>
      </c>
      <c r="AH76" s="77">
        <f t="shared" si="31"/>
        <v>87.689931965004234</v>
      </c>
      <c r="AI76" s="77">
        <f t="shared" si="31"/>
        <v>73.18294895942563</v>
      </c>
      <c r="AJ76" s="77">
        <f t="shared" si="31"/>
        <v>78.152640345013879</v>
      </c>
      <c r="AK76" s="77">
        <f t="shared" si="31"/>
        <v>80.449534986460321</v>
      </c>
      <c r="AL76" s="77">
        <f t="shared" si="31"/>
        <v>85.800252740553105</v>
      </c>
      <c r="AM76" s="77">
        <f t="shared" ref="AM76:AY76" si="32">AM77-SUM(AM65:AM75)</f>
        <v>79.594330382754151</v>
      </c>
      <c r="AN76" s="77">
        <f t="shared" si="32"/>
        <v>81.055061799291366</v>
      </c>
      <c r="AO76" s="77">
        <f t="shared" si="32"/>
        <v>79.435941482841372</v>
      </c>
      <c r="AP76" s="77">
        <f t="shared" si="32"/>
        <v>81.010364050814474</v>
      </c>
      <c r="AQ76" s="77">
        <f t="shared" si="32"/>
        <v>81.267024278380063</v>
      </c>
      <c r="AR76" s="77">
        <f t="shared" si="32"/>
        <v>81.379190091250848</v>
      </c>
      <c r="AS76" s="77">
        <f t="shared" si="32"/>
        <v>80.472544398816467</v>
      </c>
      <c r="AT76" s="77">
        <f t="shared" si="32"/>
        <v>80.829516340515625</v>
      </c>
      <c r="AU76" s="77">
        <f t="shared" si="32"/>
        <v>80.713012860420577</v>
      </c>
      <c r="AV76" s="77">
        <f t="shared" si="32"/>
        <v>80.991727831955473</v>
      </c>
      <c r="AW76" s="77">
        <f t="shared" si="32"/>
        <v>80.93225759387667</v>
      </c>
      <c r="AX76" s="77">
        <f t="shared" si="32"/>
        <v>80.877198304591843</v>
      </c>
      <c r="AY76" s="77">
        <f t="shared" si="32"/>
        <v>80.787811805116917</v>
      </c>
    </row>
    <row r="77" spans="1:51" ht="12" thickBot="1">
      <c r="A77" s="69" t="s">
        <v>138</v>
      </c>
      <c r="B77" s="108">
        <f>SUM(B65:B76)</f>
        <v>646.45299580574181</v>
      </c>
      <c r="C77" s="108">
        <f t="shared" ref="C77:X77" si="33">SUM(C65:C76)</f>
        <v>607.78099605665</v>
      </c>
      <c r="D77" s="108">
        <f t="shared" si="33"/>
        <v>772.33899498897949</v>
      </c>
      <c r="E77" s="108">
        <f t="shared" si="33"/>
        <v>777.07199495827138</v>
      </c>
      <c r="F77" s="108">
        <f t="shared" si="33"/>
        <v>771.54199499415063</v>
      </c>
      <c r="G77" s="108">
        <f t="shared" si="33"/>
        <v>645.18499581396873</v>
      </c>
      <c r="H77" s="108">
        <f t="shared" si="33"/>
        <v>695.82499548541091</v>
      </c>
      <c r="I77" s="108">
        <f t="shared" si="33"/>
        <v>790.52699487097402</v>
      </c>
      <c r="J77" s="108">
        <f t="shared" si="33"/>
        <v>818.88699468697109</v>
      </c>
      <c r="K77" s="108">
        <f t="shared" si="33"/>
        <v>814.69599471416279</v>
      </c>
      <c r="L77" s="108">
        <f t="shared" si="33"/>
        <v>902.73299414296889</v>
      </c>
      <c r="M77" s="108">
        <f t="shared" si="33"/>
        <v>863.48899439758839</v>
      </c>
      <c r="N77" s="108">
        <f t="shared" si="33"/>
        <v>900.92399415470607</v>
      </c>
      <c r="O77" s="108">
        <f t="shared" si="33"/>
        <v>987.588993592414</v>
      </c>
      <c r="P77" s="108">
        <f t="shared" si="33"/>
        <v>1098.2289928745695</v>
      </c>
      <c r="Q77" s="108">
        <f t="shared" si="33"/>
        <v>717.85199534249728</v>
      </c>
      <c r="R77" s="108">
        <f t="shared" si="33"/>
        <v>700.706995453736</v>
      </c>
      <c r="S77" s="108">
        <f t="shared" si="33"/>
        <v>727.19399528188535</v>
      </c>
      <c r="T77" s="108">
        <f t="shared" si="33"/>
        <v>899.280994165366</v>
      </c>
      <c r="U77" s="108">
        <f t="shared" si="33"/>
        <v>997.71999352668286</v>
      </c>
      <c r="V77" s="108">
        <f t="shared" si="33"/>
        <v>972.91799368760098</v>
      </c>
      <c r="W77" s="108">
        <f t="shared" si="33"/>
        <v>862.20799440589974</v>
      </c>
      <c r="X77" s="108">
        <f t="shared" si="33"/>
        <v>745.9299951603241</v>
      </c>
      <c r="Y77" s="76">
        <f>SUM(Y65:Y76)</f>
        <v>925.81299854868121</v>
      </c>
      <c r="Z77" s="76">
        <f t="shared" ref="Z77:AF77" si="34">SUM(Z65:Z76)</f>
        <v>1224.106</v>
      </c>
      <c r="AA77" s="76">
        <f t="shared" si="34"/>
        <v>1088.2000000000003</v>
      </c>
      <c r="AB77" s="76">
        <f t="shared" si="34"/>
        <v>750.45700000000011</v>
      </c>
      <c r="AC77" s="76">
        <f t="shared" si="34"/>
        <v>887.08600000000013</v>
      </c>
      <c r="AD77" s="76">
        <f t="shared" si="34"/>
        <v>814.55100000000004</v>
      </c>
      <c r="AE77" s="76">
        <f t="shared" si="34"/>
        <v>524.89699999999993</v>
      </c>
      <c r="AF77" s="76">
        <f t="shared" si="34"/>
        <v>588.23300000000006</v>
      </c>
      <c r="AG77" s="77">
        <f t="shared" ref="AG77:AY77" si="35">AG9</f>
        <v>850</v>
      </c>
      <c r="AH77" s="77">
        <f t="shared" si="35"/>
        <v>850</v>
      </c>
      <c r="AI77" s="77">
        <f t="shared" si="35"/>
        <v>850</v>
      </c>
      <c r="AJ77" s="77">
        <f t="shared" si="35"/>
        <v>850</v>
      </c>
      <c r="AK77" s="77">
        <f t="shared" si="35"/>
        <v>850</v>
      </c>
      <c r="AL77" s="77">
        <f t="shared" si="35"/>
        <v>850</v>
      </c>
      <c r="AM77" s="77">
        <f t="shared" si="35"/>
        <v>850</v>
      </c>
      <c r="AN77" s="77">
        <f t="shared" si="35"/>
        <v>850</v>
      </c>
      <c r="AO77" s="77">
        <f t="shared" si="35"/>
        <v>850</v>
      </c>
      <c r="AP77" s="77">
        <f t="shared" si="35"/>
        <v>850</v>
      </c>
      <c r="AQ77" s="77">
        <f t="shared" si="35"/>
        <v>850</v>
      </c>
      <c r="AR77" s="77">
        <f t="shared" si="35"/>
        <v>850</v>
      </c>
      <c r="AS77" s="77">
        <f t="shared" si="35"/>
        <v>850</v>
      </c>
      <c r="AT77" s="77">
        <f t="shared" si="35"/>
        <v>850</v>
      </c>
      <c r="AU77" s="77">
        <f t="shared" si="35"/>
        <v>850</v>
      </c>
      <c r="AV77" s="77">
        <f t="shared" si="35"/>
        <v>850</v>
      </c>
      <c r="AW77" s="77">
        <f t="shared" si="35"/>
        <v>850</v>
      </c>
      <c r="AX77" s="77">
        <f t="shared" si="35"/>
        <v>850</v>
      </c>
      <c r="AY77" s="77">
        <f t="shared" si="35"/>
        <v>850</v>
      </c>
    </row>
    <row r="78" spans="1:51">
      <c r="A78" s="199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200"/>
      <c r="AW78" s="200"/>
      <c r="AX78" s="200"/>
      <c r="AY78" s="200"/>
    </row>
    <row r="79" spans="1:51" ht="12" thickBot="1">
      <c r="A79" s="69" t="s">
        <v>362</v>
      </c>
      <c r="D79" s="92"/>
      <c r="E79" s="92"/>
      <c r="F79" s="92"/>
      <c r="G79" s="92"/>
      <c r="H79" s="92"/>
      <c r="I79" s="92"/>
      <c r="J79" s="92"/>
    </row>
    <row r="80" spans="1:51" ht="12" thickBot="1">
      <c r="A80" s="202"/>
      <c r="B80" s="203" t="str">
        <f>B$2</f>
        <v xml:space="preserve">93/94 </v>
      </c>
      <c r="C80" s="203" t="str">
        <f t="shared" ref="C80:AY80" si="36">C$2</f>
        <v xml:space="preserve">94/95 </v>
      </c>
      <c r="D80" s="203" t="str">
        <f t="shared" si="36"/>
        <v xml:space="preserve">95/96 </v>
      </c>
      <c r="E80" s="203" t="str">
        <f t="shared" si="36"/>
        <v xml:space="preserve">96/97 </v>
      </c>
      <c r="F80" s="203" t="str">
        <f t="shared" si="36"/>
        <v xml:space="preserve">97/98 </v>
      </c>
      <c r="G80" s="203" t="str">
        <f t="shared" si="36"/>
        <v xml:space="preserve">98/99 </v>
      </c>
      <c r="H80" s="203" t="str">
        <f t="shared" si="36"/>
        <v xml:space="preserve">99/00 </v>
      </c>
      <c r="I80" s="203" t="str">
        <f t="shared" si="36"/>
        <v xml:space="preserve">00/01 </v>
      </c>
      <c r="J80" s="203" t="str">
        <f t="shared" si="36"/>
        <v xml:space="preserve">01/02 </v>
      </c>
      <c r="K80" s="203" t="str">
        <f t="shared" si="36"/>
        <v xml:space="preserve">02/03 </v>
      </c>
      <c r="L80" s="203" t="str">
        <f t="shared" si="36"/>
        <v xml:space="preserve">03/04 </v>
      </c>
      <c r="M80" s="203" t="str">
        <f t="shared" si="36"/>
        <v xml:space="preserve">04/05 </v>
      </c>
      <c r="N80" s="203" t="str">
        <f t="shared" si="36"/>
        <v xml:space="preserve">05/06 </v>
      </c>
      <c r="O80" s="203" t="str">
        <f t="shared" si="36"/>
        <v xml:space="preserve">06/07 </v>
      </c>
      <c r="P80" s="203" t="str">
        <f t="shared" si="36"/>
        <v xml:space="preserve">07/08 </v>
      </c>
      <c r="Q80" s="203" t="str">
        <f t="shared" si="36"/>
        <v xml:space="preserve">08/09 </v>
      </c>
      <c r="R80" s="203" t="str">
        <f t="shared" si="36"/>
        <v xml:space="preserve">09/10 </v>
      </c>
      <c r="S80" s="203" t="str">
        <f t="shared" si="36"/>
        <v xml:space="preserve">10/11 </v>
      </c>
      <c r="T80" s="203" t="str">
        <f t="shared" si="36"/>
        <v xml:space="preserve">11/12 </v>
      </c>
      <c r="U80" s="203" t="str">
        <f t="shared" si="36"/>
        <v xml:space="preserve">12/13 </v>
      </c>
      <c r="V80" s="203" t="str">
        <f t="shared" si="36"/>
        <v xml:space="preserve">13/14 </v>
      </c>
      <c r="W80" s="203" t="str">
        <f t="shared" si="36"/>
        <v xml:space="preserve">14/15 </v>
      </c>
      <c r="X80" s="203" t="str">
        <f t="shared" si="36"/>
        <v xml:space="preserve">15/16 </v>
      </c>
      <c r="Y80" s="203" t="str">
        <f t="shared" si="36"/>
        <v xml:space="preserve">16/17 </v>
      </c>
      <c r="Z80" s="203" t="str">
        <f t="shared" si="36"/>
        <v xml:space="preserve">17/18 </v>
      </c>
      <c r="AA80" s="203" t="str">
        <f t="shared" si="36"/>
        <v xml:space="preserve">18/19 </v>
      </c>
      <c r="AB80" s="203" t="str">
        <f t="shared" si="36"/>
        <v xml:space="preserve">19/20 </v>
      </c>
      <c r="AC80" s="203" t="str">
        <f t="shared" si="36"/>
        <v xml:space="preserve">20/21 </v>
      </c>
      <c r="AD80" s="203" t="str">
        <f t="shared" si="36"/>
        <v>21/22</v>
      </c>
      <c r="AE80" s="203" t="str">
        <f t="shared" si="36"/>
        <v>22/23</v>
      </c>
      <c r="AF80" s="203" t="str">
        <f t="shared" si="36"/>
        <v>23/24</v>
      </c>
      <c r="AG80" s="203" t="str">
        <f t="shared" si="36"/>
        <v>24/25</v>
      </c>
      <c r="AH80" s="203" t="str">
        <f t="shared" si="36"/>
        <v>25/26</v>
      </c>
      <c r="AI80" s="203" t="str">
        <f t="shared" si="36"/>
        <v>26/27</v>
      </c>
      <c r="AJ80" s="203" t="str">
        <f t="shared" si="36"/>
        <v>27/28</v>
      </c>
      <c r="AK80" s="203" t="str">
        <f t="shared" si="36"/>
        <v>28/29</v>
      </c>
      <c r="AL80" s="203" t="str">
        <f t="shared" si="36"/>
        <v>29/30</v>
      </c>
      <c r="AM80" s="203" t="str">
        <f t="shared" si="36"/>
        <v>30/31</v>
      </c>
      <c r="AN80" s="203" t="str">
        <f t="shared" si="36"/>
        <v>31/32</v>
      </c>
      <c r="AO80" s="203" t="str">
        <f t="shared" si="36"/>
        <v>32/33</v>
      </c>
      <c r="AP80" s="203" t="str">
        <f t="shared" si="36"/>
        <v>33/34</v>
      </c>
      <c r="AQ80" s="203" t="str">
        <f t="shared" si="36"/>
        <v>34/35</v>
      </c>
      <c r="AR80" s="203" t="str">
        <f t="shared" si="36"/>
        <v>35/36</v>
      </c>
      <c r="AS80" s="203" t="str">
        <f t="shared" si="36"/>
        <v>36/37</v>
      </c>
      <c r="AT80" s="203" t="str">
        <f t="shared" si="36"/>
        <v>37/38</v>
      </c>
      <c r="AU80" s="203" t="str">
        <f t="shared" si="36"/>
        <v>38/39</v>
      </c>
      <c r="AV80" s="203" t="str">
        <f t="shared" si="36"/>
        <v>39/40</v>
      </c>
      <c r="AW80" s="203" t="str">
        <f t="shared" si="36"/>
        <v>40/41</v>
      </c>
      <c r="AX80" s="203" t="str">
        <f t="shared" si="36"/>
        <v>41/42</v>
      </c>
      <c r="AY80" s="203" t="str">
        <f t="shared" si="36"/>
        <v>42/43</v>
      </c>
    </row>
    <row r="81" spans="1:51">
      <c r="A81" s="69" t="s">
        <v>38</v>
      </c>
      <c r="B81" s="108">
        <f>B4+B17+B49-B65-B97</f>
        <v>73.56119760415703</v>
      </c>
      <c r="C81" s="108">
        <f>B108+C17+C49-C65-C97</f>
        <v>72.198636682695565</v>
      </c>
      <c r="D81" s="108">
        <f t="shared" ref="D81:S81" si="37">C108+D17+D49-D65-D97</f>
        <v>58.028598244390068</v>
      </c>
      <c r="E81" s="108">
        <f t="shared" si="37"/>
        <v>66.028649262481252</v>
      </c>
      <c r="F81" s="108">
        <f t="shared" si="37"/>
        <v>71.502600398758261</v>
      </c>
      <c r="G81" s="108">
        <f t="shared" si="37"/>
        <v>68.62848915842703</v>
      </c>
      <c r="H81" s="108">
        <f t="shared" si="37"/>
        <v>93.276459131762081</v>
      </c>
      <c r="I81" s="108">
        <f t="shared" si="37"/>
        <v>75.357716268132634</v>
      </c>
      <c r="J81" s="108">
        <f t="shared" si="37"/>
        <v>71.511844879056</v>
      </c>
      <c r="K81" s="108">
        <f t="shared" si="37"/>
        <v>102.51012962666466</v>
      </c>
      <c r="L81" s="108">
        <f t="shared" si="37"/>
        <v>52.340044228193165</v>
      </c>
      <c r="M81" s="108">
        <f t="shared" si="37"/>
        <v>53.63291996558192</v>
      </c>
      <c r="N81" s="108">
        <f t="shared" si="37"/>
        <v>61.099245182409888</v>
      </c>
      <c r="O81" s="108">
        <f t="shared" si="37"/>
        <v>54.662347585364657</v>
      </c>
      <c r="P81" s="108">
        <f t="shared" si="37"/>
        <v>36.670280187952557</v>
      </c>
      <c r="Q81" s="108">
        <f t="shared" si="37"/>
        <v>51.6461351958595</v>
      </c>
      <c r="R81" s="108">
        <f t="shared" si="37"/>
        <v>76.086165265563636</v>
      </c>
      <c r="S81" s="108">
        <f t="shared" si="37"/>
        <v>55.943856126076895</v>
      </c>
      <c r="T81" s="108">
        <f t="shared" ref="T81:AY81" si="38">S108+T18+T49-T65-T97</f>
        <v>85.65659884519421</v>
      </c>
      <c r="U81" s="108">
        <f t="shared" si="38"/>
        <v>63.114050202946089</v>
      </c>
      <c r="V81" s="108">
        <f t="shared" si="38"/>
        <v>94.033917091875807</v>
      </c>
      <c r="W81" s="108">
        <f t="shared" si="38"/>
        <v>79.710444291200787</v>
      </c>
      <c r="X81" s="108">
        <f t="shared" si="38"/>
        <v>569.9840003440321</v>
      </c>
      <c r="Y81" s="108">
        <f t="shared" si="38"/>
        <v>583.68100038744387</v>
      </c>
      <c r="Z81" s="87">
        <f t="shared" si="38"/>
        <v>484.05899999999997</v>
      </c>
      <c r="AA81" s="217">
        <f t="shared" si="38"/>
        <v>398.23399999999998</v>
      </c>
      <c r="AB81" s="217">
        <f t="shared" si="38"/>
        <v>443.50400000000013</v>
      </c>
      <c r="AC81" s="217">
        <f t="shared" si="38"/>
        <v>439.91100000000006</v>
      </c>
      <c r="AD81" s="217">
        <f t="shared" si="38"/>
        <v>445.74400000000003</v>
      </c>
      <c r="AE81" s="217">
        <f t="shared" si="38"/>
        <v>433.99900000000002</v>
      </c>
      <c r="AF81" s="217">
        <f t="shared" si="38"/>
        <v>396.33399999999995</v>
      </c>
      <c r="AG81" s="217">
        <f t="shared" si="38"/>
        <v>360.44299999999998</v>
      </c>
      <c r="AH81" s="77">
        <f t="shared" si="38"/>
        <v>400.48234080268412</v>
      </c>
      <c r="AI81" s="77">
        <f t="shared" si="38"/>
        <v>391.33320392334571</v>
      </c>
      <c r="AJ81" s="77">
        <f t="shared" si="38"/>
        <v>387.86040008239894</v>
      </c>
      <c r="AK81" s="77">
        <f t="shared" si="38"/>
        <v>379.27179037876579</v>
      </c>
      <c r="AL81" s="77">
        <f t="shared" si="38"/>
        <v>376.90776841980335</v>
      </c>
      <c r="AM81" s="77">
        <f t="shared" si="38"/>
        <v>379.90822170938822</v>
      </c>
      <c r="AN81" s="77">
        <f t="shared" si="38"/>
        <v>376.71144257562145</v>
      </c>
      <c r="AO81" s="77">
        <f t="shared" si="38"/>
        <v>373.12385002181418</v>
      </c>
      <c r="AP81" s="77">
        <f t="shared" si="38"/>
        <v>370.27393793253839</v>
      </c>
      <c r="AQ81" s="77">
        <f t="shared" si="38"/>
        <v>367.78167758610465</v>
      </c>
      <c r="AR81" s="77">
        <f t="shared" si="38"/>
        <v>365.65241622352482</v>
      </c>
      <c r="AS81" s="77">
        <f t="shared" si="38"/>
        <v>363.52140860626548</v>
      </c>
      <c r="AT81" s="77">
        <f t="shared" si="38"/>
        <v>360.82772111233629</v>
      </c>
      <c r="AU81" s="77">
        <f t="shared" si="38"/>
        <v>358.30497083258877</v>
      </c>
      <c r="AV81" s="77">
        <f t="shared" si="38"/>
        <v>355.88356708233454</v>
      </c>
      <c r="AW81" s="77">
        <f t="shared" si="38"/>
        <v>353.39704774924724</v>
      </c>
      <c r="AX81" s="77">
        <f t="shared" si="38"/>
        <v>341.19761842040066</v>
      </c>
      <c r="AY81" s="77">
        <f t="shared" si="38"/>
        <v>333.87982110050621</v>
      </c>
    </row>
    <row r="82" spans="1:51">
      <c r="A82" s="69" t="s">
        <v>39</v>
      </c>
      <c r="B82" s="108">
        <f>B97+B18+B50-B66-B98</f>
        <v>47.393598313391124</v>
      </c>
      <c r="C82" s="108">
        <f>C97+C18+C50-C66-C98</f>
        <v>79.263471762433994</v>
      </c>
      <c r="D82" s="108">
        <f t="shared" ref="D82:AY92" si="39">D97+D18+D50-D66-D98</f>
        <v>84.537992341972966</v>
      </c>
      <c r="E82" s="108">
        <f t="shared" si="39"/>
        <v>43.319636870065679</v>
      </c>
      <c r="F82" s="108">
        <f t="shared" si="39"/>
        <v>53.696574979287533</v>
      </c>
      <c r="G82" s="108">
        <f t="shared" si="39"/>
        <v>78.941892024587347</v>
      </c>
      <c r="H82" s="108">
        <f t="shared" si="39"/>
        <v>77.318722677116469</v>
      </c>
      <c r="I82" s="108">
        <f t="shared" si="39"/>
        <v>89.533234548131929</v>
      </c>
      <c r="J82" s="108">
        <f t="shared" si="39"/>
        <v>82.794812545485627</v>
      </c>
      <c r="K82" s="108">
        <f t="shared" si="39"/>
        <v>92.850196300028884</v>
      </c>
      <c r="L82" s="108">
        <f t="shared" si="39"/>
        <v>75.935710146335495</v>
      </c>
      <c r="M82" s="108">
        <f t="shared" si="39"/>
        <v>79.806583777038966</v>
      </c>
      <c r="N82" s="108">
        <f t="shared" si="39"/>
        <v>78.115369629890253</v>
      </c>
      <c r="O82" s="108">
        <f t="shared" si="39"/>
        <v>56.604491740658375</v>
      </c>
      <c r="P82" s="108">
        <f t="shared" si="39"/>
        <v>71.284637456582388</v>
      </c>
      <c r="Q82" s="108">
        <f t="shared" si="39"/>
        <v>79.794225192218079</v>
      </c>
      <c r="R82" s="108">
        <f t="shared" si="39"/>
        <v>79.004465149346771</v>
      </c>
      <c r="S82" s="108">
        <f t="shared" si="39"/>
        <v>75.315821652018258</v>
      </c>
      <c r="T82" s="108">
        <f t="shared" si="39"/>
        <v>65.619598975196453</v>
      </c>
      <c r="U82" s="108">
        <f t="shared" si="39"/>
        <v>103.64204993999599</v>
      </c>
      <c r="V82" s="108">
        <f t="shared" si="39"/>
        <v>45.93391740395387</v>
      </c>
      <c r="W82" s="108">
        <f t="shared" si="39"/>
        <v>52.875444465309201</v>
      </c>
      <c r="X82" s="108">
        <f t="shared" si="39"/>
        <v>585.00000024660665</v>
      </c>
      <c r="Y82" s="108">
        <f t="shared" si="39"/>
        <v>594.28100031866995</v>
      </c>
      <c r="Z82" s="87">
        <f t="shared" si="39"/>
        <v>558.58499999999992</v>
      </c>
      <c r="AA82" s="217">
        <f t="shared" si="39"/>
        <v>431.90699999999998</v>
      </c>
      <c r="AB82" s="217">
        <f t="shared" si="39"/>
        <v>452.85500000000002</v>
      </c>
      <c r="AC82" s="217">
        <f t="shared" si="39"/>
        <v>443.53899999999999</v>
      </c>
      <c r="AD82" s="217">
        <f t="shared" si="39"/>
        <v>437.48600000000005</v>
      </c>
      <c r="AE82" s="217">
        <f t="shared" si="39"/>
        <v>454.43600000000004</v>
      </c>
      <c r="AF82" s="217">
        <f t="shared" si="39"/>
        <v>462.21300000000002</v>
      </c>
      <c r="AG82" s="217">
        <f t="shared" si="39"/>
        <v>366.69399999999996</v>
      </c>
      <c r="AH82" s="77">
        <f t="shared" si="39"/>
        <v>422.20668417574376</v>
      </c>
      <c r="AI82" s="77">
        <f t="shared" si="39"/>
        <v>411.73411567164288</v>
      </c>
      <c r="AJ82" s="77">
        <f t="shared" si="39"/>
        <v>412.72173682139606</v>
      </c>
      <c r="AK82" s="77">
        <f t="shared" si="39"/>
        <v>410.54257218307112</v>
      </c>
      <c r="AL82" s="77">
        <f t="shared" si="39"/>
        <v>406.5588529389056</v>
      </c>
      <c r="AM82" s="77">
        <f t="shared" si="39"/>
        <v>400.80989644232005</v>
      </c>
      <c r="AN82" s="77">
        <f t="shared" si="39"/>
        <v>402.29313421237373</v>
      </c>
      <c r="AO82" s="77">
        <f t="shared" si="39"/>
        <v>398.54100793054096</v>
      </c>
      <c r="AP82" s="77">
        <f t="shared" si="39"/>
        <v>396.72725181895618</v>
      </c>
      <c r="AQ82" s="77">
        <f t="shared" si="39"/>
        <v>394.34615570646838</v>
      </c>
      <c r="AR82" s="77">
        <f t="shared" si="39"/>
        <v>391.25340076031102</v>
      </c>
      <c r="AS82" s="77">
        <f t="shared" si="39"/>
        <v>388.50507186330401</v>
      </c>
      <c r="AT82" s="77">
        <f t="shared" si="39"/>
        <v>386.7512463301457</v>
      </c>
      <c r="AU82" s="77">
        <f t="shared" si="39"/>
        <v>384.10889037445531</v>
      </c>
      <c r="AV82" s="77">
        <f t="shared" si="39"/>
        <v>381.78876008601765</v>
      </c>
      <c r="AW82" s="77">
        <f t="shared" si="39"/>
        <v>379.17236188402006</v>
      </c>
      <c r="AX82" s="77">
        <f t="shared" si="39"/>
        <v>366.84107553183736</v>
      </c>
      <c r="AY82" s="77">
        <f t="shared" si="39"/>
        <v>359.55814413154036</v>
      </c>
    </row>
    <row r="83" spans="1:51">
      <c r="A83" s="69" t="s">
        <v>40</v>
      </c>
      <c r="B83" s="108">
        <f t="shared" ref="B83:C92" si="40">B98+B19+B51-B67-B99</f>
        <v>62.038026534619476</v>
      </c>
      <c r="C83" s="108">
        <f t="shared" si="40"/>
        <v>71.123054252461998</v>
      </c>
      <c r="D83" s="108">
        <f t="shared" si="39"/>
        <v>78.790739690897979</v>
      </c>
      <c r="E83" s="108">
        <f t="shared" si="39"/>
        <v>81.431043432127552</v>
      </c>
      <c r="F83" s="108">
        <f t="shared" si="39"/>
        <v>77.934525538331741</v>
      </c>
      <c r="G83" s="108">
        <f t="shared" si="39"/>
        <v>82.876431422451418</v>
      </c>
      <c r="H83" s="108">
        <f t="shared" si="39"/>
        <v>105.20254686832396</v>
      </c>
      <c r="I83" s="108">
        <f t="shared" si="39"/>
        <v>83.066412004267661</v>
      </c>
      <c r="J83" s="108">
        <f t="shared" si="39"/>
        <v>84.583553575639272</v>
      </c>
      <c r="K83" s="108">
        <f t="shared" si="39"/>
        <v>84.188923947249279</v>
      </c>
      <c r="L83" s="108">
        <f t="shared" si="39"/>
        <v>75.523403693371463</v>
      </c>
      <c r="M83" s="108">
        <f t="shared" si="39"/>
        <v>50.535778404461567</v>
      </c>
      <c r="N83" s="108">
        <f t="shared" si="39"/>
        <v>67.276502314273003</v>
      </c>
      <c r="O83" s="108">
        <f t="shared" si="39"/>
        <v>76.234515423841771</v>
      </c>
      <c r="P83" s="108">
        <f t="shared" si="39"/>
        <v>66.862621658370557</v>
      </c>
      <c r="Q83" s="108">
        <f t="shared" si="39"/>
        <v>112.01721847927277</v>
      </c>
      <c r="R83" s="108">
        <f t="shared" si="39"/>
        <v>72.053054591318642</v>
      </c>
      <c r="S83" s="108">
        <f t="shared" si="39"/>
        <v>75.817699498748027</v>
      </c>
      <c r="T83" s="108">
        <f t="shared" ref="T83:AY90" si="41">T98+T20+T51-T67-T99</f>
        <v>75.627867002837348</v>
      </c>
      <c r="U83" s="108">
        <f t="shared" si="41"/>
        <v>111.10330114230356</v>
      </c>
      <c r="V83" s="108">
        <f t="shared" si="41"/>
        <v>87.470442066906955</v>
      </c>
      <c r="W83" s="108">
        <f t="shared" si="41"/>
        <v>73.771717636149404</v>
      </c>
      <c r="X83" s="108">
        <f t="shared" si="41"/>
        <v>591.95900036576722</v>
      </c>
      <c r="Y83" s="108">
        <f t="shared" si="41"/>
        <v>590.44900049657394</v>
      </c>
      <c r="Z83" s="87">
        <f t="shared" si="41"/>
        <v>558.72900000000004</v>
      </c>
      <c r="AA83" s="217">
        <f t="shared" si="41"/>
        <v>485.928</v>
      </c>
      <c r="AB83" s="217">
        <f t="shared" si="41"/>
        <v>472.61199999999997</v>
      </c>
      <c r="AC83" s="217">
        <f t="shared" si="41"/>
        <v>455.98700000000002</v>
      </c>
      <c r="AD83" s="217">
        <f t="shared" si="41"/>
        <v>409.346</v>
      </c>
      <c r="AE83" s="217">
        <f>AE98+AE20+AE51-AE67-AE99</f>
        <v>402.09300000000002</v>
      </c>
      <c r="AF83" s="217">
        <f t="shared" si="41"/>
        <v>436.77500000000009</v>
      </c>
      <c r="AG83" s="217">
        <f t="shared" si="41"/>
        <v>414.77927108224048</v>
      </c>
      <c r="AH83" s="77">
        <f t="shared" si="41"/>
        <v>402.5400688880128</v>
      </c>
      <c r="AI83" s="77">
        <f t="shared" si="41"/>
        <v>411.10887911094716</v>
      </c>
      <c r="AJ83" s="77">
        <f t="shared" si="41"/>
        <v>400.22279060697986</v>
      </c>
      <c r="AK83" s="77">
        <f t="shared" si="41"/>
        <v>409.43797608747889</v>
      </c>
      <c r="AL83" s="77">
        <f t="shared" si="41"/>
        <v>407.15072843023745</v>
      </c>
      <c r="AM83" s="77">
        <f t="shared" si="41"/>
        <v>400.33279654543946</v>
      </c>
      <c r="AN83" s="77">
        <f t="shared" si="41"/>
        <v>397.3303777233308</v>
      </c>
      <c r="AO83" s="77">
        <f t="shared" si="41"/>
        <v>396.36732374644851</v>
      </c>
      <c r="AP83" s="77">
        <f t="shared" si="41"/>
        <v>393.79835072136825</v>
      </c>
      <c r="AQ83" s="77">
        <f t="shared" si="41"/>
        <v>392.5304048473638</v>
      </c>
      <c r="AR83" s="77">
        <f t="shared" si="41"/>
        <v>389.29084279159184</v>
      </c>
      <c r="AS83" s="77">
        <f t="shared" si="41"/>
        <v>386.50419888771415</v>
      </c>
      <c r="AT83" s="77">
        <f t="shared" si="41"/>
        <v>384.32053911779855</v>
      </c>
      <c r="AU83" s="77">
        <f t="shared" si="41"/>
        <v>382.19437103374389</v>
      </c>
      <c r="AV83" s="77">
        <f t="shared" si="41"/>
        <v>379.7079296257773</v>
      </c>
      <c r="AW83" s="77">
        <f t="shared" si="41"/>
        <v>377.38886803077844</v>
      </c>
      <c r="AX83" s="77">
        <f t="shared" si="41"/>
        <v>365.28895304609284</v>
      </c>
      <c r="AY83" s="77">
        <f t="shared" si="41"/>
        <v>358.13154431716453</v>
      </c>
    </row>
    <row r="84" spans="1:51">
      <c r="A84" s="69" t="s">
        <v>30</v>
      </c>
      <c r="B84" s="108">
        <f t="shared" si="40"/>
        <v>37.461647661528062</v>
      </c>
      <c r="C84" s="108">
        <f t="shared" si="40"/>
        <v>95.434745852786904</v>
      </c>
      <c r="D84" s="108">
        <f t="shared" si="39"/>
        <v>71.145701210257585</v>
      </c>
      <c r="E84" s="108">
        <f t="shared" si="39"/>
        <v>69.546169853419798</v>
      </c>
      <c r="F84" s="108">
        <f t="shared" si="39"/>
        <v>53.973542717125312</v>
      </c>
      <c r="G84" s="108">
        <f t="shared" si="39"/>
        <v>90.505135670771494</v>
      </c>
      <c r="H84" s="108">
        <f t="shared" si="39"/>
        <v>86.912883005714662</v>
      </c>
      <c r="I84" s="108">
        <f t="shared" si="39"/>
        <v>74.275180879852513</v>
      </c>
      <c r="J84" s="108">
        <f t="shared" si="39"/>
        <v>75.762876808180053</v>
      </c>
      <c r="K84" s="108">
        <f t="shared" si="39"/>
        <v>82.6025431386972</v>
      </c>
      <c r="L84" s="108">
        <f t="shared" si="39"/>
        <v>61.774013996578262</v>
      </c>
      <c r="M84" s="108">
        <f t="shared" si="39"/>
        <v>72.411420736894513</v>
      </c>
      <c r="N84" s="108">
        <f t="shared" si="39"/>
        <v>76.310337381236323</v>
      </c>
      <c r="O84" s="108">
        <f t="shared" si="39"/>
        <v>109.07377186538292</v>
      </c>
      <c r="P84" s="108">
        <f t="shared" si="39"/>
        <v>96.84611681999931</v>
      </c>
      <c r="Q84" s="108">
        <f t="shared" si="39"/>
        <v>84.353188529439819</v>
      </c>
      <c r="R84" s="108">
        <f t="shared" si="39"/>
        <v>80.162675161266264</v>
      </c>
      <c r="S84" s="108">
        <f t="shared" si="39"/>
        <v>61.495657594077272</v>
      </c>
      <c r="T84" s="108">
        <f t="shared" si="41"/>
        <v>88.492867850370757</v>
      </c>
      <c r="U84" s="108">
        <f t="shared" si="41"/>
        <v>70.351333919674133</v>
      </c>
      <c r="V84" s="108">
        <f t="shared" si="41"/>
        <v>83.012581025927076</v>
      </c>
      <c r="W84" s="108">
        <f t="shared" si="41"/>
        <v>595.71900025594925</v>
      </c>
      <c r="X84" s="108">
        <f t="shared" si="41"/>
        <v>548.0420004268916</v>
      </c>
      <c r="Y84" s="108">
        <f t="shared" si="41"/>
        <v>627.85400022679187</v>
      </c>
      <c r="Z84" s="87">
        <f t="shared" si="41"/>
        <v>445.76599999999996</v>
      </c>
      <c r="AA84" s="217">
        <f t="shared" si="41"/>
        <v>385.23500000000001</v>
      </c>
      <c r="AB84" s="217">
        <f t="shared" si="41"/>
        <v>545.846</v>
      </c>
      <c r="AC84" s="217">
        <f t="shared" si="41"/>
        <v>422.19500000000005</v>
      </c>
      <c r="AD84" s="217">
        <f t="shared" si="41"/>
        <v>426.54399999999998</v>
      </c>
      <c r="AE84" s="217">
        <f t="shared" si="41"/>
        <v>436.38500000000005</v>
      </c>
      <c r="AF84" s="217">
        <f t="shared" si="41"/>
        <v>390.33600000000007</v>
      </c>
      <c r="AG84" s="77">
        <f t="shared" si="41"/>
        <v>400.8376426190548</v>
      </c>
      <c r="AH84" s="77">
        <f t="shared" si="41"/>
        <v>414.91108584914952</v>
      </c>
      <c r="AI84" s="77">
        <f t="shared" si="41"/>
        <v>403.7244536773581</v>
      </c>
      <c r="AJ84" s="77">
        <f t="shared" si="41"/>
        <v>405.96477235983019</v>
      </c>
      <c r="AK84" s="77">
        <f t="shared" si="41"/>
        <v>395.275554215103</v>
      </c>
      <c r="AL84" s="77">
        <f t="shared" si="41"/>
        <v>401.60470924919196</v>
      </c>
      <c r="AM84" s="77">
        <f t="shared" si="41"/>
        <v>396.95285669483945</v>
      </c>
      <c r="AN84" s="77">
        <f t="shared" si="41"/>
        <v>395.29367729598812</v>
      </c>
      <c r="AO84" s="77">
        <f t="shared" si="41"/>
        <v>391.05991347532432</v>
      </c>
      <c r="AP84" s="77">
        <f t="shared" si="41"/>
        <v>389.4927362516716</v>
      </c>
      <c r="AQ84" s="77">
        <f t="shared" si="41"/>
        <v>387.4980225213958</v>
      </c>
      <c r="AR84" s="77">
        <f t="shared" si="41"/>
        <v>385.0902313659559</v>
      </c>
      <c r="AS84" s="77">
        <f t="shared" si="41"/>
        <v>382.44670615156156</v>
      </c>
      <c r="AT84" s="77">
        <f t="shared" si="41"/>
        <v>380.20975379329809</v>
      </c>
      <c r="AU84" s="77">
        <f t="shared" si="41"/>
        <v>377.74030175262624</v>
      </c>
      <c r="AV84" s="77">
        <f t="shared" si="41"/>
        <v>375.57017586978611</v>
      </c>
      <c r="AW84" s="77">
        <f t="shared" si="41"/>
        <v>373.06116990780316</v>
      </c>
      <c r="AX84" s="77">
        <f t="shared" si="41"/>
        <v>361.27496548407208</v>
      </c>
      <c r="AY84" s="77">
        <f t="shared" si="41"/>
        <v>354.16703515842181</v>
      </c>
    </row>
    <row r="85" spans="1:51">
      <c r="A85" s="69" t="s">
        <v>31</v>
      </c>
      <c r="B85" s="108">
        <f t="shared" si="40"/>
        <v>87.003741423910157</v>
      </c>
      <c r="C85" s="108">
        <f t="shared" si="40"/>
        <v>95.404047825047201</v>
      </c>
      <c r="D85" s="108">
        <f t="shared" si="39"/>
        <v>67.191602668517476</v>
      </c>
      <c r="E85" s="108">
        <f t="shared" si="39"/>
        <v>67.115848632005736</v>
      </c>
      <c r="F85" s="108">
        <f t="shared" si="39"/>
        <v>54.940290022489222</v>
      </c>
      <c r="G85" s="108">
        <f t="shared" si="39"/>
        <v>71.120482568721684</v>
      </c>
      <c r="H85" s="108">
        <f t="shared" si="39"/>
        <v>72.152767510753108</v>
      </c>
      <c r="I85" s="108">
        <f t="shared" si="39"/>
        <v>63.742076110920692</v>
      </c>
      <c r="J85" s="108">
        <f t="shared" si="39"/>
        <v>94.80139281483865</v>
      </c>
      <c r="K85" s="108">
        <f t="shared" si="39"/>
        <v>84.40356015034412</v>
      </c>
      <c r="L85" s="108">
        <f t="shared" si="39"/>
        <v>94.042298735947071</v>
      </c>
      <c r="M85" s="108">
        <f t="shared" si="39"/>
        <v>53.686067816329128</v>
      </c>
      <c r="N85" s="108">
        <f t="shared" si="39"/>
        <v>91.964418823733411</v>
      </c>
      <c r="O85" s="108">
        <f t="shared" si="39"/>
        <v>83.882645339753211</v>
      </c>
      <c r="P85" s="108">
        <f t="shared" si="39"/>
        <v>76.098433665105503</v>
      </c>
      <c r="Q85" s="108">
        <f t="shared" si="39"/>
        <v>101.08342503444537</v>
      </c>
      <c r="R85" s="108">
        <f t="shared" si="39"/>
        <v>67.525572721844952</v>
      </c>
      <c r="S85" s="108">
        <f t="shared" si="39"/>
        <v>65.646973649122003</v>
      </c>
      <c r="T85" s="108">
        <f t="shared" si="41"/>
        <v>43.030066937469329</v>
      </c>
      <c r="U85" s="108">
        <f t="shared" si="41"/>
        <v>63.43516081582203</v>
      </c>
      <c r="V85" s="108">
        <f t="shared" si="41"/>
        <v>64.458711712207062</v>
      </c>
      <c r="W85" s="108">
        <f t="shared" si="41"/>
        <v>483.26400048978093</v>
      </c>
      <c r="X85" s="108">
        <f t="shared" si="41"/>
        <v>554.05100022964666</v>
      </c>
      <c r="Y85" s="87">
        <f t="shared" si="41"/>
        <v>488.22800000000001</v>
      </c>
      <c r="Z85" s="87">
        <f t="shared" si="41"/>
        <v>492.31200000000001</v>
      </c>
      <c r="AA85" s="217">
        <f t="shared" si="41"/>
        <v>418.66499999999996</v>
      </c>
      <c r="AB85" s="217">
        <f t="shared" si="41"/>
        <v>456.54099999999994</v>
      </c>
      <c r="AC85" s="217">
        <f t="shared" si="41"/>
        <v>332.59200000000004</v>
      </c>
      <c r="AD85" s="217">
        <f t="shared" si="41"/>
        <v>356.39600000000002</v>
      </c>
      <c r="AE85" s="217">
        <f t="shared" si="41"/>
        <v>372.15600000000001</v>
      </c>
      <c r="AF85" s="217">
        <f t="shared" si="41"/>
        <v>435.64600000000002</v>
      </c>
      <c r="AG85" s="77">
        <f t="shared" si="41"/>
        <v>366.20406434104086</v>
      </c>
      <c r="AH85" s="77">
        <f t="shared" si="41"/>
        <v>363.32274306402712</v>
      </c>
      <c r="AI85" s="77">
        <f t="shared" si="41"/>
        <v>370.75425511989727</v>
      </c>
      <c r="AJ85" s="77">
        <f t="shared" si="41"/>
        <v>371.1896096678347</v>
      </c>
      <c r="AK85" s="77">
        <f t="shared" si="41"/>
        <v>371.28955117304662</v>
      </c>
      <c r="AL85" s="77">
        <f t="shared" si="41"/>
        <v>368.7471606962884</v>
      </c>
      <c r="AM85" s="77">
        <f t="shared" si="41"/>
        <v>362.84282960183492</v>
      </c>
      <c r="AN85" s="77">
        <f t="shared" si="41"/>
        <v>362.65617088943236</v>
      </c>
      <c r="AO85" s="77">
        <f t="shared" si="41"/>
        <v>360.73675327490662</v>
      </c>
      <c r="AP85" s="77">
        <f t="shared" si="41"/>
        <v>357.93440080800605</v>
      </c>
      <c r="AQ85" s="77">
        <f t="shared" si="41"/>
        <v>355.79313266775569</v>
      </c>
      <c r="AR85" s="77">
        <f t="shared" si="41"/>
        <v>353.88278898221989</v>
      </c>
      <c r="AS85" s="77">
        <f t="shared" si="41"/>
        <v>351.28371106033285</v>
      </c>
      <c r="AT85" s="77">
        <f t="shared" si="41"/>
        <v>349.21066336127586</v>
      </c>
      <c r="AU85" s="77">
        <f t="shared" si="41"/>
        <v>346.87202549619718</v>
      </c>
      <c r="AV85" s="77">
        <f t="shared" si="41"/>
        <v>344.63972507024062</v>
      </c>
      <c r="AW85" s="77">
        <f t="shared" si="41"/>
        <v>342.52112563338562</v>
      </c>
      <c r="AX85" s="77">
        <f t="shared" si="41"/>
        <v>331.30472109478899</v>
      </c>
      <c r="AY85" s="77">
        <f t="shared" si="41"/>
        <v>324.5165830669327</v>
      </c>
    </row>
    <row r="86" spans="1:51">
      <c r="A86" s="69" t="s">
        <v>32</v>
      </c>
      <c r="B86" s="108">
        <f t="shared" si="40"/>
        <v>87.829565790672874</v>
      </c>
      <c r="C86" s="108">
        <f t="shared" si="40"/>
        <v>85.905054156554755</v>
      </c>
      <c r="D86" s="108">
        <f t="shared" si="39"/>
        <v>73.839345453444452</v>
      </c>
      <c r="E86" s="108">
        <f t="shared" si="39"/>
        <v>46.280508264884361</v>
      </c>
      <c r="F86" s="108">
        <f t="shared" si="39"/>
        <v>81.256625870471296</v>
      </c>
      <c r="G86" s="108">
        <f t="shared" si="39"/>
        <v>83.521664386017704</v>
      </c>
      <c r="H86" s="108">
        <f t="shared" si="39"/>
        <v>69.445493333044283</v>
      </c>
      <c r="I86" s="108">
        <f t="shared" si="39"/>
        <v>67.345951529655522</v>
      </c>
      <c r="J86" s="108">
        <f t="shared" si="39"/>
        <v>68.569341307718787</v>
      </c>
      <c r="K86" s="108">
        <f t="shared" si="39"/>
        <v>68.349656124619287</v>
      </c>
      <c r="L86" s="108">
        <f t="shared" si="39"/>
        <v>39.717009656108573</v>
      </c>
      <c r="M86" s="108">
        <f t="shared" si="39"/>
        <v>66.138932424195673</v>
      </c>
      <c r="N86" s="108">
        <f t="shared" si="39"/>
        <v>52.012476422819461</v>
      </c>
      <c r="O86" s="108">
        <f t="shared" si="39"/>
        <v>39.094329043543752</v>
      </c>
      <c r="P86" s="108">
        <f t="shared" si="39"/>
        <v>51.291147583989087</v>
      </c>
      <c r="Q86" s="108">
        <f t="shared" si="39"/>
        <v>112.5990357033629</v>
      </c>
      <c r="R86" s="108">
        <f t="shared" si="39"/>
        <v>44.870661298772205</v>
      </c>
      <c r="S86" s="108">
        <f t="shared" si="39"/>
        <v>74.584834017776686</v>
      </c>
      <c r="T86" s="108">
        <f t="shared" si="41"/>
        <v>55.577933056334146</v>
      </c>
      <c r="U86" s="108">
        <f t="shared" si="41"/>
        <v>80.8077325016136</v>
      </c>
      <c r="V86" s="108">
        <f t="shared" si="41"/>
        <v>90.000692103474535</v>
      </c>
      <c r="W86" s="108">
        <f t="shared" si="41"/>
        <v>590.24100032278341</v>
      </c>
      <c r="X86" s="108">
        <f t="shared" si="41"/>
        <v>556.56800049741082</v>
      </c>
      <c r="Y86" s="87">
        <f t="shared" si="41"/>
        <v>600.36200000000008</v>
      </c>
      <c r="Z86" s="87">
        <f t="shared" si="41"/>
        <v>511.38199999999995</v>
      </c>
      <c r="AA86" s="217">
        <f t="shared" si="41"/>
        <v>498.61200000000002</v>
      </c>
      <c r="AB86" s="217">
        <f t="shared" si="41"/>
        <v>504.03999999999996</v>
      </c>
      <c r="AC86" s="217">
        <f t="shared" si="41"/>
        <v>391.46100000000001</v>
      </c>
      <c r="AD86" s="217">
        <f t="shared" si="41"/>
        <v>426.41500000000002</v>
      </c>
      <c r="AE86" s="217">
        <f t="shared" si="41"/>
        <v>452.66800000000001</v>
      </c>
      <c r="AF86" s="217">
        <f t="shared" si="41"/>
        <v>462.33200000000005</v>
      </c>
      <c r="AG86" s="77">
        <f t="shared" si="41"/>
        <v>419.82931826698979</v>
      </c>
      <c r="AH86" s="77">
        <f t="shared" si="41"/>
        <v>421.38289478024575</v>
      </c>
      <c r="AI86" s="77">
        <f t="shared" si="41"/>
        <v>422.77211296574069</v>
      </c>
      <c r="AJ86" s="77">
        <f t="shared" si="41"/>
        <v>430.15292202805693</v>
      </c>
      <c r="AK86" s="77">
        <f t="shared" si="41"/>
        <v>426.15297762437575</v>
      </c>
      <c r="AL86" s="77">
        <f t="shared" si="41"/>
        <v>422.38008932679867</v>
      </c>
      <c r="AM86" s="77">
        <f t="shared" si="41"/>
        <v>418.63867819703927</v>
      </c>
      <c r="AN86" s="77">
        <f t="shared" si="41"/>
        <v>416.60730689030117</v>
      </c>
      <c r="AO86" s="77">
        <f t="shared" si="41"/>
        <v>414.54970315470609</v>
      </c>
      <c r="AP86" s="77">
        <f t="shared" si="41"/>
        <v>412.70062043689654</v>
      </c>
      <c r="AQ86" s="77">
        <f t="shared" si="41"/>
        <v>409.85709303157302</v>
      </c>
      <c r="AR86" s="77">
        <f t="shared" si="41"/>
        <v>407.37292071167269</v>
      </c>
      <c r="AS86" s="77">
        <f t="shared" si="41"/>
        <v>404.76654370664073</v>
      </c>
      <c r="AT86" s="77">
        <f t="shared" si="41"/>
        <v>402.42004620037028</v>
      </c>
      <c r="AU86" s="77">
        <f t="shared" si="41"/>
        <v>400.07031200487933</v>
      </c>
      <c r="AV86" s="77">
        <f t="shared" si="41"/>
        <v>397.68750120609803</v>
      </c>
      <c r="AW86" s="77">
        <f t="shared" si="41"/>
        <v>395.17343249021434</v>
      </c>
      <c r="AX86" s="77">
        <f t="shared" si="41"/>
        <v>382.96994886334448</v>
      </c>
      <c r="AY86" s="77">
        <f t="shared" si="41"/>
        <v>375.64866530811827</v>
      </c>
    </row>
    <row r="87" spans="1:51">
      <c r="A87" s="69" t="s">
        <v>33</v>
      </c>
      <c r="B87" s="108">
        <f t="shared" si="40"/>
        <v>79.330272840912187</v>
      </c>
      <c r="C87" s="108">
        <f t="shared" si="40"/>
        <v>87.272733365988842</v>
      </c>
      <c r="D87" s="108">
        <f t="shared" si="39"/>
        <v>49.762238986088605</v>
      </c>
      <c r="E87" s="108">
        <f t="shared" si="39"/>
        <v>85.278853453230226</v>
      </c>
      <c r="F87" s="108">
        <f t="shared" si="39"/>
        <v>73.076771988336048</v>
      </c>
      <c r="G87" s="108">
        <f t="shared" si="39"/>
        <v>88.822771886174266</v>
      </c>
      <c r="H87" s="108">
        <f t="shared" si="39"/>
        <v>103.27566053342358</v>
      </c>
      <c r="I87" s="108">
        <f t="shared" si="39"/>
        <v>76.121504346844603</v>
      </c>
      <c r="J87" s="108">
        <f t="shared" si="39"/>
        <v>65.509007702468168</v>
      </c>
      <c r="K87" s="108">
        <f t="shared" si="39"/>
        <v>95.815889825148005</v>
      </c>
      <c r="L87" s="108">
        <f t="shared" si="39"/>
        <v>93.094442109610952</v>
      </c>
      <c r="M87" s="108">
        <f t="shared" si="39"/>
        <v>92.717457349089898</v>
      </c>
      <c r="N87" s="108">
        <f t="shared" si="39"/>
        <v>105.70795637165662</v>
      </c>
      <c r="O87" s="108">
        <f t="shared" si="39"/>
        <v>51.104864687077807</v>
      </c>
      <c r="P87" s="108">
        <f t="shared" si="39"/>
        <v>64.739984716027806</v>
      </c>
      <c r="Q87" s="108">
        <f t="shared" si="39"/>
        <v>118.88554947682609</v>
      </c>
      <c r="R87" s="108">
        <f t="shared" si="39"/>
        <v>84.657330958972835</v>
      </c>
      <c r="S87" s="108">
        <f t="shared" si="39"/>
        <v>58.78719292058652</v>
      </c>
      <c r="T87" s="108">
        <f t="shared" si="41"/>
        <v>42.386681527545889</v>
      </c>
      <c r="U87" s="108">
        <f t="shared" si="41"/>
        <v>36.670156416477695</v>
      </c>
      <c r="V87" s="108">
        <f t="shared" si="41"/>
        <v>70.276069506098892</v>
      </c>
      <c r="W87" s="108">
        <f t="shared" si="41"/>
        <v>546.35100052933251</v>
      </c>
      <c r="X87" s="108">
        <f t="shared" si="41"/>
        <v>542.83600042114972</v>
      </c>
      <c r="Y87" s="87">
        <f t="shared" si="41"/>
        <v>583.32499999999993</v>
      </c>
      <c r="Z87" s="217">
        <f t="shared" si="41"/>
        <v>514.85200000000009</v>
      </c>
      <c r="AA87" s="217">
        <f t="shared" si="41"/>
        <v>477.20299999999997</v>
      </c>
      <c r="AB87" s="217">
        <f t="shared" si="41"/>
        <v>390.32000000000005</v>
      </c>
      <c r="AC87" s="217">
        <f t="shared" si="41"/>
        <v>429.62299999999999</v>
      </c>
      <c r="AD87" s="217">
        <f t="shared" si="41"/>
        <v>463.73199999999991</v>
      </c>
      <c r="AE87" s="217">
        <f t="shared" si="41"/>
        <v>444.07</v>
      </c>
      <c r="AF87" s="217">
        <f t="shared" si="41"/>
        <v>420.19799999999998</v>
      </c>
      <c r="AG87" s="77">
        <f t="shared" si="41"/>
        <v>401.89484451964699</v>
      </c>
      <c r="AH87" s="77">
        <f t="shared" si="41"/>
        <v>425.28428707358762</v>
      </c>
      <c r="AI87" s="77">
        <f t="shared" si="41"/>
        <v>420.11667034187144</v>
      </c>
      <c r="AJ87" s="77">
        <f t="shared" si="41"/>
        <v>422.63636344972969</v>
      </c>
      <c r="AK87" s="77">
        <f t="shared" si="41"/>
        <v>414.01923352760366</v>
      </c>
      <c r="AL87" s="77">
        <f t="shared" si="41"/>
        <v>414.37147202707962</v>
      </c>
      <c r="AM87" s="77">
        <f t="shared" si="41"/>
        <v>411.34132747202631</v>
      </c>
      <c r="AN87" s="77">
        <f t="shared" si="41"/>
        <v>409.77600398178186</v>
      </c>
      <c r="AO87" s="77">
        <f t="shared" si="41"/>
        <v>407.01944454731859</v>
      </c>
      <c r="AP87" s="77">
        <f t="shared" si="41"/>
        <v>405.19019735273099</v>
      </c>
      <c r="AQ87" s="77">
        <f t="shared" si="41"/>
        <v>402.37785494163438</v>
      </c>
      <c r="AR87" s="77">
        <f t="shared" si="41"/>
        <v>400.23430080735244</v>
      </c>
      <c r="AS87" s="77">
        <f t="shared" si="41"/>
        <v>397.68973639081923</v>
      </c>
      <c r="AT87" s="77">
        <f t="shared" si="41"/>
        <v>395.58791866984558</v>
      </c>
      <c r="AU87" s="77">
        <f t="shared" si="41"/>
        <v>393.20926989694192</v>
      </c>
      <c r="AV87" s="77">
        <f t="shared" si="41"/>
        <v>390.92632853710364</v>
      </c>
      <c r="AW87" s="77">
        <f t="shared" si="41"/>
        <v>388.48110462900593</v>
      </c>
      <c r="AX87" s="77">
        <f t="shared" si="41"/>
        <v>376.86554076607706</v>
      </c>
      <c r="AY87" s="77">
        <f t="shared" si="41"/>
        <v>369.87480996391724</v>
      </c>
    </row>
    <row r="88" spans="1:51">
      <c r="A88" s="69" t="s">
        <v>14</v>
      </c>
      <c r="B88" s="108">
        <f t="shared" si="40"/>
        <v>90.754054125093901</v>
      </c>
      <c r="C88" s="108">
        <f t="shared" si="40"/>
        <v>90.167206463571489</v>
      </c>
      <c r="D88" s="108">
        <f t="shared" si="39"/>
        <v>92.024546953824284</v>
      </c>
      <c r="E88" s="108">
        <f t="shared" si="39"/>
        <v>69.47783607692682</v>
      </c>
      <c r="F88" s="108">
        <f t="shared" si="39"/>
        <v>86.673887490843327</v>
      </c>
      <c r="G88" s="108">
        <f t="shared" si="39"/>
        <v>96.324480618896303</v>
      </c>
      <c r="H88" s="108">
        <f t="shared" si="39"/>
        <v>77.541814821356652</v>
      </c>
      <c r="I88" s="108">
        <f t="shared" si="39"/>
        <v>77.294125306690859</v>
      </c>
      <c r="J88" s="108">
        <f t="shared" si="39"/>
        <v>74.001748689125577</v>
      </c>
      <c r="K88" s="108">
        <f t="shared" si="39"/>
        <v>77.442236716538702</v>
      </c>
      <c r="L88" s="108">
        <f t="shared" si="39"/>
        <v>86.072210973718327</v>
      </c>
      <c r="M88" s="108">
        <f t="shared" si="39"/>
        <v>83.386121390907263</v>
      </c>
      <c r="N88" s="108">
        <f t="shared" si="39"/>
        <v>88.157382104490651</v>
      </c>
      <c r="O88" s="108">
        <f t="shared" si="39"/>
        <v>62.2565839096399</v>
      </c>
      <c r="P88" s="108">
        <f t="shared" si="39"/>
        <v>45.945097774530254</v>
      </c>
      <c r="Q88" s="108">
        <f t="shared" si="39"/>
        <v>88.07516794690261</v>
      </c>
      <c r="R88" s="108">
        <f t="shared" si="39"/>
        <v>75.097106614390796</v>
      </c>
      <c r="S88" s="108">
        <f t="shared" si="39"/>
        <v>48.307965558098076</v>
      </c>
      <c r="T88" s="108">
        <f t="shared" si="41"/>
        <v>82.123447498054531</v>
      </c>
      <c r="U88" s="108">
        <f t="shared" si="41"/>
        <v>92.291855771153706</v>
      </c>
      <c r="V88" s="108">
        <f t="shared" si="41"/>
        <v>61.500815890787067</v>
      </c>
      <c r="W88" s="108">
        <f t="shared" si="41"/>
        <v>617.54900035192804</v>
      </c>
      <c r="X88" s="108">
        <f t="shared" si="41"/>
        <v>586.63900034231267</v>
      </c>
      <c r="Y88" s="87">
        <f t="shared" si="41"/>
        <v>580.2639999999999</v>
      </c>
      <c r="Z88" s="217">
        <f t="shared" si="41"/>
        <v>491.76299999999998</v>
      </c>
      <c r="AA88" s="217">
        <f t="shared" si="41"/>
        <v>446.61399999999998</v>
      </c>
      <c r="AB88" s="217">
        <f t="shared" si="41"/>
        <v>445.45700000000005</v>
      </c>
      <c r="AC88" s="217">
        <f t="shared" si="41"/>
        <v>434.637</v>
      </c>
      <c r="AD88" s="217">
        <f t="shared" si="41"/>
        <v>464.68100000000004</v>
      </c>
      <c r="AE88" s="217">
        <f t="shared" si="41"/>
        <v>415.60899999999998</v>
      </c>
      <c r="AF88" s="217">
        <f t="shared" si="41"/>
        <v>411.32799999999997</v>
      </c>
      <c r="AG88" s="77">
        <f t="shared" si="41"/>
        <v>399.5525894524817</v>
      </c>
      <c r="AH88" s="77">
        <f t="shared" si="41"/>
        <v>410.09957029041806</v>
      </c>
      <c r="AI88" s="77">
        <f t="shared" si="41"/>
        <v>407.92280036777288</v>
      </c>
      <c r="AJ88" s="77">
        <f t="shared" si="41"/>
        <v>406.87799716633219</v>
      </c>
      <c r="AK88" s="77">
        <f t="shared" si="41"/>
        <v>399.78584212828071</v>
      </c>
      <c r="AL88" s="77">
        <f t="shared" si="41"/>
        <v>397.28096132889391</v>
      </c>
      <c r="AM88" s="77">
        <f t="shared" si="41"/>
        <v>398.12162592709853</v>
      </c>
      <c r="AN88" s="77">
        <f t="shared" si="41"/>
        <v>395.4636352114702</v>
      </c>
      <c r="AO88" s="77">
        <f t="shared" si="41"/>
        <v>392.86392466104581</v>
      </c>
      <c r="AP88" s="77">
        <f t="shared" si="41"/>
        <v>389.97449247166179</v>
      </c>
      <c r="AQ88" s="77">
        <f t="shared" si="41"/>
        <v>386.76998833945083</v>
      </c>
      <c r="AR88" s="77">
        <f t="shared" si="41"/>
        <v>384.97972145950337</v>
      </c>
      <c r="AS88" s="77">
        <f t="shared" si="41"/>
        <v>382.91124703425584</v>
      </c>
      <c r="AT88" s="77">
        <f t="shared" si="41"/>
        <v>380.25809407463134</v>
      </c>
      <c r="AU88" s="77">
        <f t="shared" si="41"/>
        <v>377.74384670476655</v>
      </c>
      <c r="AV88" s="77">
        <f t="shared" si="41"/>
        <v>375.20179879352003</v>
      </c>
      <c r="AW88" s="77">
        <f t="shared" si="41"/>
        <v>372.78425506163126</v>
      </c>
      <c r="AX88" s="77">
        <f t="shared" si="41"/>
        <v>360.71152522680791</v>
      </c>
      <c r="AY88" s="77">
        <f t="shared" si="41"/>
        <v>353.38832576806897</v>
      </c>
    </row>
    <row r="89" spans="1:51">
      <c r="A89" s="69" t="s">
        <v>34</v>
      </c>
      <c r="B89" s="108">
        <f t="shared" si="40"/>
        <v>81.447095109339784</v>
      </c>
      <c r="C89" s="108">
        <f t="shared" si="40"/>
        <v>81.062431434220855</v>
      </c>
      <c r="D89" s="108">
        <f t="shared" si="39"/>
        <v>51.185367107336106</v>
      </c>
      <c r="E89" s="108">
        <f t="shared" si="39"/>
        <v>74.386403700748417</v>
      </c>
      <c r="F89" s="108">
        <f t="shared" si="39"/>
        <v>88.278750382793774</v>
      </c>
      <c r="G89" s="108">
        <f t="shared" si="39"/>
        <v>78.516249552984476</v>
      </c>
      <c r="H89" s="108">
        <f t="shared" si="39"/>
        <v>92.007320104230445</v>
      </c>
      <c r="I89" s="108">
        <f t="shared" si="39"/>
        <v>82.723108248134906</v>
      </c>
      <c r="J89" s="108">
        <f t="shared" si="39"/>
        <v>102.56758362936307</v>
      </c>
      <c r="K89" s="108">
        <f t="shared" si="39"/>
        <v>82.322879159237047</v>
      </c>
      <c r="L89" s="108">
        <f t="shared" si="39"/>
        <v>81.171909033450845</v>
      </c>
      <c r="M89" s="108">
        <f t="shared" si="39"/>
        <v>80.746574803784171</v>
      </c>
      <c r="N89" s="108">
        <f t="shared" si="39"/>
        <v>73.01675317909428</v>
      </c>
      <c r="O89" s="108">
        <f t="shared" si="39"/>
        <v>71.661252960143898</v>
      </c>
      <c r="P89" s="108">
        <f t="shared" si="39"/>
        <v>57.47699379215284</v>
      </c>
      <c r="Q89" s="108">
        <f t="shared" si="39"/>
        <v>57.139018510228667</v>
      </c>
      <c r="R89" s="108">
        <f t="shared" si="39"/>
        <v>68.410642656780325</v>
      </c>
      <c r="S89" s="108">
        <f t="shared" si="39"/>
        <v>77.460089569723607</v>
      </c>
      <c r="T89" s="108">
        <f t="shared" si="41"/>
        <v>60.710198314559122</v>
      </c>
      <c r="U89" s="108">
        <f t="shared" si="41"/>
        <v>40.99268556331576</v>
      </c>
      <c r="V89" s="108">
        <f t="shared" si="41"/>
        <v>74.03973638824246</v>
      </c>
      <c r="W89" s="108">
        <f t="shared" si="41"/>
        <v>546.62900050999133</v>
      </c>
      <c r="X89" s="108">
        <f t="shared" si="41"/>
        <v>554.65300058169805</v>
      </c>
      <c r="Y89" s="87">
        <f t="shared" si="41"/>
        <v>517.92399999999986</v>
      </c>
      <c r="Z89" s="217">
        <f t="shared" si="41"/>
        <v>394.33500000000009</v>
      </c>
      <c r="AA89" s="217">
        <f t="shared" si="41"/>
        <v>455.952</v>
      </c>
      <c r="AB89" s="217">
        <f t="shared" si="41"/>
        <v>451.654</v>
      </c>
      <c r="AC89" s="217">
        <f t="shared" si="41"/>
        <v>436.30900000000003</v>
      </c>
      <c r="AD89" s="217">
        <f t="shared" si="41"/>
        <v>383.11600000000004</v>
      </c>
      <c r="AE89" s="217">
        <f t="shared" si="41"/>
        <v>396.97800000000007</v>
      </c>
      <c r="AF89" s="217">
        <f t="shared" si="41"/>
        <v>410.23299999999995</v>
      </c>
      <c r="AG89" s="77">
        <f t="shared" si="41"/>
        <v>385.85138575559324</v>
      </c>
      <c r="AH89" s="77">
        <f t="shared" si="41"/>
        <v>382.56575957227045</v>
      </c>
      <c r="AI89" s="77">
        <f t="shared" si="41"/>
        <v>384.1562167459204</v>
      </c>
      <c r="AJ89" s="77">
        <f t="shared" si="41"/>
        <v>376.3617915236307</v>
      </c>
      <c r="AK89" s="77">
        <f t="shared" si="41"/>
        <v>382.65951865557594</v>
      </c>
      <c r="AL89" s="77">
        <f t="shared" si="41"/>
        <v>377.45777861693659</v>
      </c>
      <c r="AM89" s="77">
        <f t="shared" si="41"/>
        <v>375.46961694079613</v>
      </c>
      <c r="AN89" s="77">
        <f t="shared" si="41"/>
        <v>372.1703617160498</v>
      </c>
      <c r="AO89" s="77">
        <f t="shared" si="41"/>
        <v>370.2968127127009</v>
      </c>
      <c r="AP89" s="77">
        <f t="shared" si="41"/>
        <v>367.38037906621321</v>
      </c>
      <c r="AQ89" s="77">
        <f t="shared" si="41"/>
        <v>365.72442081459167</v>
      </c>
      <c r="AR89" s="77">
        <f t="shared" si="41"/>
        <v>362.97966584847802</v>
      </c>
      <c r="AS89" s="77">
        <f t="shared" si="41"/>
        <v>360.63682420366263</v>
      </c>
      <c r="AT89" s="77">
        <f t="shared" si="41"/>
        <v>358.11770298678903</v>
      </c>
      <c r="AU89" s="77">
        <f t="shared" si="41"/>
        <v>355.77696704139248</v>
      </c>
      <c r="AV89" s="77">
        <f t="shared" si="41"/>
        <v>353.32413640738844</v>
      </c>
      <c r="AW89" s="77">
        <f t="shared" si="41"/>
        <v>351.04922479986715</v>
      </c>
      <c r="AX89" s="77">
        <f t="shared" si="41"/>
        <v>338.94711901714032</v>
      </c>
      <c r="AY89" s="77">
        <f t="shared" si="41"/>
        <v>331.74730965322163</v>
      </c>
    </row>
    <row r="90" spans="1:51">
      <c r="A90" s="69" t="s">
        <v>35</v>
      </c>
      <c r="B90" s="108">
        <f t="shared" si="40"/>
        <v>92.176442115567014</v>
      </c>
      <c r="C90" s="108">
        <f t="shared" si="40"/>
        <v>97.914639213126293</v>
      </c>
      <c r="D90" s="108">
        <f t="shared" si="39"/>
        <v>56.142621549835667</v>
      </c>
      <c r="E90" s="108">
        <f t="shared" si="39"/>
        <v>79.527161732485951</v>
      </c>
      <c r="F90" s="108">
        <f t="shared" si="39"/>
        <v>85.963046100002401</v>
      </c>
      <c r="G90" s="108">
        <f t="shared" si="39"/>
        <v>91.878084591867292</v>
      </c>
      <c r="H90" s="108">
        <f t="shared" si="39"/>
        <v>104.27367770211043</v>
      </c>
      <c r="I90" s="108">
        <f t="shared" si="39"/>
        <v>73.038515120302435</v>
      </c>
      <c r="J90" s="108">
        <f t="shared" si="39"/>
        <v>41.982425417899151</v>
      </c>
      <c r="K90" s="108">
        <f t="shared" si="39"/>
        <v>85.612686486681056</v>
      </c>
      <c r="L90" s="108">
        <f t="shared" si="39"/>
        <v>55.960050778243115</v>
      </c>
      <c r="M90" s="108">
        <f t="shared" si="39"/>
        <v>70.09242971909643</v>
      </c>
      <c r="N90" s="108">
        <f t="shared" si="39"/>
        <v>74.560699401801642</v>
      </c>
      <c r="O90" s="108">
        <f t="shared" si="39"/>
        <v>71.15615418046977</v>
      </c>
      <c r="P90" s="108">
        <f t="shared" si="39"/>
        <v>46.461351235548406</v>
      </c>
      <c r="Q90" s="108">
        <f t="shared" si="39"/>
        <v>85.65433283703338</v>
      </c>
      <c r="R90" s="108">
        <f t="shared" si="39"/>
        <v>59.348740888746903</v>
      </c>
      <c r="S90" s="108">
        <f t="shared" si="39"/>
        <v>64.058171656590972</v>
      </c>
      <c r="T90" s="108">
        <f t="shared" si="41"/>
        <v>55.38495353565726</v>
      </c>
      <c r="U90" s="108">
        <f t="shared" si="41"/>
        <v>66.548323437216226</v>
      </c>
      <c r="V90" s="108">
        <f t="shared" si="41"/>
        <v>54.058352880295402</v>
      </c>
      <c r="W90" s="108">
        <f t="shared" si="41"/>
        <v>567.0920005419257</v>
      </c>
      <c r="X90" s="108">
        <f t="shared" si="41"/>
        <v>588.72500053802003</v>
      </c>
      <c r="Y90" s="87">
        <f t="shared" si="41"/>
        <v>486.12000000000006</v>
      </c>
      <c r="Z90" s="217">
        <f t="shared" si="41"/>
        <v>517.89699999999993</v>
      </c>
      <c r="AA90" s="217">
        <f t="shared" si="41"/>
        <v>447.93499999999995</v>
      </c>
      <c r="AB90" s="217">
        <f t="shared" si="41"/>
        <v>534.96900000000005</v>
      </c>
      <c r="AC90" s="217">
        <f t="shared" si="41"/>
        <v>442.76</v>
      </c>
      <c r="AD90" s="217">
        <f t="shared" si="41"/>
        <v>405.858</v>
      </c>
      <c r="AE90" s="217">
        <f t="shared" si="41"/>
        <v>428.86400000000003</v>
      </c>
      <c r="AF90" s="217">
        <f t="shared" si="41"/>
        <v>447.30199999999996</v>
      </c>
      <c r="AG90" s="77">
        <f t="shared" si="41"/>
        <v>415.19928499254115</v>
      </c>
      <c r="AH90" s="77">
        <f t="shared" si="41"/>
        <v>418.93746588657245</v>
      </c>
      <c r="AI90" s="77">
        <f t="shared" si="41"/>
        <v>410.84484343965448</v>
      </c>
      <c r="AJ90" s="77">
        <f t="shared" si="41"/>
        <v>411.31232441539152</v>
      </c>
      <c r="AK90" s="77">
        <f t="shared" si="41"/>
        <v>410.6879740485133</v>
      </c>
      <c r="AL90" s="77">
        <f t="shared" si="41"/>
        <v>410.08814180556789</v>
      </c>
      <c r="AM90" s="77">
        <f t="shared" si="41"/>
        <v>406.74577486440137</v>
      </c>
      <c r="AN90" s="77">
        <f t="shared" si="41"/>
        <v>403.88184069759046</v>
      </c>
      <c r="AO90" s="77">
        <f t="shared" si="41"/>
        <v>400.59111975788522</v>
      </c>
      <c r="AP90" s="77">
        <f t="shared" si="41"/>
        <v>398.19829750773891</v>
      </c>
      <c r="AQ90" s="77">
        <f t="shared" si="41"/>
        <v>395.89941294904077</v>
      </c>
      <c r="AR90" s="77">
        <f t="shared" si="41"/>
        <v>393.77966732144353</v>
      </c>
      <c r="AS90" s="77">
        <f t="shared" si="41"/>
        <v>390.95659550936233</v>
      </c>
      <c r="AT90" s="77">
        <f t="shared" si="41"/>
        <v>388.27008504732555</v>
      </c>
      <c r="AU90" s="77">
        <f t="shared" si="41"/>
        <v>385.61936400005374</v>
      </c>
      <c r="AV90" s="77">
        <f t="shared" si="41"/>
        <v>383.17458230902798</v>
      </c>
      <c r="AW90" s="77">
        <f t="shared" si="41"/>
        <v>380.71523848036253</v>
      </c>
      <c r="AX90" s="77">
        <f t="shared" si="41"/>
        <v>367.94148216615076</v>
      </c>
      <c r="AY90" s="77">
        <f t="shared" si="41"/>
        <v>360.20251975626456</v>
      </c>
    </row>
    <row r="91" spans="1:51">
      <c r="A91" s="69" t="s">
        <v>36</v>
      </c>
      <c r="B91" s="108">
        <f t="shared" si="40"/>
        <v>79.795266568018178</v>
      </c>
      <c r="C91" s="108">
        <f t="shared" si="40"/>
        <v>82.376930532542701</v>
      </c>
      <c r="D91" s="108">
        <f t="shared" si="39"/>
        <v>56.996621544294825</v>
      </c>
      <c r="E91" s="108">
        <f t="shared" si="39"/>
        <v>50.572157436771207</v>
      </c>
      <c r="F91" s="108">
        <f t="shared" si="39"/>
        <v>61.111408270456096</v>
      </c>
      <c r="G91" s="108">
        <f t="shared" si="39"/>
        <v>93.892827406853613</v>
      </c>
      <c r="H91" s="108">
        <f t="shared" si="39"/>
        <v>61.79725847678516</v>
      </c>
      <c r="I91" s="108">
        <f t="shared" si="39"/>
        <v>88.962564300682857</v>
      </c>
      <c r="J91" s="108">
        <f t="shared" si="39"/>
        <v>83.669337637150264</v>
      </c>
      <c r="K91" s="108">
        <f t="shared" si="39"/>
        <v>52.338312153601237</v>
      </c>
      <c r="L91" s="108">
        <f t="shared" si="39"/>
        <v>51.784688796119838</v>
      </c>
      <c r="M91" s="108">
        <f t="shared" si="39"/>
        <v>97.013699256124085</v>
      </c>
      <c r="N91" s="108">
        <f t="shared" si="39"/>
        <v>74.699654600780804</v>
      </c>
      <c r="O91" s="108">
        <f t="shared" si="39"/>
        <v>70.572672728672345</v>
      </c>
      <c r="P91" s="108">
        <f t="shared" si="39"/>
        <v>46.993632152735813</v>
      </c>
      <c r="Q91" s="108">
        <f t="shared" si="39"/>
        <v>70.297069494854171</v>
      </c>
      <c r="R91" s="108">
        <f t="shared" si="39"/>
        <v>65.07716844107911</v>
      </c>
      <c r="S91" s="108">
        <f t="shared" si="39"/>
        <v>32.23290524331658</v>
      </c>
      <c r="T91" s="108">
        <f t="shared" ref="T91:AY91" si="42">T106+T28+T59-T75-T107</f>
        <v>52.983555387192155</v>
      </c>
      <c r="U91" s="108">
        <f t="shared" si="42"/>
        <v>45.630322902917072</v>
      </c>
      <c r="V91" s="108">
        <f t="shared" si="42"/>
        <v>78.744720724981505</v>
      </c>
      <c r="W91" s="108">
        <f t="shared" si="42"/>
        <v>587.74800030091842</v>
      </c>
      <c r="X91" s="108">
        <f t="shared" si="42"/>
        <v>607.59900024910451</v>
      </c>
      <c r="Y91" s="87">
        <f t="shared" si="42"/>
        <v>567.21299999999997</v>
      </c>
      <c r="Z91" s="217">
        <f t="shared" si="42"/>
        <v>498.82600000000002</v>
      </c>
      <c r="AA91" s="217">
        <f t="shared" si="42"/>
        <v>519.09099999999989</v>
      </c>
      <c r="AB91" s="217">
        <f t="shared" si="42"/>
        <v>490.28899999999993</v>
      </c>
      <c r="AC91" s="217">
        <f t="shared" si="42"/>
        <v>386.46299999999997</v>
      </c>
      <c r="AD91" s="217">
        <f t="shared" si="42"/>
        <v>352.52499999999998</v>
      </c>
      <c r="AE91" s="217">
        <f t="shared" si="42"/>
        <v>405.43899999999996</v>
      </c>
      <c r="AF91" s="217">
        <f t="shared" si="42"/>
        <v>401.399</v>
      </c>
      <c r="AG91" s="77">
        <f t="shared" si="42"/>
        <v>343.49238428776027</v>
      </c>
      <c r="AH91" s="77">
        <f t="shared" si="42"/>
        <v>370.79385102254616</v>
      </c>
      <c r="AI91" s="77">
        <f t="shared" si="42"/>
        <v>358.30336408473062</v>
      </c>
      <c r="AJ91" s="77">
        <f t="shared" si="42"/>
        <v>363.60010990551484</v>
      </c>
      <c r="AK91" s="77">
        <f t="shared" si="42"/>
        <v>360.77674500769729</v>
      </c>
      <c r="AL91" s="77">
        <f t="shared" si="42"/>
        <v>351.88546686804489</v>
      </c>
      <c r="AM91" s="77">
        <f t="shared" si="42"/>
        <v>359.73090608955215</v>
      </c>
      <c r="AN91" s="77">
        <f t="shared" si="42"/>
        <v>352.44080393026377</v>
      </c>
      <c r="AO91" s="77">
        <f t="shared" si="42"/>
        <v>350.28030284182068</v>
      </c>
      <c r="AP91" s="77">
        <f t="shared" si="42"/>
        <v>347.97244411061121</v>
      </c>
      <c r="AQ91" s="77">
        <f t="shared" si="42"/>
        <v>345.24872004659056</v>
      </c>
      <c r="AR91" s="77">
        <f t="shared" si="42"/>
        <v>344.15565807375702</v>
      </c>
      <c r="AS91" s="77">
        <f t="shared" si="42"/>
        <v>341.79559106588312</v>
      </c>
      <c r="AT91" s="77">
        <f t="shared" si="42"/>
        <v>338.77969818032864</v>
      </c>
      <c r="AU91" s="77">
        <f t="shared" si="42"/>
        <v>336.59693845493445</v>
      </c>
      <c r="AV91" s="77">
        <f t="shared" si="42"/>
        <v>334.3893984898541</v>
      </c>
      <c r="AW91" s="77">
        <f t="shared" si="42"/>
        <v>332.2390216992361</v>
      </c>
      <c r="AX91" s="77">
        <f t="shared" si="42"/>
        <v>320.72046579799587</v>
      </c>
      <c r="AY91" s="77">
        <f t="shared" si="42"/>
        <v>313.76451585899571</v>
      </c>
    </row>
    <row r="92" spans="1:51">
      <c r="A92" s="69" t="s">
        <v>37</v>
      </c>
      <c r="B92" s="108">
        <f t="shared" si="40"/>
        <v>103.01098595224109</v>
      </c>
      <c r="C92" s="108">
        <f t="shared" si="40"/>
        <v>75.792673403320322</v>
      </c>
      <c r="D92" s="108">
        <f t="shared" si="39"/>
        <v>58.116450392728069</v>
      </c>
      <c r="E92" s="108">
        <f t="shared" si="39"/>
        <v>76.882936838065405</v>
      </c>
      <c r="F92" s="108">
        <f t="shared" si="39"/>
        <v>97.366408035229682</v>
      </c>
      <c r="G92" s="108">
        <f t="shared" si="39"/>
        <v>98.64828168273084</v>
      </c>
      <c r="H92" s="108">
        <f t="shared" si="39"/>
        <v>62.867868683838225</v>
      </c>
      <c r="I92" s="108">
        <f t="shared" si="39"/>
        <v>62.661838666598783</v>
      </c>
      <c r="J92" s="108">
        <f t="shared" si="39"/>
        <v>90.522055037579094</v>
      </c>
      <c r="K92" s="108">
        <f t="shared" si="39"/>
        <v>64.693082678287539</v>
      </c>
      <c r="L92" s="108">
        <f t="shared" si="39"/>
        <v>75.227067676568751</v>
      </c>
      <c r="M92" s="108">
        <f t="shared" si="39"/>
        <v>85.642579255596388</v>
      </c>
      <c r="N92" s="108">
        <f t="shared" si="39"/>
        <v>48.053143127061659</v>
      </c>
      <c r="O92" s="108">
        <f t="shared" si="39"/>
        <v>55.885096009962069</v>
      </c>
      <c r="P92" s="108">
        <f t="shared" si="39"/>
        <v>6.6428272644253923</v>
      </c>
      <c r="Q92" s="108">
        <f t="shared" si="39"/>
        <v>76.757221787610078</v>
      </c>
      <c r="R92" s="108">
        <f t="shared" si="39"/>
        <v>71.244853014868539</v>
      </c>
      <c r="S92" s="108">
        <f t="shared" si="39"/>
        <v>62.729112964512751</v>
      </c>
      <c r="T92" s="108">
        <f t="shared" ref="T92:AY92" si="43">T107+T17+T60-T76-T108</f>
        <v>18.323683980969264</v>
      </c>
      <c r="U92" s="108">
        <f t="shared" si="43"/>
        <v>67.941577841101704</v>
      </c>
      <c r="V92" s="108">
        <f t="shared" si="43"/>
        <v>37.043538874511341</v>
      </c>
      <c r="W92" s="108">
        <f t="shared" si="43"/>
        <v>14.069560511284962</v>
      </c>
      <c r="X92" s="108">
        <f t="shared" si="43"/>
        <v>517.50900052974771</v>
      </c>
      <c r="Y92" s="87">
        <f t="shared" si="43"/>
        <v>554.46100000000001</v>
      </c>
      <c r="Z92" s="87">
        <f t="shared" si="43"/>
        <v>440.73099999999994</v>
      </c>
      <c r="AA92" s="217">
        <f t="shared" si="43"/>
        <v>383.17999999999995</v>
      </c>
      <c r="AB92" s="217">
        <f t="shared" si="43"/>
        <v>368.82299999999998</v>
      </c>
      <c r="AC92" s="217">
        <f t="shared" si="43"/>
        <v>467.279</v>
      </c>
      <c r="AD92" s="217">
        <f t="shared" si="43"/>
        <v>431.24200000000002</v>
      </c>
      <c r="AE92" s="217">
        <f t="shared" si="43"/>
        <v>410.726</v>
      </c>
      <c r="AF92" s="217">
        <f t="shared" si="43"/>
        <v>360.00600000000009</v>
      </c>
      <c r="AG92" s="77">
        <f t="shared" si="43"/>
        <v>369.92735618643968</v>
      </c>
      <c r="AH92" s="77">
        <f t="shared" si="43"/>
        <v>380.21479905559471</v>
      </c>
      <c r="AI92" s="77">
        <f t="shared" si="43"/>
        <v>388.00830634924756</v>
      </c>
      <c r="AJ92" s="77">
        <f t="shared" si="43"/>
        <v>381.02018796119728</v>
      </c>
      <c r="AK92" s="77">
        <f t="shared" si="43"/>
        <v>380.14570787197522</v>
      </c>
      <c r="AL92" s="77">
        <f t="shared" si="43"/>
        <v>376.57866669534832</v>
      </c>
      <c r="AM92" s="77">
        <f t="shared" si="43"/>
        <v>375.75289607119663</v>
      </c>
      <c r="AN92" s="77">
        <f t="shared" si="43"/>
        <v>372.10237394290425</v>
      </c>
      <c r="AO92" s="77">
        <f t="shared" si="43"/>
        <v>371.66163499695119</v>
      </c>
      <c r="AP92" s="77">
        <f t="shared" si="43"/>
        <v>368.39162458273387</v>
      </c>
      <c r="AQ92" s="77">
        <f t="shared" si="43"/>
        <v>365.86167193202903</v>
      </c>
      <c r="AR92" s="77">
        <f t="shared" si="43"/>
        <v>362.72675032314822</v>
      </c>
      <c r="AS92" s="77">
        <f t="shared" si="43"/>
        <v>361.39447622946352</v>
      </c>
      <c r="AT92" s="77">
        <f t="shared" si="43"/>
        <v>358.80220443086836</v>
      </c>
      <c r="AU92" s="77">
        <f t="shared" si="43"/>
        <v>356.60861930665169</v>
      </c>
      <c r="AV92" s="77">
        <f t="shared" si="43"/>
        <v>353.91556226188533</v>
      </c>
      <c r="AW92" s="77">
        <f t="shared" si="43"/>
        <v>351.52953092039513</v>
      </c>
      <c r="AX92" s="77">
        <f t="shared" si="43"/>
        <v>339.78740811431328</v>
      </c>
      <c r="AY92" s="77">
        <f t="shared" si="43"/>
        <v>332.79291256201179</v>
      </c>
    </row>
    <row r="93" spans="1:51" ht="12" thickBot="1">
      <c r="A93" s="69" t="s">
        <v>138</v>
      </c>
      <c r="B93" s="108">
        <f>SUM(B81:B92)</f>
        <v>921.80189403945087</v>
      </c>
      <c r="C93" s="108">
        <f t="shared" ref="C93:AY93" si="44">SUM(C81:C92)</f>
        <v>1013.9156249447508</v>
      </c>
      <c r="D93" s="108">
        <f t="shared" si="44"/>
        <v>797.76182614358811</v>
      </c>
      <c r="E93" s="108">
        <f t="shared" si="44"/>
        <v>809.84720555321246</v>
      </c>
      <c r="F93" s="108">
        <f t="shared" si="44"/>
        <v>885.77443179412467</v>
      </c>
      <c r="G93" s="108">
        <f t="shared" si="44"/>
        <v>1023.6767909704834</v>
      </c>
      <c r="H93" s="108">
        <f t="shared" si="44"/>
        <v>1006.072472848459</v>
      </c>
      <c r="I93" s="108">
        <f t="shared" si="44"/>
        <v>914.12222733021554</v>
      </c>
      <c r="J93" s="108">
        <f t="shared" si="44"/>
        <v>936.27598004450363</v>
      </c>
      <c r="K93" s="108">
        <f t="shared" si="44"/>
        <v>973.13009630709689</v>
      </c>
      <c r="L93" s="108">
        <f t="shared" si="44"/>
        <v>842.6428498242459</v>
      </c>
      <c r="M93" s="108">
        <f t="shared" si="44"/>
        <v>885.81056489910009</v>
      </c>
      <c r="N93" s="108">
        <f t="shared" si="44"/>
        <v>890.97393853924802</v>
      </c>
      <c r="O93" s="108">
        <f t="shared" si="44"/>
        <v>802.18872547451042</v>
      </c>
      <c r="P93" s="108">
        <f t="shared" si="44"/>
        <v>667.31312430741991</v>
      </c>
      <c r="Q93" s="108">
        <f t="shared" si="44"/>
        <v>1038.3015881880535</v>
      </c>
      <c r="R93" s="108">
        <f t="shared" si="44"/>
        <v>843.53843676295094</v>
      </c>
      <c r="S93" s="108">
        <f t="shared" si="44"/>
        <v>752.38028045064755</v>
      </c>
      <c r="T93" s="108">
        <f t="shared" si="44"/>
        <v>725.91745291138034</v>
      </c>
      <c r="U93" s="108">
        <f t="shared" si="44"/>
        <v>842.52855045453748</v>
      </c>
      <c r="V93" s="108">
        <f t="shared" si="44"/>
        <v>840.573495669262</v>
      </c>
      <c r="W93" s="108">
        <f t="shared" si="44"/>
        <v>4755.0201702065542</v>
      </c>
      <c r="X93" s="108">
        <f t="shared" si="44"/>
        <v>6803.5650047723884</v>
      </c>
      <c r="Y93" s="76">
        <f t="shared" si="44"/>
        <v>6774.1620014294795</v>
      </c>
      <c r="Z93" s="79">
        <f t="shared" si="44"/>
        <v>5909.2369999999992</v>
      </c>
      <c r="AA93" s="79">
        <f t="shared" si="44"/>
        <v>5348.5560000000005</v>
      </c>
      <c r="AB93" s="79">
        <f t="shared" si="44"/>
        <v>5556.91</v>
      </c>
      <c r="AC93" s="79">
        <f t="shared" si="44"/>
        <v>5082.7560000000012</v>
      </c>
      <c r="AD93" s="79">
        <f t="shared" si="44"/>
        <v>5003.085</v>
      </c>
      <c r="AE93" s="79">
        <f t="shared" si="44"/>
        <v>5053.4229999999998</v>
      </c>
      <c r="AF93" s="79">
        <f t="shared" si="44"/>
        <v>5034.1019999999999</v>
      </c>
      <c r="AG93" s="77">
        <f t="shared" si="44"/>
        <v>4644.7051415037886</v>
      </c>
      <c r="AH93" s="77">
        <f t="shared" si="44"/>
        <v>4812.7415504608525</v>
      </c>
      <c r="AI93" s="77">
        <f t="shared" si="44"/>
        <v>4780.7792217981287</v>
      </c>
      <c r="AJ93" s="77">
        <f t="shared" si="44"/>
        <v>4769.9210059882935</v>
      </c>
      <c r="AK93" s="77">
        <f t="shared" si="44"/>
        <v>4740.0454429014871</v>
      </c>
      <c r="AL93" s="77">
        <f t="shared" si="44"/>
        <v>4711.011796403096</v>
      </c>
      <c r="AM93" s="77">
        <f t="shared" si="44"/>
        <v>4686.6474265559327</v>
      </c>
      <c r="AN93" s="77">
        <f t="shared" si="44"/>
        <v>4656.7271290671088</v>
      </c>
      <c r="AO93" s="77">
        <f t="shared" si="44"/>
        <v>4627.0917911214628</v>
      </c>
      <c r="AP93" s="77">
        <f t="shared" si="44"/>
        <v>4598.0347330611276</v>
      </c>
      <c r="AQ93" s="77">
        <f t="shared" si="44"/>
        <v>4569.6885553839984</v>
      </c>
      <c r="AR93" s="77">
        <f t="shared" si="44"/>
        <v>4541.3983646689585</v>
      </c>
      <c r="AS93" s="77">
        <f t="shared" si="44"/>
        <v>4512.4121107092642</v>
      </c>
      <c r="AT93" s="77">
        <f t="shared" si="44"/>
        <v>4483.5556733050134</v>
      </c>
      <c r="AU93" s="77">
        <f t="shared" si="44"/>
        <v>4454.8458768992314</v>
      </c>
      <c r="AV93" s="77">
        <f t="shared" si="44"/>
        <v>4426.2094657390344</v>
      </c>
      <c r="AW93" s="77">
        <f t="shared" si="44"/>
        <v>4397.5123812859474</v>
      </c>
      <c r="AX93" s="77">
        <f t="shared" si="44"/>
        <v>4253.8508235290219</v>
      </c>
      <c r="AY93" s="77">
        <f t="shared" si="44"/>
        <v>4167.6721866451644</v>
      </c>
    </row>
    <row r="94" spans="1:51">
      <c r="A94" s="199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200"/>
      <c r="AW94" s="200"/>
      <c r="AX94" s="200"/>
      <c r="AY94" s="200"/>
    </row>
    <row r="95" spans="1:51" ht="12" thickBot="1">
      <c r="A95" s="69" t="s">
        <v>363</v>
      </c>
      <c r="Y95" s="76"/>
    </row>
    <row r="96" spans="1:51" ht="12" thickBot="1">
      <c r="A96" s="202"/>
      <c r="B96" s="203" t="str">
        <f>B$2</f>
        <v xml:space="preserve">93/94 </v>
      </c>
      <c r="C96" s="203" t="str">
        <f t="shared" ref="C96:AY96" si="45">C$2</f>
        <v xml:space="preserve">94/95 </v>
      </c>
      <c r="D96" s="203" t="str">
        <f t="shared" si="45"/>
        <v xml:space="preserve">95/96 </v>
      </c>
      <c r="E96" s="203" t="str">
        <f t="shared" si="45"/>
        <v xml:space="preserve">96/97 </v>
      </c>
      <c r="F96" s="203" t="str">
        <f t="shared" si="45"/>
        <v xml:space="preserve">97/98 </v>
      </c>
      <c r="G96" s="203" t="str">
        <f t="shared" si="45"/>
        <v xml:space="preserve">98/99 </v>
      </c>
      <c r="H96" s="203" t="str">
        <f t="shared" si="45"/>
        <v xml:space="preserve">99/00 </v>
      </c>
      <c r="I96" s="203" t="str">
        <f t="shared" si="45"/>
        <v xml:space="preserve">00/01 </v>
      </c>
      <c r="J96" s="203" t="str">
        <f t="shared" si="45"/>
        <v xml:space="preserve">01/02 </v>
      </c>
      <c r="K96" s="203" t="str">
        <f t="shared" si="45"/>
        <v xml:space="preserve">02/03 </v>
      </c>
      <c r="L96" s="203" t="str">
        <f t="shared" si="45"/>
        <v xml:space="preserve">03/04 </v>
      </c>
      <c r="M96" s="203" t="str">
        <f t="shared" si="45"/>
        <v xml:space="preserve">04/05 </v>
      </c>
      <c r="N96" s="203" t="str">
        <f t="shared" si="45"/>
        <v xml:space="preserve">05/06 </v>
      </c>
      <c r="O96" s="203" t="str">
        <f t="shared" si="45"/>
        <v xml:space="preserve">06/07 </v>
      </c>
      <c r="P96" s="203" t="str">
        <f t="shared" si="45"/>
        <v xml:space="preserve">07/08 </v>
      </c>
      <c r="Q96" s="203" t="str">
        <f t="shared" si="45"/>
        <v xml:space="preserve">08/09 </v>
      </c>
      <c r="R96" s="203" t="str">
        <f t="shared" si="45"/>
        <v xml:space="preserve">09/10 </v>
      </c>
      <c r="S96" s="203" t="str">
        <f t="shared" si="45"/>
        <v xml:space="preserve">10/11 </v>
      </c>
      <c r="T96" s="203" t="str">
        <f t="shared" si="45"/>
        <v xml:space="preserve">11/12 </v>
      </c>
      <c r="U96" s="203" t="str">
        <f t="shared" si="45"/>
        <v xml:space="preserve">12/13 </v>
      </c>
      <c r="V96" s="203" t="str">
        <f t="shared" si="45"/>
        <v xml:space="preserve">13/14 </v>
      </c>
      <c r="W96" s="203" t="str">
        <f t="shared" si="45"/>
        <v xml:space="preserve">14/15 </v>
      </c>
      <c r="X96" s="203" t="str">
        <f t="shared" si="45"/>
        <v xml:space="preserve">15/16 </v>
      </c>
      <c r="Y96" s="203" t="str">
        <f t="shared" si="45"/>
        <v xml:space="preserve">16/17 </v>
      </c>
      <c r="Z96" s="203" t="str">
        <f t="shared" si="45"/>
        <v xml:space="preserve">17/18 </v>
      </c>
      <c r="AA96" s="203" t="str">
        <f t="shared" si="45"/>
        <v xml:space="preserve">18/19 </v>
      </c>
      <c r="AB96" s="203" t="str">
        <f t="shared" si="45"/>
        <v xml:space="preserve">19/20 </v>
      </c>
      <c r="AC96" s="203" t="str">
        <f t="shared" si="45"/>
        <v xml:space="preserve">20/21 </v>
      </c>
      <c r="AD96" s="203" t="str">
        <f t="shared" si="45"/>
        <v>21/22</v>
      </c>
      <c r="AE96" s="203" t="str">
        <f t="shared" si="45"/>
        <v>22/23</v>
      </c>
      <c r="AF96" s="203" t="str">
        <f t="shared" si="45"/>
        <v>23/24</v>
      </c>
      <c r="AG96" s="203" t="str">
        <f t="shared" si="45"/>
        <v>24/25</v>
      </c>
      <c r="AH96" s="203" t="str">
        <f t="shared" si="45"/>
        <v>25/26</v>
      </c>
      <c r="AI96" s="203" t="str">
        <f t="shared" si="45"/>
        <v>26/27</v>
      </c>
      <c r="AJ96" s="203" t="str">
        <f t="shared" si="45"/>
        <v>27/28</v>
      </c>
      <c r="AK96" s="203" t="str">
        <f t="shared" si="45"/>
        <v>28/29</v>
      </c>
      <c r="AL96" s="203" t="str">
        <f t="shared" si="45"/>
        <v>29/30</v>
      </c>
      <c r="AM96" s="203" t="str">
        <f t="shared" si="45"/>
        <v>30/31</v>
      </c>
      <c r="AN96" s="203" t="str">
        <f t="shared" si="45"/>
        <v>31/32</v>
      </c>
      <c r="AO96" s="203" t="str">
        <f t="shared" si="45"/>
        <v>32/33</v>
      </c>
      <c r="AP96" s="203" t="str">
        <f t="shared" si="45"/>
        <v>33/34</v>
      </c>
      <c r="AQ96" s="203" t="str">
        <f t="shared" si="45"/>
        <v>34/35</v>
      </c>
      <c r="AR96" s="203" t="str">
        <f t="shared" si="45"/>
        <v>35/36</v>
      </c>
      <c r="AS96" s="203" t="str">
        <f t="shared" si="45"/>
        <v>36/37</v>
      </c>
      <c r="AT96" s="203" t="str">
        <f t="shared" si="45"/>
        <v>37/38</v>
      </c>
      <c r="AU96" s="203" t="str">
        <f t="shared" si="45"/>
        <v>38/39</v>
      </c>
      <c r="AV96" s="203" t="str">
        <f t="shared" si="45"/>
        <v>39/40</v>
      </c>
      <c r="AW96" s="203" t="str">
        <f t="shared" si="45"/>
        <v>40/41</v>
      </c>
      <c r="AX96" s="203" t="str">
        <f t="shared" si="45"/>
        <v>41/42</v>
      </c>
      <c r="AY96" s="203" t="str">
        <f t="shared" si="45"/>
        <v>42/43</v>
      </c>
    </row>
    <row r="97" spans="1:51">
      <c r="A97" s="69" t="s">
        <v>38</v>
      </c>
      <c r="B97" s="107">
        <f>(B$108-B$4)/13+B4</f>
        <v>0</v>
      </c>
      <c r="C97" s="107">
        <f>(C$108-B$108)/13+B108</f>
        <v>0</v>
      </c>
      <c r="D97" s="107">
        <f t="shared" ref="D97:AY97" si="46">(D$108-C$108)/13+C108</f>
        <v>0</v>
      </c>
      <c r="E97" s="107">
        <f t="shared" si="46"/>
        <v>0</v>
      </c>
      <c r="F97" s="107">
        <f t="shared" si="46"/>
        <v>0</v>
      </c>
      <c r="G97" s="107">
        <f t="shared" si="46"/>
        <v>0</v>
      </c>
      <c r="H97" s="107">
        <f t="shared" si="46"/>
        <v>0</v>
      </c>
      <c r="I97" s="107">
        <f t="shared" si="46"/>
        <v>0</v>
      </c>
      <c r="J97" s="107">
        <f t="shared" si="46"/>
        <v>0</v>
      </c>
      <c r="K97" s="107">
        <f t="shared" si="46"/>
        <v>0</v>
      </c>
      <c r="L97" s="107">
        <f t="shared" si="46"/>
        <v>0</v>
      </c>
      <c r="M97" s="107">
        <f t="shared" si="46"/>
        <v>0</v>
      </c>
      <c r="N97" s="107">
        <f t="shared" si="46"/>
        <v>0</v>
      </c>
      <c r="O97" s="107">
        <f t="shared" si="46"/>
        <v>0</v>
      </c>
      <c r="P97" s="107">
        <f t="shared" si="46"/>
        <v>0</v>
      </c>
      <c r="Q97" s="107">
        <f t="shared" si="46"/>
        <v>0</v>
      </c>
      <c r="R97" s="107">
        <f t="shared" si="46"/>
        <v>0</v>
      </c>
      <c r="S97" s="107">
        <f t="shared" si="46"/>
        <v>0</v>
      </c>
      <c r="T97" s="107">
        <f t="shared" si="46"/>
        <v>0</v>
      </c>
      <c r="U97" s="107">
        <f t="shared" si="46"/>
        <v>0</v>
      </c>
      <c r="V97" s="107">
        <f t="shared" si="46"/>
        <v>0</v>
      </c>
      <c r="W97" s="107">
        <f t="shared" si="46"/>
        <v>0</v>
      </c>
      <c r="X97" s="107">
        <f t="shared" si="46"/>
        <v>0</v>
      </c>
      <c r="Y97" s="107">
        <f t="shared" si="46"/>
        <v>0</v>
      </c>
      <c r="Z97" s="217">
        <f t="shared" si="46"/>
        <v>0</v>
      </c>
      <c r="AA97" s="217">
        <f t="shared" si="46"/>
        <v>0</v>
      </c>
      <c r="AB97" s="217">
        <f t="shared" si="46"/>
        <v>0</v>
      </c>
      <c r="AC97" s="217">
        <f t="shared" si="46"/>
        <v>0</v>
      </c>
      <c r="AD97" s="217">
        <f t="shared" si="46"/>
        <v>0</v>
      </c>
      <c r="AE97" s="217">
        <f t="shared" si="46"/>
        <v>0</v>
      </c>
      <c r="AF97" s="217">
        <f t="shared" si="46"/>
        <v>0</v>
      </c>
      <c r="AG97" s="217">
        <f t="shared" si="46"/>
        <v>0</v>
      </c>
      <c r="AH97" s="77">
        <f t="shared" si="46"/>
        <v>0</v>
      </c>
      <c r="AI97" s="77">
        <f t="shared" si="46"/>
        <v>0</v>
      </c>
      <c r="AJ97" s="77">
        <f t="shared" si="46"/>
        <v>0</v>
      </c>
      <c r="AK97" s="77">
        <f t="shared" si="46"/>
        <v>0</v>
      </c>
      <c r="AL97" s="77">
        <f t="shared" si="46"/>
        <v>0</v>
      </c>
      <c r="AM97" s="77">
        <f t="shared" si="46"/>
        <v>0</v>
      </c>
      <c r="AN97" s="77">
        <f t="shared" si="46"/>
        <v>0</v>
      </c>
      <c r="AO97" s="77">
        <f t="shared" si="46"/>
        <v>0</v>
      </c>
      <c r="AP97" s="77">
        <f t="shared" si="46"/>
        <v>0</v>
      </c>
      <c r="AQ97" s="77">
        <f t="shared" si="46"/>
        <v>0</v>
      </c>
      <c r="AR97" s="77">
        <f t="shared" si="46"/>
        <v>0</v>
      </c>
      <c r="AS97" s="77">
        <f t="shared" si="46"/>
        <v>0</v>
      </c>
      <c r="AT97" s="77">
        <f t="shared" si="46"/>
        <v>0</v>
      </c>
      <c r="AU97" s="77">
        <f t="shared" si="46"/>
        <v>0</v>
      </c>
      <c r="AV97" s="77">
        <f t="shared" si="46"/>
        <v>0</v>
      </c>
      <c r="AW97" s="77">
        <f t="shared" si="46"/>
        <v>0</v>
      </c>
      <c r="AX97" s="77">
        <f t="shared" si="46"/>
        <v>0</v>
      </c>
      <c r="AY97" s="77">
        <f t="shared" si="46"/>
        <v>0</v>
      </c>
    </row>
    <row r="98" spans="1:51">
      <c r="A98" s="69" t="s">
        <v>39</v>
      </c>
      <c r="B98" s="107">
        <f t="shared" ref="B98:B107" si="47">(B$108-B$4)/13+B97</f>
        <v>0</v>
      </c>
      <c r="C98" s="107">
        <f>(C$108-B$108)/13+C97</f>
        <v>0</v>
      </c>
      <c r="D98" s="107">
        <f t="shared" ref="D98:AY103" si="48">(D$108-C$108)/13+D97</f>
        <v>0</v>
      </c>
      <c r="E98" s="107">
        <f t="shared" si="48"/>
        <v>0</v>
      </c>
      <c r="F98" s="107">
        <f t="shared" si="48"/>
        <v>0</v>
      </c>
      <c r="G98" s="107">
        <f t="shared" si="48"/>
        <v>0</v>
      </c>
      <c r="H98" s="107">
        <f t="shared" si="48"/>
        <v>0</v>
      </c>
      <c r="I98" s="107">
        <f t="shared" si="48"/>
        <v>0</v>
      </c>
      <c r="J98" s="107">
        <f t="shared" si="48"/>
        <v>0</v>
      </c>
      <c r="K98" s="107">
        <f t="shared" si="48"/>
        <v>0</v>
      </c>
      <c r="L98" s="107">
        <f t="shared" si="48"/>
        <v>0</v>
      </c>
      <c r="M98" s="107">
        <f t="shared" si="48"/>
        <v>0</v>
      </c>
      <c r="N98" s="107">
        <f t="shared" si="48"/>
        <v>0</v>
      </c>
      <c r="O98" s="107">
        <f t="shared" si="48"/>
        <v>0</v>
      </c>
      <c r="P98" s="107">
        <f t="shared" si="48"/>
        <v>0</v>
      </c>
      <c r="Q98" s="107">
        <f t="shared" si="48"/>
        <v>0</v>
      </c>
      <c r="R98" s="107">
        <f t="shared" si="48"/>
        <v>0</v>
      </c>
      <c r="S98" s="107">
        <f t="shared" si="48"/>
        <v>0</v>
      </c>
      <c r="T98" s="107">
        <f t="shared" si="48"/>
        <v>0</v>
      </c>
      <c r="U98" s="107">
        <f t="shared" si="48"/>
        <v>0</v>
      </c>
      <c r="V98" s="107">
        <f t="shared" si="48"/>
        <v>0</v>
      </c>
      <c r="W98" s="107">
        <f t="shared" si="48"/>
        <v>0</v>
      </c>
      <c r="X98" s="107">
        <f t="shared" si="48"/>
        <v>0</v>
      </c>
      <c r="Y98" s="107">
        <f t="shared" si="48"/>
        <v>0</v>
      </c>
      <c r="Z98" s="217">
        <f t="shared" si="48"/>
        <v>0</v>
      </c>
      <c r="AA98" s="217">
        <f t="shared" si="48"/>
        <v>0</v>
      </c>
      <c r="AB98" s="217">
        <f t="shared" si="48"/>
        <v>0</v>
      </c>
      <c r="AC98" s="217">
        <f t="shared" si="48"/>
        <v>0</v>
      </c>
      <c r="AD98" s="217">
        <f t="shared" si="48"/>
        <v>0</v>
      </c>
      <c r="AE98" s="217">
        <f t="shared" si="48"/>
        <v>0</v>
      </c>
      <c r="AF98" s="217">
        <f t="shared" si="48"/>
        <v>0</v>
      </c>
      <c r="AG98" s="217">
        <f t="shared" si="48"/>
        <v>0</v>
      </c>
      <c r="AH98" s="77">
        <f t="shared" si="48"/>
        <v>0</v>
      </c>
      <c r="AI98" s="77">
        <f t="shared" si="48"/>
        <v>0</v>
      </c>
      <c r="AJ98" s="77">
        <f t="shared" si="48"/>
        <v>0</v>
      </c>
      <c r="AK98" s="77">
        <f t="shared" si="48"/>
        <v>0</v>
      </c>
      <c r="AL98" s="77">
        <f t="shared" si="48"/>
        <v>0</v>
      </c>
      <c r="AM98" s="77">
        <f t="shared" si="48"/>
        <v>0</v>
      </c>
      <c r="AN98" s="77">
        <f t="shared" si="48"/>
        <v>0</v>
      </c>
      <c r="AO98" s="77">
        <f t="shared" si="48"/>
        <v>0</v>
      </c>
      <c r="AP98" s="77">
        <f t="shared" si="48"/>
        <v>0</v>
      </c>
      <c r="AQ98" s="77">
        <f t="shared" si="48"/>
        <v>0</v>
      </c>
      <c r="AR98" s="77">
        <f t="shared" si="48"/>
        <v>0</v>
      </c>
      <c r="AS98" s="77">
        <f t="shared" si="48"/>
        <v>0</v>
      </c>
      <c r="AT98" s="77">
        <f t="shared" si="48"/>
        <v>0</v>
      </c>
      <c r="AU98" s="77">
        <f t="shared" si="48"/>
        <v>0</v>
      </c>
      <c r="AV98" s="77">
        <f t="shared" si="48"/>
        <v>0</v>
      </c>
      <c r="AW98" s="77">
        <f t="shared" si="48"/>
        <v>0</v>
      </c>
      <c r="AX98" s="77">
        <f t="shared" si="48"/>
        <v>0</v>
      </c>
      <c r="AY98" s="77">
        <f t="shared" si="48"/>
        <v>0</v>
      </c>
    </row>
    <row r="99" spans="1:51">
      <c r="A99" s="69" t="s">
        <v>40</v>
      </c>
      <c r="B99" s="107">
        <f t="shared" si="47"/>
        <v>0</v>
      </c>
      <c r="C99" s="107">
        <f t="shared" ref="C99:C107" si="49">(C$108-B$108)/13+C98</f>
        <v>0</v>
      </c>
      <c r="D99" s="107">
        <f t="shared" si="48"/>
        <v>0</v>
      </c>
      <c r="E99" s="107">
        <f t="shared" si="48"/>
        <v>0</v>
      </c>
      <c r="F99" s="107">
        <f t="shared" si="48"/>
        <v>0</v>
      </c>
      <c r="G99" s="107">
        <f t="shared" si="48"/>
        <v>0</v>
      </c>
      <c r="H99" s="107">
        <f t="shared" si="48"/>
        <v>0</v>
      </c>
      <c r="I99" s="107">
        <f t="shared" si="48"/>
        <v>0</v>
      </c>
      <c r="J99" s="107">
        <f t="shared" si="48"/>
        <v>0</v>
      </c>
      <c r="K99" s="107">
        <f t="shared" si="48"/>
        <v>0</v>
      </c>
      <c r="L99" s="107">
        <f t="shared" si="48"/>
        <v>0</v>
      </c>
      <c r="M99" s="107">
        <f t="shared" si="48"/>
        <v>0</v>
      </c>
      <c r="N99" s="107">
        <f t="shared" si="48"/>
        <v>0</v>
      </c>
      <c r="O99" s="107">
        <f t="shared" si="48"/>
        <v>0</v>
      </c>
      <c r="P99" s="107">
        <f t="shared" si="48"/>
        <v>0</v>
      </c>
      <c r="Q99" s="107">
        <f t="shared" si="48"/>
        <v>0</v>
      </c>
      <c r="R99" s="107">
        <f t="shared" si="48"/>
        <v>0</v>
      </c>
      <c r="S99" s="107">
        <f t="shared" si="48"/>
        <v>0</v>
      </c>
      <c r="T99" s="107">
        <f t="shared" si="48"/>
        <v>0</v>
      </c>
      <c r="U99" s="107">
        <f t="shared" si="48"/>
        <v>0</v>
      </c>
      <c r="V99" s="107">
        <f t="shared" si="48"/>
        <v>0</v>
      </c>
      <c r="W99" s="107">
        <f t="shared" si="48"/>
        <v>0</v>
      </c>
      <c r="X99" s="107">
        <f t="shared" si="48"/>
        <v>0</v>
      </c>
      <c r="Y99" s="107">
        <f t="shared" si="48"/>
        <v>0</v>
      </c>
      <c r="Z99" s="217">
        <f t="shared" si="48"/>
        <v>0</v>
      </c>
      <c r="AA99" s="217">
        <f t="shared" si="48"/>
        <v>0</v>
      </c>
      <c r="AB99" s="217">
        <f t="shared" si="48"/>
        <v>0</v>
      </c>
      <c r="AC99" s="217">
        <f t="shared" si="48"/>
        <v>0</v>
      </c>
      <c r="AD99" s="217">
        <f t="shared" si="48"/>
        <v>0</v>
      </c>
      <c r="AE99" s="217">
        <f t="shared" si="48"/>
        <v>0</v>
      </c>
      <c r="AF99" s="217">
        <f t="shared" si="48"/>
        <v>0</v>
      </c>
      <c r="AG99" s="217">
        <f t="shared" si="48"/>
        <v>0</v>
      </c>
      <c r="AH99" s="77">
        <f t="shared" si="48"/>
        <v>0</v>
      </c>
      <c r="AI99" s="77">
        <f t="shared" si="48"/>
        <v>0</v>
      </c>
      <c r="AJ99" s="77">
        <f t="shared" si="48"/>
        <v>0</v>
      </c>
      <c r="AK99" s="77">
        <f t="shared" si="48"/>
        <v>0</v>
      </c>
      <c r="AL99" s="77">
        <f t="shared" si="48"/>
        <v>0</v>
      </c>
      <c r="AM99" s="77">
        <f t="shared" si="48"/>
        <v>0</v>
      </c>
      <c r="AN99" s="77">
        <f t="shared" si="48"/>
        <v>0</v>
      </c>
      <c r="AO99" s="77">
        <f t="shared" si="48"/>
        <v>0</v>
      </c>
      <c r="AP99" s="77">
        <f t="shared" si="48"/>
        <v>0</v>
      </c>
      <c r="AQ99" s="77">
        <f t="shared" si="48"/>
        <v>0</v>
      </c>
      <c r="AR99" s="77">
        <f t="shared" si="48"/>
        <v>0</v>
      </c>
      <c r="AS99" s="77">
        <f t="shared" si="48"/>
        <v>0</v>
      </c>
      <c r="AT99" s="77">
        <f t="shared" si="48"/>
        <v>0</v>
      </c>
      <c r="AU99" s="77">
        <f t="shared" si="48"/>
        <v>0</v>
      </c>
      <c r="AV99" s="77">
        <f t="shared" si="48"/>
        <v>0</v>
      </c>
      <c r="AW99" s="77">
        <f t="shared" si="48"/>
        <v>0</v>
      </c>
      <c r="AX99" s="77">
        <f t="shared" si="48"/>
        <v>0</v>
      </c>
      <c r="AY99" s="77">
        <f t="shared" si="48"/>
        <v>0</v>
      </c>
    </row>
    <row r="100" spans="1:51">
      <c r="A100" s="69" t="s">
        <v>30</v>
      </c>
      <c r="B100" s="107">
        <f t="shared" si="47"/>
        <v>0</v>
      </c>
      <c r="C100" s="107">
        <f t="shared" si="49"/>
        <v>0</v>
      </c>
      <c r="D100" s="107">
        <f t="shared" si="48"/>
        <v>0</v>
      </c>
      <c r="E100" s="107">
        <f t="shared" si="48"/>
        <v>0</v>
      </c>
      <c r="F100" s="107">
        <f t="shared" si="48"/>
        <v>0</v>
      </c>
      <c r="G100" s="107">
        <f t="shared" si="48"/>
        <v>0</v>
      </c>
      <c r="H100" s="107">
        <f t="shared" si="48"/>
        <v>0</v>
      </c>
      <c r="I100" s="107">
        <f t="shared" si="48"/>
        <v>0</v>
      </c>
      <c r="J100" s="107">
        <f t="shared" si="48"/>
        <v>0</v>
      </c>
      <c r="K100" s="107">
        <f t="shared" si="48"/>
        <v>0</v>
      </c>
      <c r="L100" s="107">
        <f t="shared" si="48"/>
        <v>0</v>
      </c>
      <c r="M100" s="107">
        <f t="shared" si="48"/>
        <v>0</v>
      </c>
      <c r="N100" s="107">
        <f t="shared" si="48"/>
        <v>0</v>
      </c>
      <c r="O100" s="107">
        <f t="shared" si="48"/>
        <v>0</v>
      </c>
      <c r="P100" s="107">
        <f t="shared" si="48"/>
        <v>0</v>
      </c>
      <c r="Q100" s="107">
        <f t="shared" si="48"/>
        <v>0</v>
      </c>
      <c r="R100" s="107">
        <f t="shared" si="48"/>
        <v>0</v>
      </c>
      <c r="S100" s="107">
        <f t="shared" si="48"/>
        <v>0</v>
      </c>
      <c r="T100" s="107">
        <f t="shared" si="48"/>
        <v>0</v>
      </c>
      <c r="U100" s="107">
        <f t="shared" si="48"/>
        <v>0</v>
      </c>
      <c r="V100" s="107">
        <f t="shared" si="48"/>
        <v>0</v>
      </c>
      <c r="W100" s="107">
        <f t="shared" si="48"/>
        <v>0</v>
      </c>
      <c r="X100" s="107">
        <f t="shared" si="48"/>
        <v>0</v>
      </c>
      <c r="Y100" s="79">
        <f t="shared" si="48"/>
        <v>0</v>
      </c>
      <c r="Z100" s="217">
        <f t="shared" si="48"/>
        <v>0</v>
      </c>
      <c r="AA100" s="217">
        <f t="shared" si="48"/>
        <v>0</v>
      </c>
      <c r="AB100" s="217">
        <f t="shared" si="48"/>
        <v>0</v>
      </c>
      <c r="AC100" s="217">
        <f t="shared" si="48"/>
        <v>0</v>
      </c>
      <c r="AD100" s="217">
        <f t="shared" si="48"/>
        <v>0</v>
      </c>
      <c r="AE100" s="217">
        <f t="shared" si="48"/>
        <v>0</v>
      </c>
      <c r="AF100" s="217">
        <f t="shared" si="48"/>
        <v>0</v>
      </c>
      <c r="AG100" s="77">
        <f t="shared" si="48"/>
        <v>0</v>
      </c>
      <c r="AH100" s="77">
        <f t="shared" si="48"/>
        <v>0</v>
      </c>
      <c r="AI100" s="77">
        <f t="shared" si="48"/>
        <v>0</v>
      </c>
      <c r="AJ100" s="77">
        <f t="shared" si="48"/>
        <v>0</v>
      </c>
      <c r="AK100" s="77">
        <f t="shared" si="48"/>
        <v>0</v>
      </c>
      <c r="AL100" s="77">
        <f t="shared" si="48"/>
        <v>0</v>
      </c>
      <c r="AM100" s="77">
        <f t="shared" si="48"/>
        <v>0</v>
      </c>
      <c r="AN100" s="77">
        <f t="shared" si="48"/>
        <v>0</v>
      </c>
      <c r="AO100" s="77">
        <f t="shared" si="48"/>
        <v>0</v>
      </c>
      <c r="AP100" s="77">
        <f t="shared" si="48"/>
        <v>0</v>
      </c>
      <c r="AQ100" s="77">
        <f t="shared" si="48"/>
        <v>0</v>
      </c>
      <c r="AR100" s="77">
        <f t="shared" si="48"/>
        <v>0</v>
      </c>
      <c r="AS100" s="77">
        <f t="shared" si="48"/>
        <v>0</v>
      </c>
      <c r="AT100" s="77">
        <f t="shared" si="48"/>
        <v>0</v>
      </c>
      <c r="AU100" s="77">
        <f t="shared" si="48"/>
        <v>0</v>
      </c>
      <c r="AV100" s="77">
        <f t="shared" si="48"/>
        <v>0</v>
      </c>
      <c r="AW100" s="77">
        <f t="shared" si="48"/>
        <v>0</v>
      </c>
      <c r="AX100" s="77">
        <f t="shared" si="48"/>
        <v>0</v>
      </c>
      <c r="AY100" s="77">
        <f t="shared" si="48"/>
        <v>0</v>
      </c>
    </row>
    <row r="101" spans="1:51">
      <c r="A101" s="69" t="s">
        <v>31</v>
      </c>
      <c r="B101" s="107">
        <f t="shared" si="47"/>
        <v>0</v>
      </c>
      <c r="C101" s="107">
        <f t="shared" si="49"/>
        <v>0</v>
      </c>
      <c r="D101" s="107">
        <f t="shared" si="48"/>
        <v>0</v>
      </c>
      <c r="E101" s="107">
        <f t="shared" si="48"/>
        <v>0</v>
      </c>
      <c r="F101" s="107">
        <f t="shared" si="48"/>
        <v>0</v>
      </c>
      <c r="G101" s="107">
        <f t="shared" si="48"/>
        <v>0</v>
      </c>
      <c r="H101" s="107">
        <f t="shared" si="48"/>
        <v>0</v>
      </c>
      <c r="I101" s="107">
        <f t="shared" si="48"/>
        <v>0</v>
      </c>
      <c r="J101" s="107">
        <f t="shared" si="48"/>
        <v>0</v>
      </c>
      <c r="K101" s="107">
        <f t="shared" si="48"/>
        <v>0</v>
      </c>
      <c r="L101" s="107">
        <f t="shared" si="48"/>
        <v>0</v>
      </c>
      <c r="M101" s="107">
        <f t="shared" si="48"/>
        <v>0</v>
      </c>
      <c r="N101" s="107">
        <f t="shared" si="48"/>
        <v>0</v>
      </c>
      <c r="O101" s="107">
        <f t="shared" si="48"/>
        <v>0</v>
      </c>
      <c r="P101" s="107">
        <f t="shared" si="48"/>
        <v>0</v>
      </c>
      <c r="Q101" s="107">
        <f t="shared" si="48"/>
        <v>0</v>
      </c>
      <c r="R101" s="107">
        <f t="shared" si="48"/>
        <v>0</v>
      </c>
      <c r="S101" s="107">
        <f t="shared" si="48"/>
        <v>0</v>
      </c>
      <c r="T101" s="107">
        <f t="shared" si="48"/>
        <v>0</v>
      </c>
      <c r="U101" s="107">
        <f t="shared" si="48"/>
        <v>0</v>
      </c>
      <c r="V101" s="107">
        <f t="shared" si="48"/>
        <v>0</v>
      </c>
      <c r="W101" s="107">
        <f t="shared" si="48"/>
        <v>0</v>
      </c>
      <c r="X101" s="107">
        <f t="shared" si="48"/>
        <v>0</v>
      </c>
      <c r="Y101" s="79">
        <f t="shared" si="48"/>
        <v>0</v>
      </c>
      <c r="Z101" s="217">
        <f t="shared" si="48"/>
        <v>0</v>
      </c>
      <c r="AA101" s="217">
        <f t="shared" si="48"/>
        <v>0</v>
      </c>
      <c r="AB101" s="217">
        <f t="shared" si="48"/>
        <v>0</v>
      </c>
      <c r="AC101" s="217">
        <f t="shared" si="48"/>
        <v>0</v>
      </c>
      <c r="AD101" s="217">
        <f t="shared" si="48"/>
        <v>0</v>
      </c>
      <c r="AE101" s="217">
        <f t="shared" si="48"/>
        <v>0</v>
      </c>
      <c r="AF101" s="217">
        <f t="shared" si="48"/>
        <v>0</v>
      </c>
      <c r="AG101" s="77">
        <f t="shared" si="48"/>
        <v>0</v>
      </c>
      <c r="AH101" s="77">
        <f t="shared" si="48"/>
        <v>0</v>
      </c>
      <c r="AI101" s="77">
        <f t="shared" si="48"/>
        <v>0</v>
      </c>
      <c r="AJ101" s="77">
        <f t="shared" si="48"/>
        <v>0</v>
      </c>
      <c r="AK101" s="77">
        <f t="shared" si="48"/>
        <v>0</v>
      </c>
      <c r="AL101" s="77">
        <f t="shared" si="48"/>
        <v>0</v>
      </c>
      <c r="AM101" s="77">
        <f t="shared" si="48"/>
        <v>0</v>
      </c>
      <c r="AN101" s="77">
        <f t="shared" si="48"/>
        <v>0</v>
      </c>
      <c r="AO101" s="77">
        <f t="shared" si="48"/>
        <v>0</v>
      </c>
      <c r="AP101" s="77">
        <f t="shared" si="48"/>
        <v>0</v>
      </c>
      <c r="AQ101" s="77">
        <f t="shared" si="48"/>
        <v>0</v>
      </c>
      <c r="AR101" s="77">
        <f t="shared" si="48"/>
        <v>0</v>
      </c>
      <c r="AS101" s="77">
        <f t="shared" si="48"/>
        <v>0</v>
      </c>
      <c r="AT101" s="77">
        <f t="shared" si="48"/>
        <v>0</v>
      </c>
      <c r="AU101" s="77">
        <f t="shared" si="48"/>
        <v>0</v>
      </c>
      <c r="AV101" s="77">
        <f t="shared" si="48"/>
        <v>0</v>
      </c>
      <c r="AW101" s="77">
        <f t="shared" si="48"/>
        <v>0</v>
      </c>
      <c r="AX101" s="77">
        <f t="shared" si="48"/>
        <v>0</v>
      </c>
      <c r="AY101" s="77">
        <f t="shared" si="48"/>
        <v>0</v>
      </c>
    </row>
    <row r="102" spans="1:51">
      <c r="A102" s="69" t="s">
        <v>32</v>
      </c>
      <c r="B102" s="107">
        <f t="shared" si="47"/>
        <v>0</v>
      </c>
      <c r="C102" s="107">
        <f t="shared" si="49"/>
        <v>0</v>
      </c>
      <c r="D102" s="107">
        <f t="shared" si="48"/>
        <v>0</v>
      </c>
      <c r="E102" s="107">
        <f t="shared" si="48"/>
        <v>0</v>
      </c>
      <c r="F102" s="107">
        <f t="shared" si="48"/>
        <v>0</v>
      </c>
      <c r="G102" s="107">
        <f t="shared" si="48"/>
        <v>0</v>
      </c>
      <c r="H102" s="107">
        <f t="shared" si="48"/>
        <v>0</v>
      </c>
      <c r="I102" s="107">
        <f t="shared" si="48"/>
        <v>0</v>
      </c>
      <c r="J102" s="107">
        <f t="shared" si="48"/>
        <v>0</v>
      </c>
      <c r="K102" s="107">
        <f t="shared" si="48"/>
        <v>0</v>
      </c>
      <c r="L102" s="107">
        <f t="shared" si="48"/>
        <v>0</v>
      </c>
      <c r="M102" s="107">
        <f t="shared" si="48"/>
        <v>0</v>
      </c>
      <c r="N102" s="107">
        <f t="shared" si="48"/>
        <v>0</v>
      </c>
      <c r="O102" s="107">
        <f t="shared" si="48"/>
        <v>0</v>
      </c>
      <c r="P102" s="107">
        <f t="shared" si="48"/>
        <v>0</v>
      </c>
      <c r="Q102" s="107">
        <f t="shared" si="48"/>
        <v>0</v>
      </c>
      <c r="R102" s="107">
        <f t="shared" si="48"/>
        <v>0</v>
      </c>
      <c r="S102" s="107">
        <f t="shared" si="48"/>
        <v>0</v>
      </c>
      <c r="T102" s="107">
        <f t="shared" si="48"/>
        <v>0</v>
      </c>
      <c r="U102" s="107">
        <f t="shared" si="48"/>
        <v>0</v>
      </c>
      <c r="V102" s="107">
        <f t="shared" si="48"/>
        <v>0</v>
      </c>
      <c r="W102" s="107">
        <f t="shared" si="48"/>
        <v>0</v>
      </c>
      <c r="X102" s="107">
        <f t="shared" si="48"/>
        <v>0</v>
      </c>
      <c r="Y102" s="79">
        <f t="shared" si="48"/>
        <v>0</v>
      </c>
      <c r="Z102" s="217">
        <f t="shared" si="48"/>
        <v>0</v>
      </c>
      <c r="AA102" s="217">
        <f t="shared" si="48"/>
        <v>0</v>
      </c>
      <c r="AB102" s="217">
        <f t="shared" si="48"/>
        <v>0</v>
      </c>
      <c r="AC102" s="217">
        <f t="shared" si="48"/>
        <v>0</v>
      </c>
      <c r="AD102" s="217">
        <f t="shared" si="48"/>
        <v>0</v>
      </c>
      <c r="AE102" s="217">
        <f t="shared" si="48"/>
        <v>0</v>
      </c>
      <c r="AF102" s="217">
        <f t="shared" si="48"/>
        <v>0</v>
      </c>
      <c r="AG102" s="77">
        <f t="shared" si="48"/>
        <v>0</v>
      </c>
      <c r="AH102" s="77">
        <f t="shared" si="48"/>
        <v>0</v>
      </c>
      <c r="AI102" s="77">
        <f t="shared" si="48"/>
        <v>0</v>
      </c>
      <c r="AJ102" s="77">
        <f t="shared" si="48"/>
        <v>0</v>
      </c>
      <c r="AK102" s="77">
        <f t="shared" si="48"/>
        <v>0</v>
      </c>
      <c r="AL102" s="77">
        <f t="shared" si="48"/>
        <v>0</v>
      </c>
      <c r="AM102" s="77">
        <f t="shared" si="48"/>
        <v>0</v>
      </c>
      <c r="AN102" s="77">
        <f t="shared" si="48"/>
        <v>0</v>
      </c>
      <c r="AO102" s="77">
        <f t="shared" si="48"/>
        <v>0</v>
      </c>
      <c r="AP102" s="77">
        <f t="shared" si="48"/>
        <v>0</v>
      </c>
      <c r="AQ102" s="77">
        <f t="shared" si="48"/>
        <v>0</v>
      </c>
      <c r="AR102" s="77">
        <f t="shared" si="48"/>
        <v>0</v>
      </c>
      <c r="AS102" s="77">
        <f t="shared" si="48"/>
        <v>0</v>
      </c>
      <c r="AT102" s="77">
        <f t="shared" si="48"/>
        <v>0</v>
      </c>
      <c r="AU102" s="77">
        <f t="shared" si="48"/>
        <v>0</v>
      </c>
      <c r="AV102" s="77">
        <f t="shared" si="48"/>
        <v>0</v>
      </c>
      <c r="AW102" s="77">
        <f t="shared" si="48"/>
        <v>0</v>
      </c>
      <c r="AX102" s="77">
        <f t="shared" si="48"/>
        <v>0</v>
      </c>
      <c r="AY102" s="77">
        <f t="shared" si="48"/>
        <v>0</v>
      </c>
    </row>
    <row r="103" spans="1:51">
      <c r="A103" s="69" t="s">
        <v>33</v>
      </c>
      <c r="B103" s="107">
        <f t="shared" si="47"/>
        <v>0</v>
      </c>
      <c r="C103" s="107">
        <f t="shared" si="49"/>
        <v>0</v>
      </c>
      <c r="D103" s="107">
        <f t="shared" si="48"/>
        <v>0</v>
      </c>
      <c r="E103" s="107">
        <f t="shared" si="48"/>
        <v>0</v>
      </c>
      <c r="F103" s="107">
        <f t="shared" si="48"/>
        <v>0</v>
      </c>
      <c r="G103" s="107">
        <f t="shared" si="48"/>
        <v>0</v>
      </c>
      <c r="H103" s="107">
        <f t="shared" si="48"/>
        <v>0</v>
      </c>
      <c r="I103" s="107">
        <f t="shared" si="48"/>
        <v>0</v>
      </c>
      <c r="J103" s="107">
        <f t="shared" si="48"/>
        <v>0</v>
      </c>
      <c r="K103" s="107">
        <f t="shared" si="48"/>
        <v>0</v>
      </c>
      <c r="L103" s="107">
        <f t="shared" si="48"/>
        <v>0</v>
      </c>
      <c r="M103" s="107">
        <f t="shared" si="48"/>
        <v>0</v>
      </c>
      <c r="N103" s="107">
        <f t="shared" si="48"/>
        <v>0</v>
      </c>
      <c r="O103" s="107">
        <f t="shared" si="48"/>
        <v>0</v>
      </c>
      <c r="P103" s="107">
        <f t="shared" si="48"/>
        <v>0</v>
      </c>
      <c r="Q103" s="107">
        <f t="shared" si="48"/>
        <v>0</v>
      </c>
      <c r="R103" s="107">
        <f t="shared" si="48"/>
        <v>0</v>
      </c>
      <c r="S103" s="107">
        <f t="shared" ref="D103:AY107" si="50">(S$108-R$108)/13+S102</f>
        <v>0</v>
      </c>
      <c r="T103" s="107">
        <f t="shared" si="50"/>
        <v>0</v>
      </c>
      <c r="U103" s="107">
        <f t="shared" si="50"/>
        <v>0</v>
      </c>
      <c r="V103" s="107">
        <f t="shared" si="50"/>
        <v>0</v>
      </c>
      <c r="W103" s="107">
        <f t="shared" si="50"/>
        <v>0</v>
      </c>
      <c r="X103" s="107">
        <f t="shared" si="50"/>
        <v>0</v>
      </c>
      <c r="Y103" s="79">
        <f>(Y$108-X$108)/13+Y102</f>
        <v>0</v>
      </c>
      <c r="Z103" s="217">
        <f t="shared" si="50"/>
        <v>0</v>
      </c>
      <c r="AA103" s="217">
        <f t="shared" si="50"/>
        <v>0</v>
      </c>
      <c r="AB103" s="217">
        <f t="shared" si="50"/>
        <v>0</v>
      </c>
      <c r="AC103" s="217">
        <f t="shared" si="50"/>
        <v>0</v>
      </c>
      <c r="AD103" s="217">
        <f t="shared" si="50"/>
        <v>0</v>
      </c>
      <c r="AE103" s="217">
        <f t="shared" si="50"/>
        <v>0</v>
      </c>
      <c r="AF103" s="217">
        <f t="shared" si="50"/>
        <v>0</v>
      </c>
      <c r="AG103" s="77">
        <f t="shared" si="50"/>
        <v>0</v>
      </c>
      <c r="AH103" s="77">
        <f t="shared" si="50"/>
        <v>0</v>
      </c>
      <c r="AI103" s="77">
        <f t="shared" si="50"/>
        <v>0</v>
      </c>
      <c r="AJ103" s="77">
        <f t="shared" si="50"/>
        <v>0</v>
      </c>
      <c r="AK103" s="77">
        <f t="shared" si="50"/>
        <v>0</v>
      </c>
      <c r="AL103" s="77">
        <f t="shared" si="50"/>
        <v>0</v>
      </c>
      <c r="AM103" s="77">
        <f t="shared" si="50"/>
        <v>0</v>
      </c>
      <c r="AN103" s="77">
        <f t="shared" si="50"/>
        <v>0</v>
      </c>
      <c r="AO103" s="77">
        <f t="shared" si="50"/>
        <v>0</v>
      </c>
      <c r="AP103" s="77">
        <f t="shared" si="50"/>
        <v>0</v>
      </c>
      <c r="AQ103" s="77">
        <f t="shared" si="50"/>
        <v>0</v>
      </c>
      <c r="AR103" s="77">
        <f t="shared" si="50"/>
        <v>0</v>
      </c>
      <c r="AS103" s="77">
        <f t="shared" si="50"/>
        <v>0</v>
      </c>
      <c r="AT103" s="77">
        <f t="shared" si="50"/>
        <v>0</v>
      </c>
      <c r="AU103" s="77">
        <f t="shared" si="50"/>
        <v>0</v>
      </c>
      <c r="AV103" s="77">
        <f t="shared" si="50"/>
        <v>0</v>
      </c>
      <c r="AW103" s="77">
        <f t="shared" si="50"/>
        <v>0</v>
      </c>
      <c r="AX103" s="77">
        <f t="shared" si="50"/>
        <v>0</v>
      </c>
      <c r="AY103" s="77">
        <f t="shared" si="50"/>
        <v>0</v>
      </c>
    </row>
    <row r="104" spans="1:51">
      <c r="A104" s="69" t="s">
        <v>14</v>
      </c>
      <c r="B104" s="107">
        <f t="shared" si="47"/>
        <v>0</v>
      </c>
      <c r="C104" s="107">
        <f t="shared" si="49"/>
        <v>0</v>
      </c>
      <c r="D104" s="107">
        <f t="shared" si="50"/>
        <v>0</v>
      </c>
      <c r="E104" s="107">
        <f t="shared" si="50"/>
        <v>0</v>
      </c>
      <c r="F104" s="107">
        <f t="shared" si="50"/>
        <v>0</v>
      </c>
      <c r="G104" s="107">
        <f t="shared" si="50"/>
        <v>0</v>
      </c>
      <c r="H104" s="107">
        <f t="shared" si="50"/>
        <v>0</v>
      </c>
      <c r="I104" s="107">
        <f t="shared" si="50"/>
        <v>0</v>
      </c>
      <c r="J104" s="107">
        <f t="shared" si="50"/>
        <v>0</v>
      </c>
      <c r="K104" s="107">
        <f t="shared" si="50"/>
        <v>0</v>
      </c>
      <c r="L104" s="107">
        <f t="shared" si="50"/>
        <v>0</v>
      </c>
      <c r="M104" s="107">
        <f t="shared" si="50"/>
        <v>0</v>
      </c>
      <c r="N104" s="107">
        <f t="shared" si="50"/>
        <v>0</v>
      </c>
      <c r="O104" s="107">
        <f t="shared" si="50"/>
        <v>0</v>
      </c>
      <c r="P104" s="107">
        <f t="shared" si="50"/>
        <v>0</v>
      </c>
      <c r="Q104" s="107">
        <f t="shared" si="50"/>
        <v>0</v>
      </c>
      <c r="R104" s="107">
        <f t="shared" si="50"/>
        <v>0</v>
      </c>
      <c r="S104" s="107">
        <f t="shared" si="50"/>
        <v>0</v>
      </c>
      <c r="T104" s="107">
        <f t="shared" si="50"/>
        <v>0</v>
      </c>
      <c r="U104" s="107">
        <f t="shared" si="50"/>
        <v>0</v>
      </c>
      <c r="V104" s="107">
        <f t="shared" si="50"/>
        <v>0</v>
      </c>
      <c r="W104" s="107">
        <f t="shared" si="50"/>
        <v>0</v>
      </c>
      <c r="X104" s="107">
        <f t="shared" si="50"/>
        <v>0</v>
      </c>
      <c r="Y104" s="79">
        <f t="shared" si="50"/>
        <v>0</v>
      </c>
      <c r="Z104" s="217">
        <f t="shared" si="50"/>
        <v>0</v>
      </c>
      <c r="AA104" s="217">
        <f t="shared" si="50"/>
        <v>0</v>
      </c>
      <c r="AB104" s="217">
        <f t="shared" si="50"/>
        <v>0</v>
      </c>
      <c r="AC104" s="217">
        <f t="shared" si="50"/>
        <v>0</v>
      </c>
      <c r="AD104" s="217">
        <f t="shared" si="50"/>
        <v>0</v>
      </c>
      <c r="AE104" s="217">
        <f t="shared" si="50"/>
        <v>0</v>
      </c>
      <c r="AF104" s="217">
        <f t="shared" si="50"/>
        <v>0</v>
      </c>
      <c r="AG104" s="77">
        <f t="shared" si="50"/>
        <v>0</v>
      </c>
      <c r="AH104" s="77">
        <f t="shared" si="50"/>
        <v>0</v>
      </c>
      <c r="AI104" s="77">
        <f t="shared" si="50"/>
        <v>0</v>
      </c>
      <c r="AJ104" s="77">
        <f t="shared" si="50"/>
        <v>0</v>
      </c>
      <c r="AK104" s="77">
        <f t="shared" si="50"/>
        <v>0</v>
      </c>
      <c r="AL104" s="77">
        <f t="shared" si="50"/>
        <v>0</v>
      </c>
      <c r="AM104" s="77">
        <f t="shared" si="50"/>
        <v>0</v>
      </c>
      <c r="AN104" s="77">
        <f t="shared" si="50"/>
        <v>0</v>
      </c>
      <c r="AO104" s="77">
        <f t="shared" si="50"/>
        <v>0</v>
      </c>
      <c r="AP104" s="77">
        <f t="shared" si="50"/>
        <v>0</v>
      </c>
      <c r="AQ104" s="77">
        <f t="shared" si="50"/>
        <v>0</v>
      </c>
      <c r="AR104" s="77">
        <f t="shared" si="50"/>
        <v>0</v>
      </c>
      <c r="AS104" s="77">
        <f t="shared" si="50"/>
        <v>0</v>
      </c>
      <c r="AT104" s="77">
        <f t="shared" si="50"/>
        <v>0</v>
      </c>
      <c r="AU104" s="77">
        <f t="shared" si="50"/>
        <v>0</v>
      </c>
      <c r="AV104" s="77">
        <f t="shared" si="50"/>
        <v>0</v>
      </c>
      <c r="AW104" s="77">
        <f t="shared" si="50"/>
        <v>0</v>
      </c>
      <c r="AX104" s="77">
        <f t="shared" si="50"/>
        <v>0</v>
      </c>
      <c r="AY104" s="77">
        <f t="shared" si="50"/>
        <v>0</v>
      </c>
    </row>
    <row r="105" spans="1:51">
      <c r="A105" s="69" t="s">
        <v>34</v>
      </c>
      <c r="B105" s="107">
        <f t="shared" si="47"/>
        <v>0</v>
      </c>
      <c r="C105" s="107">
        <f t="shared" si="49"/>
        <v>0</v>
      </c>
      <c r="D105" s="107">
        <f t="shared" si="50"/>
        <v>0</v>
      </c>
      <c r="E105" s="107">
        <f t="shared" si="50"/>
        <v>0</v>
      </c>
      <c r="F105" s="107">
        <f t="shared" si="50"/>
        <v>0</v>
      </c>
      <c r="G105" s="107">
        <f t="shared" si="50"/>
        <v>0</v>
      </c>
      <c r="H105" s="107">
        <f t="shared" si="50"/>
        <v>0</v>
      </c>
      <c r="I105" s="107">
        <f t="shared" si="50"/>
        <v>0</v>
      </c>
      <c r="J105" s="107">
        <f t="shared" si="50"/>
        <v>0</v>
      </c>
      <c r="K105" s="107">
        <f t="shared" si="50"/>
        <v>0</v>
      </c>
      <c r="L105" s="107">
        <f t="shared" si="50"/>
        <v>0</v>
      </c>
      <c r="M105" s="107">
        <f t="shared" si="50"/>
        <v>0</v>
      </c>
      <c r="N105" s="107">
        <f t="shared" si="50"/>
        <v>0</v>
      </c>
      <c r="O105" s="107">
        <f t="shared" si="50"/>
        <v>0</v>
      </c>
      <c r="P105" s="107">
        <f t="shared" si="50"/>
        <v>0</v>
      </c>
      <c r="Q105" s="107">
        <f t="shared" si="50"/>
        <v>0</v>
      </c>
      <c r="R105" s="107">
        <f t="shared" si="50"/>
        <v>0</v>
      </c>
      <c r="S105" s="107">
        <f t="shared" si="50"/>
        <v>0</v>
      </c>
      <c r="T105" s="107">
        <f t="shared" si="50"/>
        <v>0</v>
      </c>
      <c r="U105" s="107">
        <f t="shared" si="50"/>
        <v>0</v>
      </c>
      <c r="V105" s="107">
        <f t="shared" si="50"/>
        <v>0</v>
      </c>
      <c r="W105" s="107">
        <f t="shared" si="50"/>
        <v>0</v>
      </c>
      <c r="X105" s="107">
        <f t="shared" si="50"/>
        <v>0</v>
      </c>
      <c r="Y105" s="79">
        <f t="shared" si="50"/>
        <v>0</v>
      </c>
      <c r="Z105" s="217">
        <f t="shared" si="50"/>
        <v>0</v>
      </c>
      <c r="AA105" s="217">
        <f t="shared" si="50"/>
        <v>0</v>
      </c>
      <c r="AB105" s="217">
        <f t="shared" si="50"/>
        <v>0</v>
      </c>
      <c r="AC105" s="217">
        <f t="shared" si="50"/>
        <v>0</v>
      </c>
      <c r="AD105" s="217">
        <f t="shared" si="50"/>
        <v>0</v>
      </c>
      <c r="AE105" s="217">
        <f t="shared" si="50"/>
        <v>0</v>
      </c>
      <c r="AF105" s="217">
        <f t="shared" si="50"/>
        <v>0</v>
      </c>
      <c r="AG105" s="77">
        <f t="shared" si="50"/>
        <v>0</v>
      </c>
      <c r="AH105" s="77">
        <f t="shared" si="50"/>
        <v>0</v>
      </c>
      <c r="AI105" s="77">
        <f t="shared" si="50"/>
        <v>0</v>
      </c>
      <c r="AJ105" s="77">
        <f t="shared" si="50"/>
        <v>0</v>
      </c>
      <c r="AK105" s="77">
        <f t="shared" si="50"/>
        <v>0</v>
      </c>
      <c r="AL105" s="77">
        <f t="shared" si="50"/>
        <v>0</v>
      </c>
      <c r="AM105" s="77">
        <f t="shared" si="50"/>
        <v>0</v>
      </c>
      <c r="AN105" s="77">
        <f t="shared" si="50"/>
        <v>0</v>
      </c>
      <c r="AO105" s="77">
        <f t="shared" si="50"/>
        <v>0</v>
      </c>
      <c r="AP105" s="77">
        <f t="shared" si="50"/>
        <v>0</v>
      </c>
      <c r="AQ105" s="77">
        <f t="shared" si="50"/>
        <v>0</v>
      </c>
      <c r="AR105" s="77">
        <f t="shared" si="50"/>
        <v>0</v>
      </c>
      <c r="AS105" s="77">
        <f t="shared" si="50"/>
        <v>0</v>
      </c>
      <c r="AT105" s="77">
        <f t="shared" si="50"/>
        <v>0</v>
      </c>
      <c r="AU105" s="77">
        <f t="shared" si="50"/>
        <v>0</v>
      </c>
      <c r="AV105" s="77">
        <f t="shared" si="50"/>
        <v>0</v>
      </c>
      <c r="AW105" s="77">
        <f t="shared" si="50"/>
        <v>0</v>
      </c>
      <c r="AX105" s="77">
        <f t="shared" si="50"/>
        <v>0</v>
      </c>
      <c r="AY105" s="77">
        <f t="shared" si="50"/>
        <v>0</v>
      </c>
    </row>
    <row r="106" spans="1:51">
      <c r="A106" s="69" t="s">
        <v>35</v>
      </c>
      <c r="B106" s="107">
        <f t="shared" si="47"/>
        <v>0</v>
      </c>
      <c r="C106" s="107">
        <f t="shared" si="49"/>
        <v>0</v>
      </c>
      <c r="D106" s="107">
        <f t="shared" si="50"/>
        <v>0</v>
      </c>
      <c r="E106" s="107">
        <f t="shared" si="50"/>
        <v>0</v>
      </c>
      <c r="F106" s="107">
        <f t="shared" si="50"/>
        <v>0</v>
      </c>
      <c r="G106" s="107">
        <f t="shared" si="50"/>
        <v>0</v>
      </c>
      <c r="H106" s="107">
        <f t="shared" si="50"/>
        <v>0</v>
      </c>
      <c r="I106" s="107">
        <f t="shared" si="50"/>
        <v>0</v>
      </c>
      <c r="J106" s="107">
        <f t="shared" si="50"/>
        <v>0</v>
      </c>
      <c r="K106" s="107">
        <f t="shared" si="50"/>
        <v>0</v>
      </c>
      <c r="L106" s="107">
        <f t="shared" si="50"/>
        <v>0</v>
      </c>
      <c r="M106" s="107">
        <f t="shared" si="50"/>
        <v>0</v>
      </c>
      <c r="N106" s="107">
        <f t="shared" si="50"/>
        <v>0</v>
      </c>
      <c r="O106" s="107">
        <f t="shared" si="50"/>
        <v>0</v>
      </c>
      <c r="P106" s="107">
        <f t="shared" si="50"/>
        <v>0</v>
      </c>
      <c r="Q106" s="107">
        <f t="shared" si="50"/>
        <v>0</v>
      </c>
      <c r="R106" s="107">
        <f t="shared" si="50"/>
        <v>0</v>
      </c>
      <c r="S106" s="107">
        <f t="shared" si="50"/>
        <v>0</v>
      </c>
      <c r="T106" s="107">
        <f t="shared" si="50"/>
        <v>0</v>
      </c>
      <c r="U106" s="107">
        <f t="shared" si="50"/>
        <v>0</v>
      </c>
      <c r="V106" s="107">
        <f t="shared" si="50"/>
        <v>0</v>
      </c>
      <c r="W106" s="107">
        <f t="shared" si="50"/>
        <v>0</v>
      </c>
      <c r="X106" s="107">
        <f t="shared" si="50"/>
        <v>0</v>
      </c>
      <c r="Y106" s="79">
        <f t="shared" si="50"/>
        <v>0</v>
      </c>
      <c r="Z106" s="217">
        <f t="shared" si="50"/>
        <v>0</v>
      </c>
      <c r="AA106" s="217">
        <f t="shared" si="50"/>
        <v>0</v>
      </c>
      <c r="AB106" s="217">
        <f t="shared" si="50"/>
        <v>0</v>
      </c>
      <c r="AC106" s="217">
        <f t="shared" si="50"/>
        <v>0</v>
      </c>
      <c r="AD106" s="217">
        <f t="shared" si="50"/>
        <v>0</v>
      </c>
      <c r="AE106" s="217">
        <f t="shared" si="50"/>
        <v>0</v>
      </c>
      <c r="AF106" s="217">
        <f t="shared" si="50"/>
        <v>0</v>
      </c>
      <c r="AG106" s="77">
        <f t="shared" si="50"/>
        <v>0</v>
      </c>
      <c r="AH106" s="77">
        <f t="shared" si="50"/>
        <v>0</v>
      </c>
      <c r="AI106" s="77">
        <f t="shared" si="50"/>
        <v>0</v>
      </c>
      <c r="AJ106" s="77">
        <f t="shared" si="50"/>
        <v>0</v>
      </c>
      <c r="AK106" s="77">
        <f t="shared" si="50"/>
        <v>0</v>
      </c>
      <c r="AL106" s="77">
        <f t="shared" si="50"/>
        <v>0</v>
      </c>
      <c r="AM106" s="77">
        <f t="shared" si="50"/>
        <v>0</v>
      </c>
      <c r="AN106" s="77">
        <f t="shared" si="50"/>
        <v>0</v>
      </c>
      <c r="AO106" s="77">
        <f t="shared" si="50"/>
        <v>0</v>
      </c>
      <c r="AP106" s="77">
        <f t="shared" si="50"/>
        <v>0</v>
      </c>
      <c r="AQ106" s="77">
        <f t="shared" si="50"/>
        <v>0</v>
      </c>
      <c r="AR106" s="77">
        <f t="shared" si="50"/>
        <v>0</v>
      </c>
      <c r="AS106" s="77">
        <f t="shared" si="50"/>
        <v>0</v>
      </c>
      <c r="AT106" s="77">
        <f t="shared" si="50"/>
        <v>0</v>
      </c>
      <c r="AU106" s="77">
        <f t="shared" si="50"/>
        <v>0</v>
      </c>
      <c r="AV106" s="77">
        <f t="shared" si="50"/>
        <v>0</v>
      </c>
      <c r="AW106" s="77">
        <f t="shared" si="50"/>
        <v>0</v>
      </c>
      <c r="AX106" s="77">
        <f t="shared" si="50"/>
        <v>0</v>
      </c>
      <c r="AY106" s="77">
        <f t="shared" si="50"/>
        <v>0</v>
      </c>
    </row>
    <row r="107" spans="1:51">
      <c r="A107" s="69" t="s">
        <v>36</v>
      </c>
      <c r="B107" s="107">
        <f t="shared" si="47"/>
        <v>0</v>
      </c>
      <c r="C107" s="107">
        <f t="shared" si="49"/>
        <v>0</v>
      </c>
      <c r="D107" s="107">
        <f t="shared" si="50"/>
        <v>0</v>
      </c>
      <c r="E107" s="107">
        <f t="shared" si="50"/>
        <v>0</v>
      </c>
      <c r="F107" s="107">
        <f t="shared" si="50"/>
        <v>0</v>
      </c>
      <c r="G107" s="107">
        <f t="shared" si="50"/>
        <v>0</v>
      </c>
      <c r="H107" s="107">
        <f t="shared" si="50"/>
        <v>0</v>
      </c>
      <c r="I107" s="107">
        <f t="shared" si="50"/>
        <v>0</v>
      </c>
      <c r="J107" s="107">
        <f t="shared" si="50"/>
        <v>0</v>
      </c>
      <c r="K107" s="107">
        <f t="shared" si="50"/>
        <v>0</v>
      </c>
      <c r="L107" s="107">
        <f t="shared" si="50"/>
        <v>0</v>
      </c>
      <c r="M107" s="107">
        <f t="shared" si="50"/>
        <v>0</v>
      </c>
      <c r="N107" s="107">
        <f t="shared" si="50"/>
        <v>0</v>
      </c>
      <c r="O107" s="107">
        <f t="shared" si="50"/>
        <v>0</v>
      </c>
      <c r="P107" s="107">
        <f t="shared" si="50"/>
        <v>0</v>
      </c>
      <c r="Q107" s="107">
        <f t="shared" si="50"/>
        <v>0</v>
      </c>
      <c r="R107" s="107">
        <f t="shared" si="50"/>
        <v>0</v>
      </c>
      <c r="S107" s="107">
        <f t="shared" si="50"/>
        <v>0</v>
      </c>
      <c r="T107" s="107">
        <f t="shared" si="50"/>
        <v>0</v>
      </c>
      <c r="U107" s="107">
        <f t="shared" si="50"/>
        <v>0</v>
      </c>
      <c r="V107" s="107">
        <f t="shared" si="50"/>
        <v>0</v>
      </c>
      <c r="W107" s="107">
        <f t="shared" si="50"/>
        <v>0</v>
      </c>
      <c r="X107" s="107">
        <f t="shared" si="50"/>
        <v>0</v>
      </c>
      <c r="Y107" s="79">
        <f>(Y$108-X$108)/13+Y106</f>
        <v>0</v>
      </c>
      <c r="Z107" s="217">
        <f>(Z$108-Y$108)/13+Z106</f>
        <v>0</v>
      </c>
      <c r="AA107" s="217">
        <f>(AA$108-Z$108)/13+AA106</f>
        <v>0</v>
      </c>
      <c r="AB107" s="217">
        <f>(AB$108-AA$108)/13+AB106</f>
        <v>0</v>
      </c>
      <c r="AC107" s="217">
        <f>(AC$108-AB$108)/13+AC106</f>
        <v>0</v>
      </c>
      <c r="AD107" s="217">
        <f t="shared" si="50"/>
        <v>0</v>
      </c>
      <c r="AE107" s="217">
        <f t="shared" si="50"/>
        <v>0</v>
      </c>
      <c r="AF107" s="217">
        <f t="shared" si="50"/>
        <v>0</v>
      </c>
      <c r="AG107" s="77">
        <f t="shared" si="50"/>
        <v>0</v>
      </c>
      <c r="AH107" s="77">
        <f t="shared" si="50"/>
        <v>0</v>
      </c>
      <c r="AI107" s="77">
        <f t="shared" si="50"/>
        <v>0</v>
      </c>
      <c r="AJ107" s="77">
        <f t="shared" si="50"/>
        <v>0</v>
      </c>
      <c r="AK107" s="77">
        <f t="shared" si="50"/>
        <v>0</v>
      </c>
      <c r="AL107" s="77">
        <f t="shared" si="50"/>
        <v>0</v>
      </c>
      <c r="AM107" s="77">
        <f t="shared" si="50"/>
        <v>0</v>
      </c>
      <c r="AN107" s="77">
        <f t="shared" si="50"/>
        <v>0</v>
      </c>
      <c r="AO107" s="77">
        <f t="shared" si="50"/>
        <v>0</v>
      </c>
      <c r="AP107" s="77">
        <f t="shared" si="50"/>
        <v>0</v>
      </c>
      <c r="AQ107" s="77">
        <f t="shared" si="50"/>
        <v>0</v>
      </c>
      <c r="AR107" s="77">
        <f t="shared" si="50"/>
        <v>0</v>
      </c>
      <c r="AS107" s="77">
        <f t="shared" si="50"/>
        <v>0</v>
      </c>
      <c r="AT107" s="77">
        <f t="shared" si="50"/>
        <v>0</v>
      </c>
      <c r="AU107" s="77">
        <f t="shared" si="50"/>
        <v>0</v>
      </c>
      <c r="AV107" s="77">
        <f t="shared" si="50"/>
        <v>0</v>
      </c>
      <c r="AW107" s="77">
        <f t="shared" si="50"/>
        <v>0</v>
      </c>
      <c r="AX107" s="77">
        <f t="shared" si="50"/>
        <v>0</v>
      </c>
      <c r="AY107" s="77">
        <f t="shared" si="50"/>
        <v>0</v>
      </c>
    </row>
    <row r="108" spans="1:51" ht="12" thickBot="1">
      <c r="A108" s="69" t="s">
        <v>37</v>
      </c>
      <c r="B108" s="218">
        <f t="shared" ref="B108:AY108" si="51">B11</f>
        <v>0</v>
      </c>
      <c r="C108" s="218">
        <f t="shared" si="51"/>
        <v>0</v>
      </c>
      <c r="D108" s="218">
        <f t="shared" si="51"/>
        <v>0</v>
      </c>
      <c r="E108" s="218">
        <f t="shared" si="51"/>
        <v>0</v>
      </c>
      <c r="F108" s="218">
        <f t="shared" si="51"/>
        <v>0</v>
      </c>
      <c r="G108" s="218">
        <f t="shared" si="51"/>
        <v>0</v>
      </c>
      <c r="H108" s="218">
        <f t="shared" si="51"/>
        <v>0</v>
      </c>
      <c r="I108" s="218">
        <f t="shared" si="51"/>
        <v>0</v>
      </c>
      <c r="J108" s="218">
        <f t="shared" si="51"/>
        <v>0</v>
      </c>
      <c r="K108" s="218">
        <f t="shared" si="51"/>
        <v>0</v>
      </c>
      <c r="L108" s="218">
        <f t="shared" si="51"/>
        <v>0</v>
      </c>
      <c r="M108" s="218">
        <f t="shared" si="51"/>
        <v>0</v>
      </c>
      <c r="N108" s="218">
        <f t="shared" si="51"/>
        <v>0</v>
      </c>
      <c r="O108" s="218">
        <f t="shared" si="51"/>
        <v>0</v>
      </c>
      <c r="P108" s="218">
        <f t="shared" si="51"/>
        <v>0</v>
      </c>
      <c r="Q108" s="218">
        <f t="shared" si="51"/>
        <v>0</v>
      </c>
      <c r="R108" s="218">
        <f t="shared" si="51"/>
        <v>0</v>
      </c>
      <c r="S108" s="218">
        <f t="shared" si="51"/>
        <v>0</v>
      </c>
      <c r="T108" s="218">
        <f t="shared" si="51"/>
        <v>0</v>
      </c>
      <c r="U108" s="218">
        <f t="shared" si="51"/>
        <v>0</v>
      </c>
      <c r="V108" s="218">
        <f t="shared" si="51"/>
        <v>0</v>
      </c>
      <c r="W108" s="218">
        <f t="shared" si="51"/>
        <v>0</v>
      </c>
      <c r="X108" s="218">
        <f t="shared" si="51"/>
        <v>0</v>
      </c>
      <c r="Y108" s="219">
        <f t="shared" si="51"/>
        <v>0</v>
      </c>
      <c r="Z108" s="220">
        <f t="shared" si="51"/>
        <v>0</v>
      </c>
      <c r="AA108" s="220">
        <f t="shared" si="51"/>
        <v>0</v>
      </c>
      <c r="AB108" s="220">
        <f t="shared" si="51"/>
        <v>0</v>
      </c>
      <c r="AC108" s="220">
        <f t="shared" si="51"/>
        <v>0</v>
      </c>
      <c r="AD108" s="220">
        <f t="shared" si="51"/>
        <v>0</v>
      </c>
      <c r="AE108" s="220">
        <f t="shared" si="51"/>
        <v>0</v>
      </c>
      <c r="AF108" s="220">
        <f t="shared" si="51"/>
        <v>0</v>
      </c>
      <c r="AG108" s="221">
        <f t="shared" si="51"/>
        <v>0</v>
      </c>
      <c r="AH108" s="221">
        <f t="shared" si="51"/>
        <v>0</v>
      </c>
      <c r="AI108" s="221">
        <f t="shared" si="51"/>
        <v>0</v>
      </c>
      <c r="AJ108" s="221">
        <f t="shared" si="51"/>
        <v>0</v>
      </c>
      <c r="AK108" s="221">
        <f t="shared" si="51"/>
        <v>0</v>
      </c>
      <c r="AL108" s="221">
        <f t="shared" si="51"/>
        <v>0</v>
      </c>
      <c r="AM108" s="221">
        <f t="shared" si="51"/>
        <v>0</v>
      </c>
      <c r="AN108" s="221">
        <f t="shared" si="51"/>
        <v>0</v>
      </c>
      <c r="AO108" s="221">
        <f t="shared" si="51"/>
        <v>0</v>
      </c>
      <c r="AP108" s="221">
        <f t="shared" si="51"/>
        <v>0</v>
      </c>
      <c r="AQ108" s="221">
        <f t="shared" si="51"/>
        <v>0</v>
      </c>
      <c r="AR108" s="221">
        <f t="shared" si="51"/>
        <v>0</v>
      </c>
      <c r="AS108" s="221">
        <f t="shared" si="51"/>
        <v>0</v>
      </c>
      <c r="AT108" s="221">
        <f t="shared" si="51"/>
        <v>0</v>
      </c>
      <c r="AU108" s="221">
        <f t="shared" si="51"/>
        <v>0</v>
      </c>
      <c r="AV108" s="221">
        <f t="shared" si="51"/>
        <v>0</v>
      </c>
      <c r="AW108" s="221">
        <f t="shared" si="51"/>
        <v>0</v>
      </c>
      <c r="AX108" s="221">
        <f t="shared" si="51"/>
        <v>0</v>
      </c>
      <c r="AY108" s="221">
        <f t="shared" si="51"/>
        <v>0</v>
      </c>
    </row>
    <row r="109" spans="1:5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  <c r="AD109" s="199"/>
      <c r="AE109" s="199"/>
      <c r="AF109" s="199"/>
      <c r="AG109" s="199"/>
      <c r="AH109" s="199"/>
      <c r="AI109" s="199"/>
      <c r="AJ109" s="199"/>
      <c r="AK109" s="199"/>
      <c r="AL109" s="199"/>
      <c r="AM109" s="199"/>
      <c r="AN109" s="199"/>
      <c r="AO109" s="199"/>
      <c r="AP109" s="199"/>
      <c r="AQ109" s="199"/>
      <c r="AR109" s="199"/>
      <c r="AS109" s="199"/>
      <c r="AT109" s="199"/>
      <c r="AU109" s="199"/>
      <c r="AV109" s="199"/>
      <c r="AW109" s="199"/>
      <c r="AX109" s="199"/>
      <c r="AY109" s="199"/>
    </row>
    <row r="110" spans="1:51" ht="12" thickBot="1">
      <c r="A110" s="69" t="s">
        <v>364</v>
      </c>
    </row>
    <row r="111" spans="1:51" ht="12" thickBot="1">
      <c r="A111" s="202"/>
      <c r="B111" s="203" t="str">
        <f>B$2</f>
        <v xml:space="preserve">93/94 </v>
      </c>
      <c r="C111" s="203" t="str">
        <f t="shared" ref="C111:AY111" si="52">C$2</f>
        <v xml:space="preserve">94/95 </v>
      </c>
      <c r="D111" s="203" t="str">
        <f t="shared" si="52"/>
        <v xml:space="preserve">95/96 </v>
      </c>
      <c r="E111" s="203" t="str">
        <f t="shared" si="52"/>
        <v xml:space="preserve">96/97 </v>
      </c>
      <c r="F111" s="203" t="str">
        <f t="shared" si="52"/>
        <v xml:space="preserve">97/98 </v>
      </c>
      <c r="G111" s="203" t="str">
        <f t="shared" si="52"/>
        <v xml:space="preserve">98/99 </v>
      </c>
      <c r="H111" s="203" t="str">
        <f t="shared" si="52"/>
        <v xml:space="preserve">99/00 </v>
      </c>
      <c r="I111" s="203" t="str">
        <f t="shared" si="52"/>
        <v xml:space="preserve">00/01 </v>
      </c>
      <c r="J111" s="203" t="str">
        <f t="shared" si="52"/>
        <v xml:space="preserve">01/02 </v>
      </c>
      <c r="K111" s="203" t="str">
        <f t="shared" si="52"/>
        <v xml:space="preserve">02/03 </v>
      </c>
      <c r="L111" s="203" t="str">
        <f t="shared" si="52"/>
        <v xml:space="preserve">03/04 </v>
      </c>
      <c r="M111" s="203" t="str">
        <f t="shared" si="52"/>
        <v xml:space="preserve">04/05 </v>
      </c>
      <c r="N111" s="203" t="str">
        <f t="shared" si="52"/>
        <v xml:space="preserve">05/06 </v>
      </c>
      <c r="O111" s="203" t="str">
        <f t="shared" si="52"/>
        <v xml:space="preserve">06/07 </v>
      </c>
      <c r="P111" s="203" t="str">
        <f t="shared" si="52"/>
        <v xml:space="preserve">07/08 </v>
      </c>
      <c r="Q111" s="203" t="str">
        <f t="shared" si="52"/>
        <v xml:space="preserve">08/09 </v>
      </c>
      <c r="R111" s="203" t="str">
        <f t="shared" si="52"/>
        <v xml:space="preserve">09/10 </v>
      </c>
      <c r="S111" s="203" t="str">
        <f t="shared" si="52"/>
        <v xml:space="preserve">10/11 </v>
      </c>
      <c r="T111" s="203" t="str">
        <f t="shared" si="52"/>
        <v xml:space="preserve">11/12 </v>
      </c>
      <c r="U111" s="203" t="str">
        <f t="shared" si="52"/>
        <v xml:space="preserve">12/13 </v>
      </c>
      <c r="V111" s="203" t="str">
        <f t="shared" si="52"/>
        <v xml:space="preserve">13/14 </v>
      </c>
      <c r="W111" s="203" t="str">
        <f t="shared" si="52"/>
        <v xml:space="preserve">14/15 </v>
      </c>
      <c r="X111" s="203" t="str">
        <f t="shared" si="52"/>
        <v xml:space="preserve">15/16 </v>
      </c>
      <c r="Y111" s="203" t="str">
        <f t="shared" si="52"/>
        <v xml:space="preserve">16/17 </v>
      </c>
      <c r="Z111" s="203" t="str">
        <f t="shared" si="52"/>
        <v xml:space="preserve">17/18 </v>
      </c>
      <c r="AA111" s="203" t="str">
        <f t="shared" si="52"/>
        <v xml:space="preserve">18/19 </v>
      </c>
      <c r="AB111" s="203" t="str">
        <f t="shared" si="52"/>
        <v xml:space="preserve">19/20 </v>
      </c>
      <c r="AC111" s="203" t="str">
        <f t="shared" si="52"/>
        <v xml:space="preserve">20/21 </v>
      </c>
      <c r="AD111" s="203" t="str">
        <f t="shared" si="52"/>
        <v>21/22</v>
      </c>
      <c r="AE111" s="203" t="str">
        <f t="shared" si="52"/>
        <v>22/23</v>
      </c>
      <c r="AF111" s="203" t="str">
        <f t="shared" si="52"/>
        <v>23/24</v>
      </c>
      <c r="AG111" s="203" t="str">
        <f t="shared" si="52"/>
        <v>24/25</v>
      </c>
      <c r="AH111" s="203" t="str">
        <f t="shared" si="52"/>
        <v>25/26</v>
      </c>
      <c r="AI111" s="203" t="str">
        <f t="shared" si="52"/>
        <v>26/27</v>
      </c>
      <c r="AJ111" s="203" t="str">
        <f t="shared" si="52"/>
        <v>27/28</v>
      </c>
      <c r="AK111" s="203" t="str">
        <f t="shared" si="52"/>
        <v>28/29</v>
      </c>
      <c r="AL111" s="203" t="str">
        <f t="shared" si="52"/>
        <v>29/30</v>
      </c>
      <c r="AM111" s="203" t="str">
        <f t="shared" si="52"/>
        <v>30/31</v>
      </c>
      <c r="AN111" s="203" t="str">
        <f t="shared" si="52"/>
        <v>31/32</v>
      </c>
      <c r="AO111" s="203" t="str">
        <f t="shared" si="52"/>
        <v>32/33</v>
      </c>
      <c r="AP111" s="203" t="str">
        <f t="shared" si="52"/>
        <v>33/34</v>
      </c>
      <c r="AQ111" s="203" t="str">
        <f t="shared" si="52"/>
        <v>34/35</v>
      </c>
      <c r="AR111" s="203" t="str">
        <f t="shared" si="52"/>
        <v>35/36</v>
      </c>
      <c r="AS111" s="203" t="str">
        <f t="shared" si="52"/>
        <v>36/37</v>
      </c>
      <c r="AT111" s="203" t="str">
        <f t="shared" si="52"/>
        <v>37/38</v>
      </c>
      <c r="AU111" s="203" t="str">
        <f t="shared" si="52"/>
        <v>38/39</v>
      </c>
      <c r="AV111" s="203" t="str">
        <f t="shared" si="52"/>
        <v>39/40</v>
      </c>
      <c r="AW111" s="203" t="str">
        <f t="shared" si="52"/>
        <v>40/41</v>
      </c>
      <c r="AX111" s="203" t="str">
        <f t="shared" si="52"/>
        <v>41/42</v>
      </c>
      <c r="AY111" s="203" t="str">
        <f t="shared" si="52"/>
        <v>42/43</v>
      </c>
    </row>
    <row r="112" spans="1:51">
      <c r="A112" s="69" t="s">
        <v>38</v>
      </c>
    </row>
    <row r="113" spans="1:51">
      <c r="A113" s="69" t="s">
        <v>39</v>
      </c>
    </row>
    <row r="114" spans="1:51">
      <c r="A114" s="69" t="s">
        <v>40</v>
      </c>
    </row>
    <row r="115" spans="1:51">
      <c r="A115" s="69" t="s">
        <v>30</v>
      </c>
    </row>
    <row r="116" spans="1:51">
      <c r="A116" s="69" t="s">
        <v>31</v>
      </c>
    </row>
    <row r="117" spans="1:51">
      <c r="A117" s="69" t="s">
        <v>32</v>
      </c>
    </row>
    <row r="118" spans="1:51">
      <c r="A118" s="69" t="s">
        <v>33</v>
      </c>
    </row>
    <row r="119" spans="1:51">
      <c r="A119" s="69" t="s">
        <v>14</v>
      </c>
    </row>
    <row r="120" spans="1:51">
      <c r="A120" s="69" t="s">
        <v>34</v>
      </c>
    </row>
    <row r="121" spans="1:51">
      <c r="A121" s="69" t="s">
        <v>35</v>
      </c>
    </row>
    <row r="122" spans="1:51">
      <c r="A122" s="69" t="s">
        <v>36</v>
      </c>
    </row>
    <row r="123" spans="1:51">
      <c r="A123" s="69" t="s">
        <v>37</v>
      </c>
    </row>
    <row r="124" spans="1:51" ht="12" thickBot="1">
      <c r="A124" s="69" t="s">
        <v>338</v>
      </c>
    </row>
    <row r="125" spans="1:5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99"/>
      <c r="AE125" s="199"/>
      <c r="AF125" s="199"/>
      <c r="AG125" s="199"/>
      <c r="AH125" s="199"/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  <c r="AS125" s="199"/>
      <c r="AT125" s="199"/>
      <c r="AU125" s="199"/>
      <c r="AV125" s="199"/>
      <c r="AW125" s="199"/>
      <c r="AX125" s="199"/>
      <c r="AY125" s="19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3115-7B71-4DDC-8700-2B2B57EA455F}">
  <dimension ref="A1:BL331"/>
  <sheetViews>
    <sheetView zoomScale="85" zoomScaleNormal="85" workbookViewId="0">
      <pane xSplit="1" ySplit="2" topLeftCell="B112" activePane="bottomRight" state="frozen"/>
      <selection activeCell="J39" sqref="J39"/>
      <selection pane="topRight" activeCell="J39" sqref="J39"/>
      <selection pane="bottomLeft" activeCell="J39" sqref="J39"/>
      <selection pane="bottomRight" activeCell="E128" sqref="E128"/>
    </sheetView>
  </sheetViews>
  <sheetFormatPr defaultColWidth="8.85546875" defaultRowHeight="15"/>
  <cols>
    <col min="1" max="1" width="32" customWidth="1"/>
    <col min="32" max="32" width="11" customWidth="1"/>
  </cols>
  <sheetData>
    <row r="1" spans="1:64" ht="15.75" thickBot="1">
      <c r="A1" s="229" t="s">
        <v>365</v>
      </c>
      <c r="AF1" s="230"/>
      <c r="AG1" s="231"/>
      <c r="AH1" s="230"/>
      <c r="AI1" s="230"/>
      <c r="AJ1" s="230"/>
      <c r="AK1" s="232"/>
      <c r="AM1" s="230"/>
      <c r="AN1" s="233"/>
      <c r="AP1" s="233"/>
      <c r="AQ1" s="230"/>
      <c r="AR1" s="230"/>
      <c r="AS1" s="230"/>
    </row>
    <row r="2" spans="1:64" ht="15.75" thickBot="1">
      <c r="A2" s="234"/>
      <c r="B2" s="235" t="s">
        <v>66</v>
      </c>
      <c r="C2" s="236" t="s">
        <v>67</v>
      </c>
      <c r="D2" s="235" t="s">
        <v>68</v>
      </c>
      <c r="E2" s="236" t="s">
        <v>69</v>
      </c>
      <c r="F2" s="235" t="s">
        <v>70</v>
      </c>
      <c r="G2" s="236" t="s">
        <v>71</v>
      </c>
      <c r="H2" s="235" t="s">
        <v>72</v>
      </c>
      <c r="I2" s="236" t="s">
        <v>73</v>
      </c>
      <c r="J2" s="235" t="s">
        <v>74</v>
      </c>
      <c r="K2" s="236" t="s">
        <v>75</v>
      </c>
      <c r="L2" s="235" t="s">
        <v>76</v>
      </c>
      <c r="M2" s="236" t="s">
        <v>77</v>
      </c>
      <c r="N2" s="235" t="s">
        <v>78</v>
      </c>
      <c r="O2" s="236" t="s">
        <v>79</v>
      </c>
      <c r="P2" s="235" t="s">
        <v>80</v>
      </c>
      <c r="Q2" s="236" t="s">
        <v>81</v>
      </c>
      <c r="R2" s="235" t="s">
        <v>82</v>
      </c>
      <c r="S2" s="236" t="s">
        <v>83</v>
      </c>
      <c r="T2" s="235" t="s">
        <v>84</v>
      </c>
      <c r="U2" s="236" t="s">
        <v>85</v>
      </c>
      <c r="V2" s="235" t="s">
        <v>86</v>
      </c>
      <c r="W2" s="236" t="s">
        <v>87</v>
      </c>
      <c r="X2" s="235" t="s">
        <v>88</v>
      </c>
      <c r="Y2" s="236" t="s">
        <v>89</v>
      </c>
      <c r="Z2" s="235" t="s">
        <v>90</v>
      </c>
      <c r="AA2" s="236" t="s">
        <v>91</v>
      </c>
      <c r="AB2" s="236" t="s">
        <v>346</v>
      </c>
      <c r="AC2" s="236" t="s">
        <v>347</v>
      </c>
      <c r="AF2" s="237"/>
      <c r="AG2" s="238"/>
      <c r="AH2" s="232"/>
      <c r="AJ2" s="232"/>
      <c r="AN2" s="232"/>
      <c r="AP2" s="232"/>
      <c r="AQ2" s="232"/>
      <c r="AR2" s="232"/>
      <c r="AS2" s="232"/>
    </row>
    <row r="3" spans="1:64" ht="16.5">
      <c r="A3" s="239" t="s">
        <v>366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F3" s="241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</row>
    <row r="4" spans="1:64" ht="16.5">
      <c r="A4" s="239" t="s">
        <v>367</v>
      </c>
      <c r="B4" s="240">
        <f>AJ4</f>
        <v>0</v>
      </c>
      <c r="C4" s="240">
        <f t="shared" ref="C4:R5" si="0">AK4</f>
        <v>0</v>
      </c>
      <c r="D4" s="240">
        <f t="shared" si="0"/>
        <v>0</v>
      </c>
      <c r="E4" s="240">
        <f t="shared" si="0"/>
        <v>0</v>
      </c>
      <c r="F4" s="240">
        <f t="shared" si="0"/>
        <v>0</v>
      </c>
      <c r="G4" s="240">
        <f t="shared" si="0"/>
        <v>0</v>
      </c>
      <c r="H4" s="240">
        <f t="shared" si="0"/>
        <v>0</v>
      </c>
      <c r="I4" s="240">
        <f t="shared" si="0"/>
        <v>0</v>
      </c>
      <c r="J4" s="240">
        <f t="shared" si="0"/>
        <v>0</v>
      </c>
      <c r="K4" s="240">
        <f t="shared" si="0"/>
        <v>0</v>
      </c>
      <c r="L4" s="240">
        <f t="shared" si="0"/>
        <v>0</v>
      </c>
      <c r="M4" s="240">
        <f t="shared" si="0"/>
        <v>0</v>
      </c>
      <c r="N4" s="240">
        <f t="shared" si="0"/>
        <v>0</v>
      </c>
      <c r="O4" s="240">
        <f t="shared" si="0"/>
        <v>0</v>
      </c>
      <c r="P4" s="240">
        <f t="shared" si="0"/>
        <v>0</v>
      </c>
      <c r="Q4" s="240">
        <f t="shared" si="0"/>
        <v>0</v>
      </c>
      <c r="R4" s="240">
        <f t="shared" si="0"/>
        <v>0</v>
      </c>
      <c r="S4" s="240">
        <f t="shared" ref="S4:Z5" si="1">BA4</f>
        <v>0</v>
      </c>
      <c r="T4" s="240">
        <f t="shared" si="1"/>
        <v>0</v>
      </c>
      <c r="U4" s="240">
        <f t="shared" si="1"/>
        <v>0</v>
      </c>
      <c r="V4" s="240">
        <f t="shared" si="1"/>
        <v>0</v>
      </c>
      <c r="W4" s="240">
        <f t="shared" si="1"/>
        <v>0</v>
      </c>
      <c r="X4" s="240">
        <f t="shared" si="1"/>
        <v>0</v>
      </c>
      <c r="Y4" s="240">
        <f t="shared" si="1"/>
        <v>0</v>
      </c>
      <c r="Z4" s="240">
        <f t="shared" si="1"/>
        <v>0</v>
      </c>
      <c r="AA4" s="243" t="e">
        <f>MROUND(AA5/(SUM(C5:Z5)/SUM(C4:Z4)),25)</f>
        <v>#DIV/0!</v>
      </c>
      <c r="AB4" s="243" t="e">
        <f>MROUND(AB5/(SUM(D5:AA5)/SUM(D4:AA4)),25)</f>
        <v>#DIV/0!</v>
      </c>
      <c r="AC4" s="243" t="e">
        <f>MROUND(AC5/(SUM(E5:AB5)/SUM(E4:AB4)),25)</f>
        <v>#DIV/0!</v>
      </c>
      <c r="AD4" s="243" t="e">
        <f>MROUND(AD5/(SUM(F5:AC5)/SUM(F4:AC4)),25)</f>
        <v>#DIV/0!</v>
      </c>
      <c r="AF4" s="244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</row>
    <row r="5" spans="1:64" ht="16.5">
      <c r="A5" s="239" t="s">
        <v>368</v>
      </c>
      <c r="B5" s="240">
        <f>AJ5</f>
        <v>0</v>
      </c>
      <c r="C5" s="240">
        <f t="shared" si="0"/>
        <v>0</v>
      </c>
      <c r="D5" s="240">
        <f t="shared" si="0"/>
        <v>0</v>
      </c>
      <c r="E5" s="240">
        <f t="shared" si="0"/>
        <v>0</v>
      </c>
      <c r="F5" s="240">
        <f t="shared" si="0"/>
        <v>0</v>
      </c>
      <c r="G5" s="240">
        <f t="shared" si="0"/>
        <v>0</v>
      </c>
      <c r="H5" s="240">
        <f t="shared" si="0"/>
        <v>0</v>
      </c>
      <c r="I5" s="240">
        <f t="shared" si="0"/>
        <v>0</v>
      </c>
      <c r="J5" s="240">
        <f t="shared" si="0"/>
        <v>0</v>
      </c>
      <c r="K5" s="240">
        <f t="shared" si="0"/>
        <v>0</v>
      </c>
      <c r="L5" s="240">
        <f t="shared" si="0"/>
        <v>0</v>
      </c>
      <c r="M5" s="240">
        <f t="shared" si="0"/>
        <v>0</v>
      </c>
      <c r="N5" s="240">
        <f t="shared" si="0"/>
        <v>0</v>
      </c>
      <c r="O5" s="240">
        <f t="shared" si="0"/>
        <v>0</v>
      </c>
      <c r="P5" s="240">
        <f t="shared" si="0"/>
        <v>0</v>
      </c>
      <c r="Q5" s="240">
        <f t="shared" si="0"/>
        <v>0</v>
      </c>
      <c r="R5" s="240">
        <f t="shared" si="0"/>
        <v>0</v>
      </c>
      <c r="S5" s="240">
        <f t="shared" si="1"/>
        <v>0</v>
      </c>
      <c r="T5" s="240">
        <f t="shared" si="1"/>
        <v>0</v>
      </c>
      <c r="U5" s="240">
        <f t="shared" si="1"/>
        <v>0</v>
      </c>
      <c r="V5" s="240">
        <f t="shared" si="1"/>
        <v>0</v>
      </c>
      <c r="W5" s="240">
        <f t="shared" si="1"/>
        <v>0</v>
      </c>
      <c r="X5" s="240">
        <f t="shared" si="1"/>
        <v>0</v>
      </c>
      <c r="Y5" s="240">
        <f t="shared" si="1"/>
        <v>0</v>
      </c>
      <c r="Z5" s="240">
        <f t="shared" si="1"/>
        <v>0</v>
      </c>
      <c r="AA5" s="246">
        <f>MROUND(FORECAST(AA45,B5:Z5,B45:Z45),5)</f>
        <v>0</v>
      </c>
      <c r="AB5" s="246">
        <f>MROUND(FORECAST(AB45,C5:AA5,C45:AA45),5)</f>
        <v>0</v>
      </c>
      <c r="AC5" s="246">
        <f>MROUND(FORECAST(AC45,D5:AB5,D45:AB45),5)</f>
        <v>0</v>
      </c>
      <c r="AD5" s="246">
        <f>MROUND(FORECAST(AD45,E5:AC5,E45:AC45),5)</f>
        <v>0</v>
      </c>
      <c r="AF5" s="244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  <c r="BA5" s="245"/>
      <c r="BB5" s="245"/>
      <c r="BC5" s="245"/>
      <c r="BD5" s="245"/>
      <c r="BE5" s="245"/>
      <c r="BF5" s="245"/>
      <c r="BG5" s="245"/>
      <c r="BH5" s="245"/>
      <c r="BI5" s="245"/>
      <c r="BJ5" s="245"/>
      <c r="BK5" s="245"/>
      <c r="BL5" s="245"/>
    </row>
    <row r="6" spans="1:64" s="251" customFormat="1" ht="13.5">
      <c r="A6" s="247" t="s">
        <v>369</v>
      </c>
      <c r="B6" s="248" t="e">
        <f>B5/B4</f>
        <v>#DIV/0!</v>
      </c>
      <c r="C6" s="248" t="e">
        <f t="shared" ref="C6:AC6" si="2">C5/C4</f>
        <v>#DIV/0!</v>
      </c>
      <c r="D6" s="248" t="e">
        <f t="shared" si="2"/>
        <v>#DIV/0!</v>
      </c>
      <c r="E6" s="248" t="e">
        <f t="shared" si="2"/>
        <v>#DIV/0!</v>
      </c>
      <c r="F6" s="248" t="e">
        <f t="shared" si="2"/>
        <v>#DIV/0!</v>
      </c>
      <c r="G6" s="248" t="e">
        <f t="shared" si="2"/>
        <v>#DIV/0!</v>
      </c>
      <c r="H6" s="248" t="e">
        <f t="shared" si="2"/>
        <v>#DIV/0!</v>
      </c>
      <c r="I6" s="248" t="e">
        <f t="shared" si="2"/>
        <v>#DIV/0!</v>
      </c>
      <c r="J6" s="248" t="e">
        <f t="shared" si="2"/>
        <v>#DIV/0!</v>
      </c>
      <c r="K6" s="248" t="e">
        <f t="shared" si="2"/>
        <v>#DIV/0!</v>
      </c>
      <c r="L6" s="248" t="e">
        <f t="shared" si="2"/>
        <v>#DIV/0!</v>
      </c>
      <c r="M6" s="248" t="e">
        <f t="shared" si="2"/>
        <v>#DIV/0!</v>
      </c>
      <c r="N6" s="248" t="e">
        <f t="shared" si="2"/>
        <v>#DIV/0!</v>
      </c>
      <c r="O6" s="248" t="e">
        <f t="shared" si="2"/>
        <v>#DIV/0!</v>
      </c>
      <c r="P6" s="248" t="e">
        <f t="shared" si="2"/>
        <v>#DIV/0!</v>
      </c>
      <c r="Q6" s="248" t="e">
        <f t="shared" si="2"/>
        <v>#DIV/0!</v>
      </c>
      <c r="R6" s="248" t="e">
        <f t="shared" si="2"/>
        <v>#DIV/0!</v>
      </c>
      <c r="S6" s="248" t="e">
        <f t="shared" si="2"/>
        <v>#DIV/0!</v>
      </c>
      <c r="T6" s="248" t="e">
        <f t="shared" si="2"/>
        <v>#DIV/0!</v>
      </c>
      <c r="U6" s="248" t="e">
        <f t="shared" si="2"/>
        <v>#DIV/0!</v>
      </c>
      <c r="V6" s="248" t="e">
        <f t="shared" si="2"/>
        <v>#DIV/0!</v>
      </c>
      <c r="W6" s="248" t="e">
        <f t="shared" si="2"/>
        <v>#DIV/0!</v>
      </c>
      <c r="X6" s="248" t="e">
        <f t="shared" si="2"/>
        <v>#DIV/0!</v>
      </c>
      <c r="Y6" s="248" t="e">
        <f t="shared" si="2"/>
        <v>#DIV/0!</v>
      </c>
      <c r="Z6" s="248" t="e">
        <f t="shared" si="2"/>
        <v>#DIV/0!</v>
      </c>
      <c r="AA6" s="249" t="e">
        <f t="shared" si="2"/>
        <v>#DIV/0!</v>
      </c>
      <c r="AB6" s="249" t="e">
        <f t="shared" si="2"/>
        <v>#DIV/0!</v>
      </c>
      <c r="AC6" s="249" t="e">
        <f t="shared" si="2"/>
        <v>#DIV/0!</v>
      </c>
      <c r="AD6" s="250"/>
      <c r="AF6" s="252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  <c r="AT6" s="253"/>
      <c r="AU6" s="253"/>
      <c r="AV6" s="253"/>
      <c r="AW6" s="253"/>
      <c r="AX6" s="253"/>
      <c r="AY6" s="253"/>
      <c r="AZ6" s="253"/>
      <c r="BA6" s="253"/>
      <c r="BB6" s="253"/>
      <c r="BC6" s="253"/>
      <c r="BD6" s="253"/>
      <c r="BE6" s="253"/>
      <c r="BF6" s="253"/>
      <c r="BG6" s="253"/>
      <c r="BH6" s="253"/>
      <c r="BI6" s="253"/>
      <c r="BJ6" s="253"/>
      <c r="BK6" s="253"/>
      <c r="BL6" s="253"/>
    </row>
    <row r="7" spans="1:64" ht="16.5">
      <c r="A7" s="239" t="s">
        <v>370</v>
      </c>
      <c r="B7" s="254" t="e">
        <f t="shared" ref="B7:AA7" si="3">B9/B5</f>
        <v>#DIV/0!</v>
      </c>
      <c r="C7" s="254" t="e">
        <f t="shared" si="3"/>
        <v>#DIV/0!</v>
      </c>
      <c r="D7" s="254" t="e">
        <f t="shared" si="3"/>
        <v>#DIV/0!</v>
      </c>
      <c r="E7" s="254" t="e">
        <f t="shared" si="3"/>
        <v>#DIV/0!</v>
      </c>
      <c r="F7" s="254" t="e">
        <f t="shared" si="3"/>
        <v>#DIV/0!</v>
      </c>
      <c r="G7" s="254" t="e">
        <f t="shared" si="3"/>
        <v>#DIV/0!</v>
      </c>
      <c r="H7" s="254" t="e">
        <f t="shared" si="3"/>
        <v>#DIV/0!</v>
      </c>
      <c r="I7" s="254" t="e">
        <f t="shared" si="3"/>
        <v>#DIV/0!</v>
      </c>
      <c r="J7" s="254" t="e">
        <f t="shared" si="3"/>
        <v>#DIV/0!</v>
      </c>
      <c r="K7" s="254" t="e">
        <f t="shared" si="3"/>
        <v>#DIV/0!</v>
      </c>
      <c r="L7" s="254" t="e">
        <f t="shared" si="3"/>
        <v>#DIV/0!</v>
      </c>
      <c r="M7" s="254" t="e">
        <f t="shared" si="3"/>
        <v>#DIV/0!</v>
      </c>
      <c r="N7" s="254" t="e">
        <f t="shared" si="3"/>
        <v>#DIV/0!</v>
      </c>
      <c r="O7" s="254" t="e">
        <f t="shared" si="3"/>
        <v>#DIV/0!</v>
      </c>
      <c r="P7" s="254" t="e">
        <f t="shared" si="3"/>
        <v>#DIV/0!</v>
      </c>
      <c r="Q7" s="254" t="e">
        <f t="shared" si="3"/>
        <v>#DIV/0!</v>
      </c>
      <c r="R7" s="254" t="e">
        <f t="shared" si="3"/>
        <v>#DIV/0!</v>
      </c>
      <c r="S7" s="254" t="e">
        <f t="shared" si="3"/>
        <v>#DIV/0!</v>
      </c>
      <c r="T7" s="254" t="e">
        <f t="shared" si="3"/>
        <v>#DIV/0!</v>
      </c>
      <c r="U7" s="254" t="e">
        <f t="shared" si="3"/>
        <v>#DIV/0!</v>
      </c>
      <c r="V7" s="254" t="e">
        <f t="shared" si="3"/>
        <v>#DIV/0!</v>
      </c>
      <c r="W7" s="254" t="e">
        <f t="shared" si="3"/>
        <v>#DIV/0!</v>
      </c>
      <c r="X7" s="254" t="e">
        <f t="shared" si="3"/>
        <v>#DIV/0!</v>
      </c>
      <c r="Y7" s="254" t="e">
        <f t="shared" si="3"/>
        <v>#DIV/0!</v>
      </c>
      <c r="Z7" s="254" t="e">
        <f t="shared" si="3"/>
        <v>#DIV/0!</v>
      </c>
      <c r="AA7" s="255" t="e">
        <f t="shared" si="3"/>
        <v>#DIV/0!</v>
      </c>
      <c r="AB7" s="255" t="e">
        <f>FORECAST(AB45,C7:AA7,C45:AA45)</f>
        <v>#DIV/0!</v>
      </c>
      <c r="AC7" s="255" t="e">
        <f>FORECAST(AC45,D7:AB7,D45:AB45)</f>
        <v>#DIV/0!</v>
      </c>
      <c r="AF7" s="244"/>
    </row>
    <row r="8" spans="1:64" ht="16.5">
      <c r="A8" s="256" t="s">
        <v>371</v>
      </c>
      <c r="B8" s="257">
        <v>0</v>
      </c>
      <c r="C8" s="257">
        <f>B17</f>
        <v>0</v>
      </c>
      <c r="D8" s="257">
        <f t="shared" ref="D8:AC8" si="4">C17</f>
        <v>0</v>
      </c>
      <c r="E8" s="257">
        <f t="shared" si="4"/>
        <v>50</v>
      </c>
      <c r="F8" s="257">
        <f t="shared" si="4"/>
        <v>0</v>
      </c>
      <c r="G8" s="257">
        <f t="shared" si="4"/>
        <v>8</v>
      </c>
      <c r="H8" s="257">
        <f t="shared" si="4"/>
        <v>10</v>
      </c>
      <c r="I8" s="257">
        <f t="shared" si="4"/>
        <v>87</v>
      </c>
      <c r="J8" s="257">
        <f t="shared" si="4"/>
        <v>15</v>
      </c>
      <c r="K8" s="257">
        <f t="shared" si="4"/>
        <v>5</v>
      </c>
      <c r="L8" s="257">
        <f t="shared" si="4"/>
        <v>25</v>
      </c>
      <c r="M8" s="257">
        <f t="shared" si="4"/>
        <v>129</v>
      </c>
      <c r="N8" s="257">
        <f t="shared" si="4"/>
        <v>113</v>
      </c>
      <c r="O8" s="257">
        <f t="shared" si="4"/>
        <v>185</v>
      </c>
      <c r="P8" s="257">
        <f t="shared" si="4"/>
        <v>622</v>
      </c>
      <c r="Q8" s="257">
        <f t="shared" si="4"/>
        <v>445</v>
      </c>
      <c r="R8" s="257">
        <f t="shared" si="4"/>
        <v>384</v>
      </c>
      <c r="S8" s="257">
        <f t="shared" si="4"/>
        <v>483</v>
      </c>
      <c r="T8" s="257">
        <f t="shared" si="4"/>
        <v>146</v>
      </c>
      <c r="U8" s="257">
        <f t="shared" si="4"/>
        <v>151</v>
      </c>
      <c r="V8" s="257">
        <f t="shared" si="4"/>
        <v>314</v>
      </c>
      <c r="W8" s="257">
        <f t="shared" si="4"/>
        <v>449</v>
      </c>
      <c r="X8" s="257">
        <f t="shared" si="4"/>
        <v>149</v>
      </c>
      <c r="Y8" s="257">
        <f t="shared" si="4"/>
        <v>168</v>
      </c>
      <c r="Z8" s="257">
        <f t="shared" si="4"/>
        <v>421</v>
      </c>
      <c r="AA8" s="258">
        <f t="shared" si="4"/>
        <v>211</v>
      </c>
      <c r="AB8" s="258">
        <f t="shared" si="4"/>
        <v>150</v>
      </c>
      <c r="AC8" s="258">
        <f t="shared" si="4"/>
        <v>150</v>
      </c>
      <c r="AF8" s="244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  <c r="BA8" s="245"/>
      <c r="BB8" s="245"/>
      <c r="BC8" s="245"/>
      <c r="BD8" s="245"/>
      <c r="BE8" s="245"/>
      <c r="BF8" s="245"/>
      <c r="BG8" s="245"/>
      <c r="BH8" s="245"/>
      <c r="BI8" s="245"/>
      <c r="BJ8" s="245"/>
      <c r="BK8" s="245"/>
      <c r="BL8" s="245"/>
    </row>
    <row r="9" spans="1:64" ht="16.5">
      <c r="A9" s="239" t="s">
        <v>124</v>
      </c>
      <c r="B9" s="240">
        <f>AJ8</f>
        <v>0</v>
      </c>
      <c r="C9" s="240">
        <f t="shared" ref="C9:AC9" si="5">AK8</f>
        <v>0</v>
      </c>
      <c r="D9" s="240">
        <f t="shared" si="5"/>
        <v>0</v>
      </c>
      <c r="E9" s="240">
        <f t="shared" si="5"/>
        <v>0</v>
      </c>
      <c r="F9" s="240">
        <f t="shared" si="5"/>
        <v>0</v>
      </c>
      <c r="G9" s="240">
        <f t="shared" si="5"/>
        <v>0</v>
      </c>
      <c r="H9" s="240">
        <f t="shared" si="5"/>
        <v>0</v>
      </c>
      <c r="I9" s="240">
        <f t="shared" si="5"/>
        <v>0</v>
      </c>
      <c r="J9" s="240">
        <f t="shared" si="5"/>
        <v>0</v>
      </c>
      <c r="K9" s="240">
        <f t="shared" si="5"/>
        <v>0</v>
      </c>
      <c r="L9" s="240">
        <f t="shared" si="5"/>
        <v>0</v>
      </c>
      <c r="M9" s="240">
        <f t="shared" si="5"/>
        <v>0</v>
      </c>
      <c r="N9" s="240">
        <f t="shared" si="5"/>
        <v>0</v>
      </c>
      <c r="O9" s="240">
        <f t="shared" si="5"/>
        <v>0</v>
      </c>
      <c r="P9" s="240">
        <f t="shared" si="5"/>
        <v>0</v>
      </c>
      <c r="Q9" s="240">
        <f t="shared" si="5"/>
        <v>0</v>
      </c>
      <c r="R9" s="240">
        <f t="shared" si="5"/>
        <v>0</v>
      </c>
      <c r="S9" s="240">
        <f t="shared" si="5"/>
        <v>0</v>
      </c>
      <c r="T9" s="240">
        <f t="shared" si="5"/>
        <v>0</v>
      </c>
      <c r="U9" s="240">
        <f t="shared" si="5"/>
        <v>0</v>
      </c>
      <c r="V9" s="240">
        <f t="shared" si="5"/>
        <v>0</v>
      </c>
      <c r="W9" s="240">
        <f t="shared" si="5"/>
        <v>0</v>
      </c>
      <c r="X9" s="240">
        <f t="shared" si="5"/>
        <v>0</v>
      </c>
      <c r="Y9" s="240">
        <f t="shared" si="5"/>
        <v>0</v>
      </c>
      <c r="Z9" s="240">
        <f t="shared" si="5"/>
        <v>0</v>
      </c>
      <c r="AA9" s="243">
        <f t="shared" si="5"/>
        <v>0</v>
      </c>
      <c r="AB9" s="243">
        <f t="shared" si="5"/>
        <v>0</v>
      </c>
      <c r="AC9" s="243">
        <f t="shared" si="5"/>
        <v>0</v>
      </c>
    </row>
    <row r="10" spans="1:64" ht="16.5">
      <c r="A10" s="239" t="s">
        <v>125</v>
      </c>
      <c r="B10" s="240">
        <v>0</v>
      </c>
      <c r="C10" s="240">
        <v>0</v>
      </c>
      <c r="D10" s="240">
        <v>20</v>
      </c>
      <c r="E10" s="240">
        <v>15</v>
      </c>
      <c r="F10" s="240">
        <v>15</v>
      </c>
      <c r="G10" s="240">
        <v>2</v>
      </c>
      <c r="H10" s="240">
        <v>2</v>
      </c>
      <c r="I10" s="240">
        <v>1</v>
      </c>
      <c r="J10" s="240">
        <v>1</v>
      </c>
      <c r="K10" s="240">
        <f t="shared" ref="K10:Y10" si="6">K60</f>
        <v>1.3039999999999998</v>
      </c>
      <c r="L10" s="240">
        <f t="shared" si="6"/>
        <v>0.13100000000000001</v>
      </c>
      <c r="M10" s="240">
        <f t="shared" si="6"/>
        <v>2.3129999999999993</v>
      </c>
      <c r="N10" s="240">
        <f t="shared" si="6"/>
        <v>0.11700000000000001</v>
      </c>
      <c r="O10" s="240">
        <f t="shared" si="6"/>
        <v>0.26600000000000001</v>
      </c>
      <c r="P10" s="240">
        <f t="shared" si="6"/>
        <v>0.873</v>
      </c>
      <c r="Q10" s="240">
        <f t="shared" si="6"/>
        <v>0.495</v>
      </c>
      <c r="R10" s="240">
        <f t="shared" si="6"/>
        <v>1.0760000000000001</v>
      </c>
      <c r="S10" s="240">
        <f t="shared" si="6"/>
        <v>1.147</v>
      </c>
      <c r="T10" s="240">
        <f t="shared" si="6"/>
        <v>1.4180000000000001</v>
      </c>
      <c r="U10" s="240">
        <f t="shared" si="6"/>
        <v>1.5099999999999998</v>
      </c>
      <c r="V10" s="240">
        <f t="shared" si="6"/>
        <v>1.4660000000000002</v>
      </c>
      <c r="W10" s="240">
        <f t="shared" si="6"/>
        <v>1.611</v>
      </c>
      <c r="X10" s="240">
        <f t="shared" si="6"/>
        <v>0.97199999999999998</v>
      </c>
      <c r="Y10" s="240">
        <f t="shared" si="6"/>
        <v>19.948999999999998</v>
      </c>
      <c r="Z10" s="243">
        <v>27.5</v>
      </c>
      <c r="AA10" s="243">
        <v>25</v>
      </c>
      <c r="AB10" s="243">
        <v>25</v>
      </c>
      <c r="AC10" s="243">
        <v>25</v>
      </c>
    </row>
    <row r="11" spans="1:64" ht="16.5">
      <c r="A11" s="256" t="s">
        <v>126</v>
      </c>
      <c r="B11" s="257">
        <f>SUM(B8:B10)</f>
        <v>0</v>
      </c>
      <c r="C11" s="257">
        <f t="shared" ref="C11:Z11" si="7">SUM(C8:C10)</f>
        <v>0</v>
      </c>
      <c r="D11" s="257">
        <f t="shared" si="7"/>
        <v>20</v>
      </c>
      <c r="E11" s="257">
        <f t="shared" si="7"/>
        <v>65</v>
      </c>
      <c r="F11" s="257">
        <f t="shared" si="7"/>
        <v>15</v>
      </c>
      <c r="G11" s="257">
        <f t="shared" si="7"/>
        <v>10</v>
      </c>
      <c r="H11" s="257">
        <f t="shared" si="7"/>
        <v>12</v>
      </c>
      <c r="I11" s="257">
        <f t="shared" si="7"/>
        <v>88</v>
      </c>
      <c r="J11" s="257">
        <f t="shared" si="7"/>
        <v>16</v>
      </c>
      <c r="K11" s="257">
        <f t="shared" si="7"/>
        <v>6.3040000000000003</v>
      </c>
      <c r="L11" s="257">
        <f t="shared" si="7"/>
        <v>25.131</v>
      </c>
      <c r="M11" s="257">
        <f t="shared" si="7"/>
        <v>131.31299999999999</v>
      </c>
      <c r="N11" s="257">
        <f t="shared" si="7"/>
        <v>113.117</v>
      </c>
      <c r="O11" s="257">
        <f t="shared" si="7"/>
        <v>185.26599999999999</v>
      </c>
      <c r="P11" s="257">
        <f t="shared" si="7"/>
        <v>622.87300000000005</v>
      </c>
      <c r="Q11" s="257">
        <f t="shared" si="7"/>
        <v>445.495</v>
      </c>
      <c r="R11" s="257">
        <f t="shared" si="7"/>
        <v>385.07600000000002</v>
      </c>
      <c r="S11" s="257">
        <f t="shared" si="7"/>
        <v>484.14699999999999</v>
      </c>
      <c r="T11" s="257">
        <f t="shared" si="7"/>
        <v>147.41800000000001</v>
      </c>
      <c r="U11" s="257">
        <f t="shared" si="7"/>
        <v>152.51</v>
      </c>
      <c r="V11" s="257">
        <f t="shared" si="7"/>
        <v>315.46600000000001</v>
      </c>
      <c r="W11" s="257">
        <f t="shared" si="7"/>
        <v>450.61099999999999</v>
      </c>
      <c r="X11" s="257">
        <f t="shared" si="7"/>
        <v>149.97200000000001</v>
      </c>
      <c r="Y11" s="257">
        <f t="shared" si="7"/>
        <v>187.94900000000001</v>
      </c>
      <c r="Z11" s="258">
        <f t="shared" si="7"/>
        <v>448.5</v>
      </c>
      <c r="AA11" s="258">
        <f>SUM(AA8:AA10)</f>
        <v>236</v>
      </c>
      <c r="AB11" s="258">
        <f>SUM(AB8:AB10)</f>
        <v>175</v>
      </c>
      <c r="AC11" s="258">
        <f>SUM(AC8:AC10)</f>
        <v>175</v>
      </c>
    </row>
    <row r="12" spans="1:64" ht="16.5">
      <c r="A12" s="239" t="s">
        <v>372</v>
      </c>
      <c r="B12" s="240">
        <f>B92</f>
        <v>1936.4137399724195</v>
      </c>
      <c r="C12" s="240">
        <f t="shared" ref="C12:Y12" si="8">C92</f>
        <v>1426.450289311568</v>
      </c>
      <c r="D12" s="240">
        <f t="shared" si="8"/>
        <v>2302.1387070359733</v>
      </c>
      <c r="E12" s="240">
        <f t="shared" si="8"/>
        <v>1071.9005257072108</v>
      </c>
      <c r="F12" s="240">
        <f t="shared" si="8"/>
        <v>1160.6520777731814</v>
      </c>
      <c r="G12" s="240">
        <f t="shared" si="8"/>
        <v>1374.6965410987168</v>
      </c>
      <c r="H12" s="240">
        <f t="shared" si="8"/>
        <v>2141.9268837690702</v>
      </c>
      <c r="I12" s="240">
        <f t="shared" si="8"/>
        <v>2358.6914261003722</v>
      </c>
      <c r="J12" s="240">
        <f t="shared" si="8"/>
        <v>2127.1943360664236</v>
      </c>
      <c r="K12" s="240">
        <f t="shared" si="8"/>
        <v>3123.6766859341028</v>
      </c>
      <c r="L12" s="240">
        <f t="shared" si="8"/>
        <v>3267.4464426877466</v>
      </c>
      <c r="M12" s="240">
        <f t="shared" si="8"/>
        <v>2665.569664031621</v>
      </c>
      <c r="N12" s="240">
        <f t="shared" si="8"/>
        <v>4452.7201581027675</v>
      </c>
      <c r="O12" s="240">
        <f t="shared" si="8"/>
        <v>4835.1347006651886</v>
      </c>
      <c r="P12" s="240">
        <f t="shared" si="8"/>
        <v>4163.0074681703927</v>
      </c>
      <c r="Q12" s="240">
        <f t="shared" si="8"/>
        <v>5905.1300942586195</v>
      </c>
      <c r="R12" s="240">
        <f t="shared" si="8"/>
        <v>6741.7011349740396</v>
      </c>
      <c r="S12" s="240">
        <f t="shared" si="8"/>
        <v>6980.6262332616398</v>
      </c>
      <c r="T12" s="240">
        <f t="shared" si="8"/>
        <v>8476.3437503582227</v>
      </c>
      <c r="U12" s="240">
        <f t="shared" si="8"/>
        <v>7356.4007464246733</v>
      </c>
      <c r="V12" s="240">
        <f t="shared" si="8"/>
        <v>10010.819899011403</v>
      </c>
      <c r="W12" s="240">
        <f t="shared" si="8"/>
        <v>8281.8989723266077</v>
      </c>
      <c r="X12" s="240">
        <f t="shared" si="8"/>
        <v>8869.6497005988003</v>
      </c>
      <c r="Y12" s="240">
        <f t="shared" si="8"/>
        <v>11746.23167458187</v>
      </c>
      <c r="Z12" s="243">
        <v>12000</v>
      </c>
      <c r="AA12" s="243">
        <v>12000</v>
      </c>
      <c r="AB12" s="243">
        <v>12000</v>
      </c>
      <c r="AC12" s="243">
        <v>12000</v>
      </c>
      <c r="AF12" s="241"/>
    </row>
    <row r="13" spans="1:64" ht="16.5">
      <c r="A13" s="239" t="s">
        <v>128</v>
      </c>
      <c r="B13" s="240">
        <v>200</v>
      </c>
      <c r="C13" s="240">
        <f t="shared" ref="C13:Y13" si="9">C76</f>
        <v>123.00000000000001</v>
      </c>
      <c r="D13" s="240">
        <f t="shared" si="9"/>
        <v>239</v>
      </c>
      <c r="E13" s="240">
        <f t="shared" si="9"/>
        <v>258.964</v>
      </c>
      <c r="F13" s="240">
        <f t="shared" si="9"/>
        <v>190.92000000000002</v>
      </c>
      <c r="G13" s="240">
        <f t="shared" si="9"/>
        <v>56.612000000000002</v>
      </c>
      <c r="H13" s="240">
        <f t="shared" si="9"/>
        <v>195.78399999999996</v>
      </c>
      <c r="I13" s="240">
        <f t="shared" si="9"/>
        <v>238.18723100000003</v>
      </c>
      <c r="J13" s="240">
        <f t="shared" si="9"/>
        <v>262.21799999999996</v>
      </c>
      <c r="K13" s="240">
        <f t="shared" si="9"/>
        <v>62.738802000000007</v>
      </c>
      <c r="L13" s="240">
        <f t="shared" si="9"/>
        <v>883.54899999999986</v>
      </c>
      <c r="M13" s="240">
        <f t="shared" si="9"/>
        <v>124.30199999999999</v>
      </c>
      <c r="N13" s="240">
        <f t="shared" si="9"/>
        <v>55.305999999999997</v>
      </c>
      <c r="O13" s="240">
        <f t="shared" si="9"/>
        <v>208.39999999999998</v>
      </c>
      <c r="P13" s="240">
        <f t="shared" si="9"/>
        <v>188.53399999999999</v>
      </c>
      <c r="Q13" s="240">
        <f t="shared" si="9"/>
        <v>318.41800000000001</v>
      </c>
      <c r="R13" s="240">
        <f t="shared" si="9"/>
        <v>381.05300000000005</v>
      </c>
      <c r="S13" s="240">
        <f t="shared" si="9"/>
        <v>487.70699999999999</v>
      </c>
      <c r="T13" s="240">
        <f t="shared" si="9"/>
        <v>214.09700000000001</v>
      </c>
      <c r="U13" s="240">
        <f t="shared" si="9"/>
        <v>255.13299999999998</v>
      </c>
      <c r="V13" s="240">
        <f t="shared" si="9"/>
        <v>31.952999999999996</v>
      </c>
      <c r="W13" s="240">
        <f t="shared" si="9"/>
        <v>65.382000000000005</v>
      </c>
      <c r="X13" s="240">
        <f t="shared" si="9"/>
        <v>55.524000000000001</v>
      </c>
      <c r="Y13" s="240">
        <f t="shared" si="9"/>
        <v>196.86199999999999</v>
      </c>
      <c r="Z13" s="243">
        <v>75</v>
      </c>
      <c r="AA13" s="243">
        <v>75</v>
      </c>
      <c r="AB13" s="243">
        <v>75</v>
      </c>
      <c r="AC13" s="243">
        <v>75</v>
      </c>
    </row>
    <row r="14" spans="1:64" ht="16.5">
      <c r="A14" s="239" t="s">
        <v>373</v>
      </c>
      <c r="B14" s="240">
        <f>ROUND(C4*0.007,0)</f>
        <v>0</v>
      </c>
      <c r="C14" s="240">
        <f t="shared" ref="C14:AC14" si="10">ROUND(D4*0.007,0)</f>
        <v>0</v>
      </c>
      <c r="D14" s="240">
        <f t="shared" si="10"/>
        <v>0</v>
      </c>
      <c r="E14" s="240">
        <f t="shared" si="10"/>
        <v>0</v>
      </c>
      <c r="F14" s="240">
        <f t="shared" si="10"/>
        <v>0</v>
      </c>
      <c r="G14" s="240">
        <f t="shared" si="10"/>
        <v>0</v>
      </c>
      <c r="H14" s="240">
        <f t="shared" si="10"/>
        <v>0</v>
      </c>
      <c r="I14" s="240">
        <f t="shared" si="10"/>
        <v>0</v>
      </c>
      <c r="J14" s="240">
        <f t="shared" si="10"/>
        <v>0</v>
      </c>
      <c r="K14" s="240">
        <f t="shared" si="10"/>
        <v>0</v>
      </c>
      <c r="L14" s="240">
        <f t="shared" si="10"/>
        <v>0</v>
      </c>
      <c r="M14" s="240">
        <f t="shared" si="10"/>
        <v>0</v>
      </c>
      <c r="N14" s="240">
        <f t="shared" si="10"/>
        <v>0</v>
      </c>
      <c r="O14" s="240">
        <f t="shared" si="10"/>
        <v>0</v>
      </c>
      <c r="P14" s="240">
        <f t="shared" si="10"/>
        <v>0</v>
      </c>
      <c r="Q14" s="240">
        <f t="shared" si="10"/>
        <v>0</v>
      </c>
      <c r="R14" s="240">
        <f t="shared" si="10"/>
        <v>0</v>
      </c>
      <c r="S14" s="240">
        <f t="shared" si="10"/>
        <v>0</v>
      </c>
      <c r="T14" s="240">
        <f t="shared" si="10"/>
        <v>0</v>
      </c>
      <c r="U14" s="240">
        <f t="shared" si="10"/>
        <v>0</v>
      </c>
      <c r="V14" s="240">
        <f t="shared" si="10"/>
        <v>0</v>
      </c>
      <c r="W14" s="240">
        <f t="shared" si="10"/>
        <v>0</v>
      </c>
      <c r="X14" s="240">
        <f t="shared" si="10"/>
        <v>0</v>
      </c>
      <c r="Y14" s="240">
        <f t="shared" si="10"/>
        <v>0</v>
      </c>
      <c r="Z14" s="240" t="e">
        <f t="shared" si="10"/>
        <v>#DIV/0!</v>
      </c>
      <c r="AA14" s="240" t="e">
        <f t="shared" si="10"/>
        <v>#DIV/0!</v>
      </c>
      <c r="AB14" s="240" t="e">
        <f t="shared" si="10"/>
        <v>#DIV/0!</v>
      </c>
      <c r="AC14" s="240" t="e">
        <f t="shared" si="10"/>
        <v>#DIV/0!</v>
      </c>
    </row>
    <row r="15" spans="1:64" ht="16.5">
      <c r="A15" s="239" t="s">
        <v>374</v>
      </c>
      <c r="B15" s="240">
        <f t="shared" ref="B15:AC15" si="11">B16-SUM(B12:B13)</f>
        <v>-2136.4137399724195</v>
      </c>
      <c r="C15" s="240">
        <f t="shared" si="11"/>
        <v>-1549.450289311568</v>
      </c>
      <c r="D15" s="240">
        <f t="shared" si="11"/>
        <v>-2571.1387070359733</v>
      </c>
      <c r="E15" s="240">
        <f t="shared" si="11"/>
        <v>-1265.8645257072108</v>
      </c>
      <c r="F15" s="240">
        <f t="shared" si="11"/>
        <v>-1344.5720777731815</v>
      </c>
      <c r="G15" s="240">
        <f t="shared" si="11"/>
        <v>-1431.3085410987169</v>
      </c>
      <c r="H15" s="240">
        <f t="shared" si="11"/>
        <v>-2412.7108837690703</v>
      </c>
      <c r="I15" s="240">
        <f t="shared" si="11"/>
        <v>-2523.878657100372</v>
      </c>
      <c r="J15" s="240">
        <f t="shared" si="11"/>
        <v>-2378.4123360664234</v>
      </c>
      <c r="K15" s="240">
        <f t="shared" si="11"/>
        <v>-3205.1114879341026</v>
      </c>
      <c r="L15" s="240">
        <f t="shared" si="11"/>
        <v>-4254.8644426877463</v>
      </c>
      <c r="M15" s="240">
        <f t="shared" si="11"/>
        <v>-2771.558664031621</v>
      </c>
      <c r="N15" s="240">
        <f t="shared" si="11"/>
        <v>-4579.9091581027669</v>
      </c>
      <c r="O15" s="240">
        <f t="shared" si="11"/>
        <v>-5480.2687006651886</v>
      </c>
      <c r="P15" s="240">
        <f t="shared" si="11"/>
        <v>-4173.6684681703919</v>
      </c>
      <c r="Q15" s="240">
        <f t="shared" si="11"/>
        <v>-6162.0530942586192</v>
      </c>
      <c r="R15" s="240">
        <f t="shared" si="11"/>
        <v>-7220.6781349740395</v>
      </c>
      <c r="S15" s="240">
        <f t="shared" si="11"/>
        <v>-7130.1862332616402</v>
      </c>
      <c r="T15" s="240">
        <f t="shared" si="11"/>
        <v>-8694.0227503582228</v>
      </c>
      <c r="U15" s="240">
        <f t="shared" si="11"/>
        <v>-7773.0237464246729</v>
      </c>
      <c r="V15" s="240">
        <f t="shared" si="11"/>
        <v>-10176.306899011402</v>
      </c>
      <c r="W15" s="240">
        <f t="shared" si="11"/>
        <v>-8045.6699723266074</v>
      </c>
      <c r="X15" s="240">
        <f t="shared" si="11"/>
        <v>-8943.2017005988</v>
      </c>
      <c r="Y15" s="240">
        <f t="shared" si="11"/>
        <v>-12176.144674581868</v>
      </c>
      <c r="Z15" s="243">
        <f t="shared" si="11"/>
        <v>-11837.5</v>
      </c>
      <c r="AA15" s="243">
        <f t="shared" si="11"/>
        <v>-11989</v>
      </c>
      <c r="AB15" s="243">
        <f t="shared" si="11"/>
        <v>-12050</v>
      </c>
      <c r="AC15" s="243">
        <f t="shared" si="11"/>
        <v>-12050</v>
      </c>
    </row>
    <row r="16" spans="1:64" ht="16.5">
      <c r="A16" s="256" t="s">
        <v>129</v>
      </c>
      <c r="B16" s="257">
        <f t="shared" ref="B16:AC16" si="12">B11-B17</f>
        <v>0</v>
      </c>
      <c r="C16" s="257">
        <f t="shared" si="12"/>
        <v>0</v>
      </c>
      <c r="D16" s="257">
        <f t="shared" si="12"/>
        <v>-30</v>
      </c>
      <c r="E16" s="257">
        <f t="shared" si="12"/>
        <v>65</v>
      </c>
      <c r="F16" s="257">
        <f t="shared" si="12"/>
        <v>7</v>
      </c>
      <c r="G16" s="257">
        <f t="shared" si="12"/>
        <v>0</v>
      </c>
      <c r="H16" s="257">
        <f t="shared" si="12"/>
        <v>-75</v>
      </c>
      <c r="I16" s="257">
        <f t="shared" si="12"/>
        <v>73</v>
      </c>
      <c r="J16" s="257">
        <f t="shared" si="12"/>
        <v>11</v>
      </c>
      <c r="K16" s="257">
        <f t="shared" si="12"/>
        <v>-18.695999999999998</v>
      </c>
      <c r="L16" s="257">
        <f t="shared" si="12"/>
        <v>-103.869</v>
      </c>
      <c r="M16" s="257">
        <f t="shared" si="12"/>
        <v>18.312999999999988</v>
      </c>
      <c r="N16" s="257">
        <f t="shared" si="12"/>
        <v>-71.882999999999996</v>
      </c>
      <c r="O16" s="257">
        <f t="shared" si="12"/>
        <v>-436.73400000000004</v>
      </c>
      <c r="P16" s="257">
        <f t="shared" si="12"/>
        <v>177.87300000000005</v>
      </c>
      <c r="Q16" s="257">
        <f t="shared" si="12"/>
        <v>61.495000000000005</v>
      </c>
      <c r="R16" s="257">
        <f t="shared" si="12"/>
        <v>-97.923999999999978</v>
      </c>
      <c r="S16" s="257">
        <f t="shared" si="12"/>
        <v>338.14699999999999</v>
      </c>
      <c r="T16" s="257">
        <f t="shared" si="12"/>
        <v>-3.5819999999999936</v>
      </c>
      <c r="U16" s="257">
        <f t="shared" si="12"/>
        <v>-161.49</v>
      </c>
      <c r="V16" s="257">
        <f t="shared" si="12"/>
        <v>-133.53399999999999</v>
      </c>
      <c r="W16" s="257">
        <f t="shared" si="12"/>
        <v>301.61099999999999</v>
      </c>
      <c r="X16" s="257">
        <f t="shared" si="12"/>
        <v>-18.027999999999992</v>
      </c>
      <c r="Y16" s="257">
        <f t="shared" si="12"/>
        <v>-233.05099999999999</v>
      </c>
      <c r="Z16" s="258">
        <f t="shared" si="12"/>
        <v>237.5</v>
      </c>
      <c r="AA16" s="258">
        <f t="shared" si="12"/>
        <v>86</v>
      </c>
      <c r="AB16" s="258">
        <f t="shared" si="12"/>
        <v>25</v>
      </c>
      <c r="AC16" s="258">
        <f t="shared" si="12"/>
        <v>25</v>
      </c>
    </row>
    <row r="17" spans="1:30" ht="16.5">
      <c r="A17" s="239" t="s">
        <v>375</v>
      </c>
      <c r="B17" s="240">
        <v>0</v>
      </c>
      <c r="C17" s="240">
        <v>0</v>
      </c>
      <c r="D17" s="240">
        <v>50</v>
      </c>
      <c r="E17" s="240">
        <v>0</v>
      </c>
      <c r="F17" s="240">
        <v>8</v>
      </c>
      <c r="G17" s="240">
        <v>10</v>
      </c>
      <c r="H17" s="240">
        <v>87</v>
      </c>
      <c r="I17" s="240">
        <v>15</v>
      </c>
      <c r="J17" s="240">
        <v>5</v>
      </c>
      <c r="K17" s="240">
        <v>25</v>
      </c>
      <c r="L17" s="240">
        <v>129</v>
      </c>
      <c r="M17" s="240">
        <v>113</v>
      </c>
      <c r="N17" s="240">
        <v>185</v>
      </c>
      <c r="O17" s="240">
        <v>622</v>
      </c>
      <c r="P17" s="240">
        <v>445</v>
      </c>
      <c r="Q17" s="240">
        <v>384</v>
      </c>
      <c r="R17" s="240">
        <v>483</v>
      </c>
      <c r="S17" s="240">
        <v>146</v>
      </c>
      <c r="T17" s="240">
        <v>151</v>
      </c>
      <c r="U17" s="240">
        <v>314</v>
      </c>
      <c r="V17" s="240">
        <v>449</v>
      </c>
      <c r="W17" s="240">
        <v>149</v>
      </c>
      <c r="X17" s="240">
        <v>168</v>
      </c>
      <c r="Y17" s="240">
        <v>421</v>
      </c>
      <c r="Z17" s="243">
        <v>211</v>
      </c>
      <c r="AA17" s="243">
        <v>150</v>
      </c>
      <c r="AB17" s="243">
        <v>150</v>
      </c>
      <c r="AC17" s="243">
        <v>150</v>
      </c>
    </row>
    <row r="18" spans="1:30">
      <c r="A18" s="256" t="s">
        <v>376</v>
      </c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</row>
    <row r="19" spans="1:30" ht="15.75" thickBot="1">
      <c r="A19" s="239" t="s">
        <v>377</v>
      </c>
    </row>
    <row r="20" spans="1:30" ht="16.5">
      <c r="A20" s="260" t="s">
        <v>378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</row>
    <row r="21" spans="1:30" ht="16.5">
      <c r="A21" s="239" t="s">
        <v>379</v>
      </c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</row>
    <row r="22" spans="1:30" ht="16.5">
      <c r="A22" s="256" t="s">
        <v>371</v>
      </c>
      <c r="B22" s="257">
        <v>0</v>
      </c>
      <c r="C22" s="257">
        <f>B29</f>
        <v>0</v>
      </c>
      <c r="D22" s="257">
        <f t="shared" ref="D22:AC22" si="13">C29</f>
        <v>0</v>
      </c>
      <c r="E22" s="257">
        <f t="shared" si="13"/>
        <v>0</v>
      </c>
      <c r="F22" s="257">
        <f t="shared" si="13"/>
        <v>0</v>
      </c>
      <c r="G22" s="257">
        <f t="shared" si="13"/>
        <v>0</v>
      </c>
      <c r="H22" s="257">
        <f t="shared" si="13"/>
        <v>0</v>
      </c>
      <c r="I22" s="257">
        <f t="shared" si="13"/>
        <v>2</v>
      </c>
      <c r="J22" s="257">
        <f t="shared" si="13"/>
        <v>2</v>
      </c>
      <c r="K22" s="257">
        <f t="shared" si="13"/>
        <v>2</v>
      </c>
      <c r="L22" s="257">
        <f t="shared" si="13"/>
        <v>4</v>
      </c>
      <c r="M22" s="257">
        <f t="shared" si="13"/>
        <v>5</v>
      </c>
      <c r="N22" s="257">
        <f t="shared" si="13"/>
        <v>5</v>
      </c>
      <c r="O22" s="257">
        <f t="shared" si="13"/>
        <v>5</v>
      </c>
      <c r="P22" s="257">
        <f t="shared" si="13"/>
        <v>5</v>
      </c>
      <c r="Q22" s="257">
        <f t="shared" si="13"/>
        <v>15</v>
      </c>
      <c r="R22" s="257">
        <f t="shared" si="13"/>
        <v>56</v>
      </c>
      <c r="S22" s="257">
        <f t="shared" si="13"/>
        <v>127</v>
      </c>
      <c r="T22" s="257">
        <f t="shared" si="13"/>
        <v>127</v>
      </c>
      <c r="U22" s="257">
        <f t="shared" si="13"/>
        <v>1</v>
      </c>
      <c r="V22" s="257">
        <f t="shared" si="13"/>
        <v>6</v>
      </c>
      <c r="W22" s="257">
        <f t="shared" si="13"/>
        <v>304</v>
      </c>
      <c r="X22" s="257">
        <f t="shared" si="13"/>
        <v>370</v>
      </c>
      <c r="Y22" s="257">
        <f t="shared" si="13"/>
        <v>465</v>
      </c>
      <c r="Z22" s="257">
        <f t="shared" si="13"/>
        <v>495</v>
      </c>
      <c r="AA22" s="258">
        <f t="shared" si="13"/>
        <v>270</v>
      </c>
      <c r="AB22" s="258">
        <f t="shared" si="13"/>
        <v>275</v>
      </c>
      <c r="AC22" s="258">
        <f t="shared" si="13"/>
        <v>275</v>
      </c>
    </row>
    <row r="23" spans="1:30" ht="16.5">
      <c r="A23" s="239" t="s">
        <v>124</v>
      </c>
      <c r="B23" s="240">
        <f>B108</f>
        <v>835.04526759358589</v>
      </c>
      <c r="C23" s="240">
        <f t="shared" ref="C23:Z23" si="14">C108</f>
        <v>570.58011572462715</v>
      </c>
      <c r="D23" s="240">
        <f t="shared" si="14"/>
        <v>875.81363854629421</v>
      </c>
      <c r="E23" s="240">
        <f t="shared" si="14"/>
        <v>480.91249907103179</v>
      </c>
      <c r="F23" s="240">
        <f t="shared" si="14"/>
        <v>467.66200935915742</v>
      </c>
      <c r="G23" s="240">
        <f t="shared" si="14"/>
        <v>549.87861643948679</v>
      </c>
      <c r="H23" s="240">
        <f t="shared" si="14"/>
        <v>866.97040533509971</v>
      </c>
      <c r="I23" s="240">
        <f t="shared" si="14"/>
        <v>961.69822094221172</v>
      </c>
      <c r="J23" s="240">
        <f t="shared" si="14"/>
        <v>860.39168089803798</v>
      </c>
      <c r="K23" s="240">
        <f t="shared" si="14"/>
        <v>1282.9386388657922</v>
      </c>
      <c r="L23" s="240">
        <f t="shared" si="14"/>
        <v>1348.4699604743082</v>
      </c>
      <c r="M23" s="240">
        <f t="shared" si="14"/>
        <v>1110.6540266798418</v>
      </c>
      <c r="N23" s="240">
        <f t="shared" si="14"/>
        <v>1839.8052521391651</v>
      </c>
      <c r="O23" s="240">
        <f t="shared" si="14"/>
        <v>2020.04286545224</v>
      </c>
      <c r="P23" s="240">
        <f t="shared" si="14"/>
        <v>1736.8774083003354</v>
      </c>
      <c r="Q23" s="240">
        <f t="shared" si="14"/>
        <v>2468.3823545132495</v>
      </c>
      <c r="R23" s="240">
        <f t="shared" si="14"/>
        <v>2818.1267013856027</v>
      </c>
      <c r="S23" s="240">
        <f t="shared" si="14"/>
        <v>2917.9637368205913</v>
      </c>
      <c r="T23" s="240">
        <f t="shared" si="14"/>
        <v>3543.8330786072142</v>
      </c>
      <c r="U23" s="240">
        <f t="shared" si="14"/>
        <v>3075.1465910926386</v>
      </c>
      <c r="V23" s="240">
        <f t="shared" si="14"/>
        <v>4134.2461556272865</v>
      </c>
      <c r="W23" s="240">
        <f t="shared" si="14"/>
        <v>3420.5046823570278</v>
      </c>
      <c r="X23" s="240">
        <f t="shared" si="14"/>
        <v>3662.8227218524321</v>
      </c>
      <c r="Y23" s="240">
        <f t="shared" si="14"/>
        <v>4815.9549865785675</v>
      </c>
      <c r="Z23" s="240">
        <f t="shared" si="14"/>
        <v>4955.9999999999991</v>
      </c>
      <c r="AA23" s="243">
        <f>AA124*AA92</f>
        <v>5002.1559625750006</v>
      </c>
      <c r="AB23" s="243">
        <f>AB124*AB92</f>
        <v>4997.5613237646112</v>
      </c>
      <c r="AC23" s="243">
        <f>AC124*AC92</f>
        <v>4993.8224440326376</v>
      </c>
    </row>
    <row r="24" spans="1:30" ht="16.5">
      <c r="A24" s="239" t="s">
        <v>125</v>
      </c>
      <c r="B24" s="240">
        <v>0</v>
      </c>
      <c r="C24" s="240">
        <v>0</v>
      </c>
      <c r="D24" s="240">
        <v>0</v>
      </c>
      <c r="E24" s="240">
        <v>0</v>
      </c>
      <c r="F24" s="240">
        <v>0</v>
      </c>
      <c r="G24" s="240">
        <v>0</v>
      </c>
      <c r="H24" s="240">
        <f t="shared" ref="H24:Y24" si="15">H140</f>
        <v>6.4879999999999995</v>
      </c>
      <c r="I24" s="240">
        <f t="shared" si="15"/>
        <v>17.5</v>
      </c>
      <c r="J24" s="240">
        <f t="shared" si="15"/>
        <v>0.34599999999999997</v>
      </c>
      <c r="K24" s="240">
        <f t="shared" si="15"/>
        <v>0</v>
      </c>
      <c r="L24" s="240">
        <f t="shared" si="15"/>
        <v>0.91900000000000004</v>
      </c>
      <c r="M24" s="240">
        <f t="shared" si="15"/>
        <v>0.05</v>
      </c>
      <c r="N24" s="240">
        <f t="shared" si="15"/>
        <v>0</v>
      </c>
      <c r="O24" s="240">
        <f t="shared" si="15"/>
        <v>0</v>
      </c>
      <c r="P24" s="240">
        <f t="shared" si="15"/>
        <v>1.0860000000000001</v>
      </c>
      <c r="Q24" s="240">
        <f t="shared" si="15"/>
        <v>0.191</v>
      </c>
      <c r="R24" s="240">
        <f t="shared" si="15"/>
        <v>0.35100000000000003</v>
      </c>
      <c r="S24" s="240">
        <f t="shared" si="15"/>
        <v>0.50900000000000001</v>
      </c>
      <c r="T24" s="240">
        <f t="shared" si="15"/>
        <v>0.59500000000000008</v>
      </c>
      <c r="U24" s="240">
        <f t="shared" si="15"/>
        <v>1.7270000000000001</v>
      </c>
      <c r="V24" s="240">
        <f t="shared" si="15"/>
        <v>4.5999999999999999E-2</v>
      </c>
      <c r="W24" s="240">
        <f t="shared" si="15"/>
        <v>5.8129999999999997</v>
      </c>
      <c r="X24" s="240">
        <f t="shared" si="15"/>
        <v>0.82099999999999995</v>
      </c>
      <c r="Y24" s="240">
        <f t="shared" si="15"/>
        <v>0.77100000000000013</v>
      </c>
      <c r="Z24" s="243">
        <v>7</v>
      </c>
      <c r="AA24" s="243">
        <v>1.5</v>
      </c>
      <c r="AB24" s="243">
        <v>1.5</v>
      </c>
      <c r="AC24" s="243">
        <v>1.5</v>
      </c>
    </row>
    <row r="25" spans="1:30" ht="16.5">
      <c r="A25" s="256" t="s">
        <v>126</v>
      </c>
      <c r="B25" s="257">
        <f>SUM(B22:B24)</f>
        <v>835.04526759358589</v>
      </c>
      <c r="C25" s="257">
        <f t="shared" ref="C25:AC25" si="16">SUM(C22:C24)</f>
        <v>570.58011572462715</v>
      </c>
      <c r="D25" s="257">
        <f t="shared" si="16"/>
        <v>875.81363854629421</v>
      </c>
      <c r="E25" s="257">
        <f t="shared" si="16"/>
        <v>480.91249907103179</v>
      </c>
      <c r="F25" s="257">
        <f t="shared" si="16"/>
        <v>467.66200935915742</v>
      </c>
      <c r="G25" s="257">
        <f t="shared" si="16"/>
        <v>549.87861643948679</v>
      </c>
      <c r="H25" s="257">
        <f t="shared" si="16"/>
        <v>873.45840533509977</v>
      </c>
      <c r="I25" s="257">
        <f t="shared" si="16"/>
        <v>981.19822094221172</v>
      </c>
      <c r="J25" s="257">
        <f t="shared" si="16"/>
        <v>862.73768089803798</v>
      </c>
      <c r="K25" s="257">
        <f t="shared" si="16"/>
        <v>1284.9386388657922</v>
      </c>
      <c r="L25" s="257">
        <f t="shared" si="16"/>
        <v>1353.3889604743083</v>
      </c>
      <c r="M25" s="257">
        <f t="shared" si="16"/>
        <v>1115.7040266798417</v>
      </c>
      <c r="N25" s="257">
        <f t="shared" si="16"/>
        <v>1844.8052521391651</v>
      </c>
      <c r="O25" s="257">
        <f t="shared" si="16"/>
        <v>2025.04286545224</v>
      </c>
      <c r="P25" s="257">
        <f t="shared" si="16"/>
        <v>1742.9634083003355</v>
      </c>
      <c r="Q25" s="257">
        <f t="shared" si="16"/>
        <v>2483.5733545132493</v>
      </c>
      <c r="R25" s="257">
        <f t="shared" si="16"/>
        <v>2874.4777013856028</v>
      </c>
      <c r="S25" s="257">
        <f t="shared" si="16"/>
        <v>3045.4727368205913</v>
      </c>
      <c r="T25" s="257">
        <f t="shared" si="16"/>
        <v>3671.428078607214</v>
      </c>
      <c r="U25" s="257">
        <f t="shared" si="16"/>
        <v>3077.8735910926384</v>
      </c>
      <c r="V25" s="257">
        <f t="shared" si="16"/>
        <v>4140.2921556272868</v>
      </c>
      <c r="W25" s="257">
        <f t="shared" si="16"/>
        <v>3730.3176823570279</v>
      </c>
      <c r="X25" s="257">
        <f t="shared" si="16"/>
        <v>4033.643721852432</v>
      </c>
      <c r="Y25" s="257">
        <f t="shared" si="16"/>
        <v>5281.7259865785672</v>
      </c>
      <c r="Z25" s="258">
        <f t="shared" si="16"/>
        <v>5457.9999999999991</v>
      </c>
      <c r="AA25" s="258">
        <f t="shared" si="16"/>
        <v>5273.6559625750006</v>
      </c>
      <c r="AB25" s="258">
        <f t="shared" si="16"/>
        <v>5274.0613237646112</v>
      </c>
      <c r="AC25" s="258">
        <f t="shared" si="16"/>
        <v>5270.3224440326376</v>
      </c>
    </row>
    <row r="26" spans="1:30" ht="16.5">
      <c r="A26" s="239" t="s">
        <v>127</v>
      </c>
      <c r="B26" s="240">
        <f>B28-B27</f>
        <v>835.04526759358589</v>
      </c>
      <c r="C26" s="240">
        <f t="shared" ref="C26:AC26" si="17">C28-C27</f>
        <v>570.58011572462715</v>
      </c>
      <c r="D26" s="240">
        <f t="shared" si="17"/>
        <v>875.81363854629421</v>
      </c>
      <c r="E26" s="240">
        <f t="shared" si="17"/>
        <v>470.91249907103179</v>
      </c>
      <c r="F26" s="240">
        <f t="shared" si="17"/>
        <v>317.66200935915742</v>
      </c>
      <c r="G26" s="240">
        <f t="shared" si="17"/>
        <v>359.87861643948679</v>
      </c>
      <c r="H26" s="240">
        <f t="shared" si="17"/>
        <v>638.5169683350997</v>
      </c>
      <c r="I26" s="240">
        <f t="shared" si="17"/>
        <v>560.39822094221165</v>
      </c>
      <c r="J26" s="240">
        <f t="shared" si="17"/>
        <v>284.068680898038</v>
      </c>
      <c r="K26" s="240">
        <f t="shared" si="17"/>
        <v>534.51363886579213</v>
      </c>
      <c r="L26" s="240">
        <f t="shared" si="17"/>
        <v>401.04496047430848</v>
      </c>
      <c r="M26" s="240">
        <f t="shared" si="17"/>
        <v>113.28202667984169</v>
      </c>
      <c r="N26" s="240">
        <f t="shared" si="17"/>
        <v>753.29825213916502</v>
      </c>
      <c r="O26" s="240">
        <f t="shared" si="17"/>
        <v>531.77986545224007</v>
      </c>
      <c r="P26" s="240">
        <f t="shared" si="17"/>
        <v>231.95740830033537</v>
      </c>
      <c r="Q26" s="240">
        <f t="shared" si="17"/>
        <v>785.53135451324943</v>
      </c>
      <c r="R26" s="240">
        <f t="shared" si="17"/>
        <v>244.23470138560288</v>
      </c>
      <c r="S26" s="240">
        <f t="shared" si="17"/>
        <v>-55.277263179408692</v>
      </c>
      <c r="T26" s="240">
        <f t="shared" si="17"/>
        <v>361.29107860721388</v>
      </c>
      <c r="U26" s="240">
        <f t="shared" si="17"/>
        <v>-829.53040890736156</v>
      </c>
      <c r="V26" s="240">
        <f t="shared" si="17"/>
        <v>939.78015562728706</v>
      </c>
      <c r="W26" s="240">
        <f t="shared" si="17"/>
        <v>-367.9863176429717</v>
      </c>
      <c r="X26" s="240">
        <f t="shared" si="17"/>
        <v>40.966721852431419</v>
      </c>
      <c r="Y26" s="240">
        <f t="shared" si="17"/>
        <v>265.30998657856708</v>
      </c>
      <c r="Z26" s="243">
        <f t="shared" si="17"/>
        <v>87.999999999999091</v>
      </c>
      <c r="AA26" s="243">
        <f t="shared" si="17"/>
        <v>98.655962575000558</v>
      </c>
      <c r="AB26" s="243">
        <f t="shared" si="17"/>
        <v>99.061323764611188</v>
      </c>
      <c r="AC26" s="243">
        <f t="shared" si="17"/>
        <v>95.322444032637577</v>
      </c>
    </row>
    <row r="27" spans="1:30" ht="16.5">
      <c r="A27" s="239" t="s">
        <v>128</v>
      </c>
      <c r="B27" s="240">
        <v>0</v>
      </c>
      <c r="C27" s="240">
        <v>0</v>
      </c>
      <c r="D27" s="240">
        <v>0</v>
      </c>
      <c r="E27" s="240">
        <v>10</v>
      </c>
      <c r="F27" s="240">
        <v>150</v>
      </c>
      <c r="G27" s="240">
        <v>190</v>
      </c>
      <c r="H27" s="240">
        <f t="shared" ref="H27:Y27" si="18">H156</f>
        <v>232.94143700000004</v>
      </c>
      <c r="I27" s="240">
        <f t="shared" si="18"/>
        <v>418.80000000000007</v>
      </c>
      <c r="J27" s="240">
        <f t="shared" si="18"/>
        <v>576.66899999999998</v>
      </c>
      <c r="K27" s="240">
        <f t="shared" si="18"/>
        <v>746.42500000000007</v>
      </c>
      <c r="L27" s="240">
        <f t="shared" si="18"/>
        <v>947.34399999999982</v>
      </c>
      <c r="M27" s="240">
        <f t="shared" si="18"/>
        <v>997.42200000000003</v>
      </c>
      <c r="N27" s="240">
        <f t="shared" si="18"/>
        <v>1086.5070000000001</v>
      </c>
      <c r="O27" s="240">
        <f t="shared" si="18"/>
        <v>1488.2629999999999</v>
      </c>
      <c r="P27" s="240">
        <f t="shared" si="18"/>
        <v>1496.0060000000001</v>
      </c>
      <c r="Q27" s="240">
        <f t="shared" si="18"/>
        <v>1642.0419999999999</v>
      </c>
      <c r="R27" s="240">
        <f t="shared" si="18"/>
        <v>2503.2429999999999</v>
      </c>
      <c r="S27" s="240">
        <f t="shared" si="18"/>
        <v>2973.75</v>
      </c>
      <c r="T27" s="240">
        <f t="shared" si="18"/>
        <v>3309.1370000000002</v>
      </c>
      <c r="U27" s="240">
        <f t="shared" si="18"/>
        <v>3901.404</v>
      </c>
      <c r="V27" s="240">
        <f t="shared" si="18"/>
        <v>2896.5119999999997</v>
      </c>
      <c r="W27" s="240">
        <f t="shared" si="18"/>
        <v>3728.3039999999996</v>
      </c>
      <c r="X27" s="240">
        <f t="shared" si="18"/>
        <v>3527.6770000000006</v>
      </c>
      <c r="Y27" s="240">
        <f t="shared" si="18"/>
        <v>4521.4160000000002</v>
      </c>
      <c r="Z27" s="243">
        <v>5100</v>
      </c>
      <c r="AA27" s="243">
        <v>4900</v>
      </c>
      <c r="AB27" s="243">
        <v>4900</v>
      </c>
      <c r="AC27" s="243">
        <v>4900</v>
      </c>
    </row>
    <row r="28" spans="1:30" ht="16.5">
      <c r="A28" s="256" t="s">
        <v>129</v>
      </c>
      <c r="B28" s="257">
        <f>B25-B29</f>
        <v>835.04526759358589</v>
      </c>
      <c r="C28" s="257">
        <f t="shared" ref="C28:AC28" si="19">C25-C29</f>
        <v>570.58011572462715</v>
      </c>
      <c r="D28" s="257">
        <f t="shared" si="19"/>
        <v>875.81363854629421</v>
      </c>
      <c r="E28" s="257">
        <f t="shared" si="19"/>
        <v>480.91249907103179</v>
      </c>
      <c r="F28" s="257">
        <f t="shared" si="19"/>
        <v>467.66200935915742</v>
      </c>
      <c r="G28" s="257">
        <f t="shared" si="19"/>
        <v>549.87861643948679</v>
      </c>
      <c r="H28" s="257">
        <f t="shared" si="19"/>
        <v>871.45840533509977</v>
      </c>
      <c r="I28" s="257">
        <f t="shared" si="19"/>
        <v>979.19822094221172</v>
      </c>
      <c r="J28" s="257">
        <f t="shared" si="19"/>
        <v>860.73768089803798</v>
      </c>
      <c r="K28" s="257">
        <f t="shared" si="19"/>
        <v>1280.9386388657922</v>
      </c>
      <c r="L28" s="257">
        <f t="shared" si="19"/>
        <v>1348.3889604743083</v>
      </c>
      <c r="M28" s="257">
        <f t="shared" si="19"/>
        <v>1110.7040266798417</v>
      </c>
      <c r="N28" s="257">
        <f t="shared" si="19"/>
        <v>1839.8052521391651</v>
      </c>
      <c r="O28" s="257">
        <f t="shared" si="19"/>
        <v>2020.04286545224</v>
      </c>
      <c r="P28" s="257">
        <f t="shared" si="19"/>
        <v>1727.9634083003355</v>
      </c>
      <c r="Q28" s="257">
        <f t="shared" si="19"/>
        <v>2427.5733545132493</v>
      </c>
      <c r="R28" s="257">
        <f t="shared" si="19"/>
        <v>2747.4777013856028</v>
      </c>
      <c r="S28" s="257">
        <f t="shared" si="19"/>
        <v>2918.4727368205913</v>
      </c>
      <c r="T28" s="257">
        <f t="shared" si="19"/>
        <v>3670.428078607214</v>
      </c>
      <c r="U28" s="257">
        <f t="shared" si="19"/>
        <v>3071.8735910926384</v>
      </c>
      <c r="V28" s="257">
        <f t="shared" si="19"/>
        <v>3836.2921556272868</v>
      </c>
      <c r="W28" s="257">
        <f t="shared" si="19"/>
        <v>3360.3176823570279</v>
      </c>
      <c r="X28" s="257">
        <f t="shared" si="19"/>
        <v>3568.643721852432</v>
      </c>
      <c r="Y28" s="257">
        <f t="shared" si="19"/>
        <v>4786.7259865785672</v>
      </c>
      <c r="Z28" s="258">
        <f t="shared" si="19"/>
        <v>5187.9999999999991</v>
      </c>
      <c r="AA28" s="258">
        <f t="shared" si="19"/>
        <v>4998.6559625750006</v>
      </c>
      <c r="AB28" s="258">
        <f t="shared" si="19"/>
        <v>4999.0613237646112</v>
      </c>
      <c r="AC28" s="258">
        <f t="shared" si="19"/>
        <v>4995.3224440326376</v>
      </c>
    </row>
    <row r="29" spans="1:30" ht="16.5">
      <c r="A29" s="239" t="s">
        <v>375</v>
      </c>
      <c r="B29" s="240">
        <v>0</v>
      </c>
      <c r="C29" s="240">
        <v>0</v>
      </c>
      <c r="D29" s="240">
        <v>0</v>
      </c>
      <c r="E29" s="240">
        <v>0</v>
      </c>
      <c r="F29" s="240">
        <v>0</v>
      </c>
      <c r="G29" s="240">
        <v>0</v>
      </c>
      <c r="H29" s="240">
        <v>2</v>
      </c>
      <c r="I29" s="240">
        <v>2</v>
      </c>
      <c r="J29" s="240">
        <v>2</v>
      </c>
      <c r="K29" s="240">
        <v>4</v>
      </c>
      <c r="L29" s="240">
        <v>5</v>
      </c>
      <c r="M29" s="240">
        <v>5</v>
      </c>
      <c r="N29" s="240">
        <v>5</v>
      </c>
      <c r="O29" s="240">
        <v>5</v>
      </c>
      <c r="P29" s="240">
        <v>15</v>
      </c>
      <c r="Q29" s="240">
        <v>56</v>
      </c>
      <c r="R29" s="240">
        <v>127</v>
      </c>
      <c r="S29" s="240">
        <v>127</v>
      </c>
      <c r="T29" s="240">
        <v>1</v>
      </c>
      <c r="U29" s="240">
        <v>6</v>
      </c>
      <c r="V29" s="240">
        <v>304</v>
      </c>
      <c r="W29" s="240">
        <v>370</v>
      </c>
      <c r="X29" s="240">
        <v>465</v>
      </c>
      <c r="Y29" s="240">
        <v>495</v>
      </c>
      <c r="Z29" s="243">
        <v>270</v>
      </c>
      <c r="AA29" s="243">
        <v>275</v>
      </c>
      <c r="AB29" s="243">
        <v>275</v>
      </c>
      <c r="AC29" s="243">
        <v>275</v>
      </c>
      <c r="AD29" s="240"/>
    </row>
    <row r="30" spans="1:30" ht="15.75" thickBot="1">
      <c r="A30" s="239" t="s">
        <v>380</v>
      </c>
    </row>
    <row r="31" spans="1:30">
      <c r="A31" s="260" t="s">
        <v>381</v>
      </c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</row>
    <row r="32" spans="1:30" ht="16.5">
      <c r="A32" s="256" t="s">
        <v>382</v>
      </c>
      <c r="B32" s="240">
        <v>206</v>
      </c>
      <c r="C32" s="240">
        <f>B42</f>
        <v>196</v>
      </c>
      <c r="D32" s="240">
        <f t="shared" ref="D32:AC32" si="20">C42</f>
        <v>107</v>
      </c>
      <c r="E32" s="240">
        <f t="shared" si="20"/>
        <v>150</v>
      </c>
      <c r="F32" s="240">
        <f t="shared" si="20"/>
        <v>25</v>
      </c>
      <c r="G32" s="240">
        <f t="shared" si="20"/>
        <v>9</v>
      </c>
      <c r="H32" s="240">
        <f t="shared" si="20"/>
        <v>7</v>
      </c>
      <c r="I32" s="240">
        <f t="shared" si="20"/>
        <v>12</v>
      </c>
      <c r="J32" s="240">
        <f t="shared" si="20"/>
        <v>15</v>
      </c>
      <c r="K32" s="240">
        <f t="shared" si="20"/>
        <v>35</v>
      </c>
      <c r="L32" s="240">
        <f t="shared" si="20"/>
        <v>9</v>
      </c>
      <c r="M32" s="240">
        <f t="shared" si="20"/>
        <v>48</v>
      </c>
      <c r="N32" s="240">
        <f t="shared" si="20"/>
        <v>293</v>
      </c>
      <c r="O32" s="240">
        <f t="shared" si="20"/>
        <v>287</v>
      </c>
      <c r="P32" s="240">
        <f t="shared" si="20"/>
        <v>90</v>
      </c>
      <c r="Q32" s="240">
        <f t="shared" si="20"/>
        <v>148</v>
      </c>
      <c r="R32" s="240">
        <f t="shared" si="20"/>
        <v>266</v>
      </c>
      <c r="S32" s="240">
        <f t="shared" si="20"/>
        <v>144</v>
      </c>
      <c r="T32" s="240">
        <f t="shared" si="20"/>
        <v>298</v>
      </c>
      <c r="U32" s="240">
        <f t="shared" si="20"/>
        <v>462</v>
      </c>
      <c r="V32" s="240">
        <f t="shared" si="20"/>
        <v>306</v>
      </c>
      <c r="W32" s="240">
        <f t="shared" si="20"/>
        <v>335</v>
      </c>
      <c r="X32" s="240">
        <f t="shared" si="20"/>
        <v>294</v>
      </c>
      <c r="Y32" s="240">
        <f t="shared" si="20"/>
        <v>215</v>
      </c>
      <c r="Z32" s="240">
        <f t="shared" si="20"/>
        <v>120</v>
      </c>
      <c r="AA32" s="243">
        <f t="shared" si="20"/>
        <v>97</v>
      </c>
      <c r="AB32" s="243">
        <f t="shared" si="20"/>
        <v>100</v>
      </c>
      <c r="AC32" s="243">
        <f t="shared" si="20"/>
        <v>100</v>
      </c>
    </row>
    <row r="33" spans="1:31" ht="16.5">
      <c r="A33" s="239" t="s">
        <v>124</v>
      </c>
      <c r="B33" s="240">
        <v>767</v>
      </c>
      <c r="C33" s="240">
        <f>C219</f>
        <v>587.99999999999977</v>
      </c>
      <c r="D33" s="240">
        <f t="shared" ref="D33:Y33" si="21">D219</f>
        <v>943.00000000000011</v>
      </c>
      <c r="E33" s="240">
        <f t="shared" si="21"/>
        <v>429.99999999999994</v>
      </c>
      <c r="F33" s="240">
        <f t="shared" si="21"/>
        <v>505.00000000000011</v>
      </c>
      <c r="G33" s="240">
        <f t="shared" si="21"/>
        <v>560</v>
      </c>
      <c r="H33" s="240">
        <f t="shared" si="21"/>
        <v>879.99999999999989</v>
      </c>
      <c r="I33" s="240">
        <f t="shared" si="21"/>
        <v>975.99999999999989</v>
      </c>
      <c r="J33" s="240">
        <f t="shared" si="21"/>
        <v>880.99999999999989</v>
      </c>
      <c r="K33" s="240">
        <f t="shared" si="21"/>
        <v>1281.5</v>
      </c>
      <c r="L33" s="240">
        <f t="shared" si="21"/>
        <v>1338.1</v>
      </c>
      <c r="M33" s="240">
        <f t="shared" si="21"/>
        <v>1151.3</v>
      </c>
      <c r="N33" s="240">
        <f t="shared" si="21"/>
        <v>1868.3999999999999</v>
      </c>
      <c r="O33" s="240">
        <f t="shared" si="21"/>
        <v>2096.8999999999996</v>
      </c>
      <c r="P33" s="240">
        <f t="shared" si="21"/>
        <v>1755.5</v>
      </c>
      <c r="Q33" s="240">
        <f t="shared" si="21"/>
        <v>2535.6999999999998</v>
      </c>
      <c r="R33" s="240">
        <f t="shared" si="21"/>
        <v>2878.3999999999996</v>
      </c>
      <c r="S33" s="240">
        <f t="shared" si="21"/>
        <v>3017.9</v>
      </c>
      <c r="T33" s="240">
        <f t="shared" si="21"/>
        <v>3624.2999999999997</v>
      </c>
      <c r="U33" s="240">
        <f t="shared" si="21"/>
        <v>3135</v>
      </c>
      <c r="V33" s="240">
        <f t="shared" si="21"/>
        <v>4232.1000000000004</v>
      </c>
      <c r="W33" s="240">
        <f t="shared" si="21"/>
        <v>3565.4</v>
      </c>
      <c r="X33" s="240">
        <f t="shared" si="21"/>
        <v>3913.3</v>
      </c>
      <c r="Y33" s="240">
        <f t="shared" si="21"/>
        <v>4850</v>
      </c>
      <c r="Z33" s="243">
        <v>5250</v>
      </c>
      <c r="AA33" s="243">
        <v>5250</v>
      </c>
      <c r="AB33" s="243">
        <v>5250</v>
      </c>
      <c r="AC33" s="243">
        <v>5250</v>
      </c>
    </row>
    <row r="34" spans="1:31" ht="16.5">
      <c r="A34" s="239" t="s">
        <v>125</v>
      </c>
      <c r="B34" s="240">
        <v>0</v>
      </c>
      <c r="C34" s="240">
        <v>5</v>
      </c>
      <c r="D34" s="240">
        <v>0</v>
      </c>
      <c r="E34" s="240">
        <v>30</v>
      </c>
      <c r="F34" s="240">
        <v>15</v>
      </c>
      <c r="G34" s="240">
        <v>30</v>
      </c>
      <c r="H34" s="240">
        <v>0</v>
      </c>
      <c r="I34" s="240">
        <v>0</v>
      </c>
      <c r="J34" s="240">
        <f t="shared" ref="J34:Y34" si="22">J267</f>
        <v>6.7000000000000004E-2</v>
      </c>
      <c r="K34" s="240">
        <f t="shared" si="22"/>
        <v>1.3039999999999998</v>
      </c>
      <c r="L34" s="240">
        <f t="shared" si="22"/>
        <v>0.13100000000000001</v>
      </c>
      <c r="M34" s="240">
        <f t="shared" si="22"/>
        <v>2.3129999999999993</v>
      </c>
      <c r="N34" s="240">
        <f t="shared" si="22"/>
        <v>0.11700000000000001</v>
      </c>
      <c r="O34" s="240">
        <f t="shared" si="22"/>
        <v>0.26600000000000001</v>
      </c>
      <c r="P34" s="240">
        <f t="shared" si="22"/>
        <v>0.873</v>
      </c>
      <c r="Q34" s="240">
        <f t="shared" si="22"/>
        <v>0.495</v>
      </c>
      <c r="R34" s="240">
        <f t="shared" si="22"/>
        <v>1.0760000000000001</v>
      </c>
      <c r="S34" s="240">
        <f t="shared" si="22"/>
        <v>1.147</v>
      </c>
      <c r="T34" s="240">
        <f t="shared" si="22"/>
        <v>1.4180000000000001</v>
      </c>
      <c r="U34" s="240">
        <f t="shared" si="22"/>
        <v>1.5099999999999998</v>
      </c>
      <c r="V34" s="240">
        <f t="shared" si="22"/>
        <v>1.4660000000000002</v>
      </c>
      <c r="W34" s="240">
        <f t="shared" si="22"/>
        <v>1.611</v>
      </c>
      <c r="X34" s="240">
        <f t="shared" si="22"/>
        <v>0.97199999999999998</v>
      </c>
      <c r="Y34" s="240">
        <f t="shared" si="22"/>
        <v>0.29499999999999998</v>
      </c>
      <c r="Z34" s="243">
        <v>1</v>
      </c>
      <c r="AA34" s="243">
        <v>1</v>
      </c>
      <c r="AB34" s="243">
        <v>1</v>
      </c>
      <c r="AC34" s="243">
        <v>1</v>
      </c>
    </row>
    <row r="35" spans="1:31" ht="16.5">
      <c r="A35" s="256" t="s">
        <v>126</v>
      </c>
      <c r="B35" s="257">
        <f>SUM(B32:B34)</f>
        <v>973</v>
      </c>
      <c r="C35" s="257">
        <f t="shared" ref="C35:AC35" si="23">SUM(C32:C34)</f>
        <v>788.99999999999977</v>
      </c>
      <c r="D35" s="257">
        <f t="shared" si="23"/>
        <v>1050</v>
      </c>
      <c r="E35" s="257">
        <f t="shared" si="23"/>
        <v>610</v>
      </c>
      <c r="F35" s="257">
        <f t="shared" si="23"/>
        <v>545.00000000000011</v>
      </c>
      <c r="G35" s="257">
        <f t="shared" si="23"/>
        <v>599</v>
      </c>
      <c r="H35" s="257">
        <f t="shared" si="23"/>
        <v>886.99999999999989</v>
      </c>
      <c r="I35" s="257">
        <f t="shared" si="23"/>
        <v>987.99999999999989</v>
      </c>
      <c r="J35" s="257">
        <f t="shared" si="23"/>
        <v>896.06699999999989</v>
      </c>
      <c r="K35" s="257">
        <f t="shared" si="23"/>
        <v>1317.8040000000001</v>
      </c>
      <c r="L35" s="257">
        <f t="shared" si="23"/>
        <v>1347.231</v>
      </c>
      <c r="M35" s="257">
        <f t="shared" si="23"/>
        <v>1201.6130000000001</v>
      </c>
      <c r="N35" s="257">
        <f t="shared" si="23"/>
        <v>2161.5169999999998</v>
      </c>
      <c r="O35" s="257">
        <f t="shared" si="23"/>
        <v>2384.1659999999997</v>
      </c>
      <c r="P35" s="257">
        <f t="shared" si="23"/>
        <v>1846.373</v>
      </c>
      <c r="Q35" s="257">
        <f t="shared" si="23"/>
        <v>2684.1949999999997</v>
      </c>
      <c r="R35" s="257">
        <f t="shared" si="23"/>
        <v>3145.4759999999997</v>
      </c>
      <c r="S35" s="257">
        <f t="shared" si="23"/>
        <v>3163.047</v>
      </c>
      <c r="T35" s="257">
        <f t="shared" si="23"/>
        <v>3923.7179999999998</v>
      </c>
      <c r="U35" s="257">
        <f t="shared" si="23"/>
        <v>3598.51</v>
      </c>
      <c r="V35" s="257">
        <f t="shared" si="23"/>
        <v>4539.5660000000007</v>
      </c>
      <c r="W35" s="257">
        <f t="shared" si="23"/>
        <v>3902.011</v>
      </c>
      <c r="X35" s="257">
        <f t="shared" si="23"/>
        <v>4208.2719999999999</v>
      </c>
      <c r="Y35" s="257">
        <f t="shared" si="23"/>
        <v>5065.2950000000001</v>
      </c>
      <c r="Z35" s="258">
        <f t="shared" si="23"/>
        <v>5371</v>
      </c>
      <c r="AA35" s="258">
        <f t="shared" si="23"/>
        <v>5348</v>
      </c>
      <c r="AB35" s="258">
        <f t="shared" si="23"/>
        <v>5351</v>
      </c>
      <c r="AC35" s="258">
        <f t="shared" si="23"/>
        <v>5351</v>
      </c>
    </row>
    <row r="36" spans="1:31" ht="16.5">
      <c r="A36" s="239" t="s">
        <v>127</v>
      </c>
      <c r="B36" s="240">
        <f>B41-B40</f>
        <v>384</v>
      </c>
      <c r="C36" s="240">
        <f t="shared" ref="C36:Y36" si="24">C41-C40</f>
        <v>533.99999999999977</v>
      </c>
      <c r="D36" s="240">
        <f t="shared" si="24"/>
        <v>540</v>
      </c>
      <c r="E36" s="240">
        <f t="shared" si="24"/>
        <v>345.9</v>
      </c>
      <c r="F36" s="240">
        <f t="shared" si="24"/>
        <v>359.2000000000001</v>
      </c>
      <c r="G36" s="240">
        <f t="shared" si="24"/>
        <v>431.4</v>
      </c>
      <c r="H36" s="240">
        <f t="shared" si="24"/>
        <v>566.69499298999995</v>
      </c>
      <c r="I36" s="240">
        <f t="shared" si="24"/>
        <v>331.99999999999989</v>
      </c>
      <c r="J36" s="240">
        <f t="shared" si="24"/>
        <v>437.87189814999988</v>
      </c>
      <c r="K36" s="240">
        <f t="shared" si="24"/>
        <v>552.41000000000008</v>
      </c>
      <c r="L36" s="240">
        <f t="shared" si="24"/>
        <v>377.17999999999995</v>
      </c>
      <c r="M36" s="240">
        <f t="shared" si="24"/>
        <v>137.90100000000007</v>
      </c>
      <c r="N36" s="240">
        <f t="shared" si="24"/>
        <v>704.74099999999976</v>
      </c>
      <c r="O36" s="240">
        <f t="shared" si="24"/>
        <v>528.08999999999969</v>
      </c>
      <c r="P36" s="240">
        <f t="shared" si="24"/>
        <v>51.319999999999709</v>
      </c>
      <c r="Q36" s="240">
        <f t="shared" si="24"/>
        <v>766.35999999999967</v>
      </c>
      <c r="R36" s="240">
        <f t="shared" si="24"/>
        <v>567.80199999999968</v>
      </c>
      <c r="S36" s="240">
        <f t="shared" si="24"/>
        <v>16.791999999999916</v>
      </c>
      <c r="T36" s="240">
        <f t="shared" si="24"/>
        <v>624.86000000000013</v>
      </c>
      <c r="U36" s="240">
        <f t="shared" si="24"/>
        <v>-181.60799999999972</v>
      </c>
      <c r="V36" s="240">
        <f t="shared" si="24"/>
        <v>569.12900000000081</v>
      </c>
      <c r="W36" s="240">
        <f t="shared" si="24"/>
        <v>-671.49000000000024</v>
      </c>
      <c r="X36" s="240">
        <f t="shared" si="24"/>
        <v>-175.41700000000037</v>
      </c>
      <c r="Y36" s="240">
        <f t="shared" si="24"/>
        <v>-474.61899999999969</v>
      </c>
      <c r="Z36" s="243">
        <f>SUM(Z37:Z39)</f>
        <v>165</v>
      </c>
      <c r="AA36" s="243">
        <f>SUM(AA37:AA39)</f>
        <v>400</v>
      </c>
      <c r="AB36" s="243">
        <f>SUM(AB37:AB39)</f>
        <v>400</v>
      </c>
      <c r="AC36" s="243">
        <f>SUM(AC37:AC39)</f>
        <v>425</v>
      </c>
    </row>
    <row r="37" spans="1:31" ht="16.5">
      <c r="A37" s="239" t="s">
        <v>383</v>
      </c>
      <c r="B37" s="240">
        <v>0</v>
      </c>
      <c r="C37" s="240">
        <v>0</v>
      </c>
      <c r="D37" s="240">
        <v>0</v>
      </c>
      <c r="E37" s="240">
        <v>34</v>
      </c>
      <c r="F37" s="240">
        <v>20</v>
      </c>
      <c r="G37" s="240">
        <v>10</v>
      </c>
      <c r="H37" s="240">
        <v>10</v>
      </c>
      <c r="I37" s="240">
        <v>10</v>
      </c>
      <c r="J37" s="240">
        <v>10</v>
      </c>
      <c r="K37" s="240">
        <v>10</v>
      </c>
      <c r="L37" s="240">
        <v>10</v>
      </c>
      <c r="M37" s="240">
        <v>15</v>
      </c>
      <c r="N37" s="240">
        <v>15</v>
      </c>
      <c r="O37" s="240">
        <v>10</v>
      </c>
      <c r="P37" s="240">
        <v>15</v>
      </c>
      <c r="Q37" s="240">
        <v>15</v>
      </c>
      <c r="R37" s="240">
        <v>10</v>
      </c>
      <c r="S37" s="240">
        <v>30</v>
      </c>
      <c r="T37" s="240">
        <v>30</v>
      </c>
      <c r="U37" s="240">
        <v>30</v>
      </c>
      <c r="V37" s="240">
        <v>30</v>
      </c>
      <c r="W37" s="240">
        <v>30</v>
      </c>
      <c r="X37" s="240">
        <v>30</v>
      </c>
      <c r="Y37" s="240">
        <v>30</v>
      </c>
      <c r="Z37" s="243">
        <v>30</v>
      </c>
      <c r="AA37" s="243">
        <v>275</v>
      </c>
      <c r="AB37" s="243">
        <v>275</v>
      </c>
      <c r="AC37" s="243">
        <v>300</v>
      </c>
    </row>
    <row r="38" spans="1:31" ht="16.5">
      <c r="A38" s="239" t="s">
        <v>384</v>
      </c>
      <c r="B38" s="240">
        <v>0</v>
      </c>
      <c r="C38" s="240">
        <v>0</v>
      </c>
      <c r="D38" s="240">
        <v>0</v>
      </c>
      <c r="E38" s="240">
        <v>0</v>
      </c>
      <c r="F38" s="240">
        <v>0</v>
      </c>
      <c r="G38" s="240">
        <v>2</v>
      </c>
      <c r="H38" s="240">
        <v>15</v>
      </c>
      <c r="I38" s="240">
        <v>7</v>
      </c>
      <c r="J38" s="240">
        <v>0</v>
      </c>
      <c r="K38" s="240">
        <v>0</v>
      </c>
      <c r="L38" s="240">
        <v>0</v>
      </c>
      <c r="M38" s="240">
        <v>0</v>
      </c>
      <c r="N38" s="240">
        <v>0</v>
      </c>
      <c r="O38" s="240">
        <v>0</v>
      </c>
      <c r="P38" s="240">
        <v>0</v>
      </c>
      <c r="Q38" s="240">
        <v>0</v>
      </c>
      <c r="R38" s="240">
        <v>0</v>
      </c>
      <c r="S38" s="240">
        <v>0</v>
      </c>
      <c r="T38" s="240">
        <v>0</v>
      </c>
      <c r="U38" s="240">
        <v>0</v>
      </c>
      <c r="V38" s="240">
        <v>0</v>
      </c>
      <c r="W38" s="240">
        <v>0</v>
      </c>
      <c r="X38" s="240">
        <v>0</v>
      </c>
      <c r="Y38" s="240">
        <v>0</v>
      </c>
      <c r="Z38" s="243">
        <v>0</v>
      </c>
      <c r="AA38" s="243">
        <v>0</v>
      </c>
      <c r="AB38" s="243">
        <v>0</v>
      </c>
      <c r="AC38" s="243">
        <v>0</v>
      </c>
    </row>
    <row r="39" spans="1:31" ht="16.5">
      <c r="A39" s="239" t="s">
        <v>385</v>
      </c>
      <c r="B39" s="240">
        <f>B36-B37</f>
        <v>384</v>
      </c>
      <c r="C39" s="240">
        <f t="shared" ref="C39:Y39" si="25">C36-C37</f>
        <v>533.99999999999977</v>
      </c>
      <c r="D39" s="240">
        <f t="shared" si="25"/>
        <v>540</v>
      </c>
      <c r="E39" s="240">
        <f t="shared" si="25"/>
        <v>311.89999999999998</v>
      </c>
      <c r="F39" s="240">
        <f t="shared" si="25"/>
        <v>339.2000000000001</v>
      </c>
      <c r="G39" s="240">
        <f t="shared" si="25"/>
        <v>421.4</v>
      </c>
      <c r="H39" s="240">
        <f t="shared" si="25"/>
        <v>556.69499298999995</v>
      </c>
      <c r="I39" s="240">
        <f t="shared" si="25"/>
        <v>321.99999999999989</v>
      </c>
      <c r="J39" s="240">
        <f t="shared" si="25"/>
        <v>427.87189814999988</v>
      </c>
      <c r="K39" s="240">
        <f t="shared" si="25"/>
        <v>542.41000000000008</v>
      </c>
      <c r="L39" s="240">
        <f t="shared" si="25"/>
        <v>367.17999999999995</v>
      </c>
      <c r="M39" s="240">
        <f t="shared" si="25"/>
        <v>122.90100000000007</v>
      </c>
      <c r="N39" s="240">
        <f t="shared" si="25"/>
        <v>689.74099999999976</v>
      </c>
      <c r="O39" s="240">
        <f t="shared" si="25"/>
        <v>518.08999999999969</v>
      </c>
      <c r="P39" s="240">
        <f t="shared" si="25"/>
        <v>36.319999999999709</v>
      </c>
      <c r="Q39" s="240">
        <f t="shared" si="25"/>
        <v>751.35999999999967</v>
      </c>
      <c r="R39" s="240">
        <f t="shared" si="25"/>
        <v>557.80199999999968</v>
      </c>
      <c r="S39" s="240">
        <f t="shared" si="25"/>
        <v>-13.208000000000084</v>
      </c>
      <c r="T39" s="240">
        <f t="shared" si="25"/>
        <v>594.86000000000013</v>
      </c>
      <c r="U39" s="240">
        <f t="shared" si="25"/>
        <v>-211.60799999999972</v>
      </c>
      <c r="V39" s="240">
        <f t="shared" si="25"/>
        <v>539.12900000000081</v>
      </c>
      <c r="W39" s="240">
        <f t="shared" si="25"/>
        <v>-701.49000000000024</v>
      </c>
      <c r="X39" s="240">
        <f t="shared" si="25"/>
        <v>-205.41700000000037</v>
      </c>
      <c r="Y39" s="240">
        <f t="shared" si="25"/>
        <v>-504.61899999999969</v>
      </c>
      <c r="Z39" s="243">
        <v>135</v>
      </c>
      <c r="AA39" s="243">
        <v>125</v>
      </c>
      <c r="AB39" s="243">
        <v>125</v>
      </c>
      <c r="AC39" s="243">
        <v>125</v>
      </c>
    </row>
    <row r="40" spans="1:31" ht="16.5">
      <c r="A40" s="239" t="s">
        <v>128</v>
      </c>
      <c r="B40" s="240">
        <v>393</v>
      </c>
      <c r="C40" s="240">
        <v>148</v>
      </c>
      <c r="D40" s="240">
        <v>360</v>
      </c>
      <c r="E40" s="240">
        <f t="shared" ref="E40:Y40" si="26">E283</f>
        <v>239.10000000000002</v>
      </c>
      <c r="F40" s="240">
        <f t="shared" si="26"/>
        <v>176.8</v>
      </c>
      <c r="G40" s="240">
        <f t="shared" si="26"/>
        <v>160.6</v>
      </c>
      <c r="H40" s="240">
        <f t="shared" si="26"/>
        <v>308.30500701</v>
      </c>
      <c r="I40" s="240">
        <f t="shared" si="26"/>
        <v>641</v>
      </c>
      <c r="J40" s="240">
        <f t="shared" si="26"/>
        <v>423.19510185000001</v>
      </c>
      <c r="K40" s="240">
        <f t="shared" si="26"/>
        <v>756.39400000000001</v>
      </c>
      <c r="L40" s="240">
        <f t="shared" si="26"/>
        <v>922.05100000000004</v>
      </c>
      <c r="M40" s="240">
        <f t="shared" si="26"/>
        <v>770.71199999999999</v>
      </c>
      <c r="N40" s="240">
        <f t="shared" si="26"/>
        <v>1169.7760000000001</v>
      </c>
      <c r="O40" s="240">
        <f t="shared" si="26"/>
        <v>1766.076</v>
      </c>
      <c r="P40" s="240">
        <f t="shared" si="26"/>
        <v>1647.0530000000003</v>
      </c>
      <c r="Q40" s="240">
        <f t="shared" si="26"/>
        <v>1651.835</v>
      </c>
      <c r="R40" s="240">
        <f t="shared" si="26"/>
        <v>2433.674</v>
      </c>
      <c r="S40" s="240">
        <f t="shared" si="26"/>
        <v>2848.2550000000001</v>
      </c>
      <c r="T40" s="240">
        <f t="shared" si="26"/>
        <v>2836.8579999999997</v>
      </c>
      <c r="U40" s="240">
        <f t="shared" si="26"/>
        <v>3474.1179999999999</v>
      </c>
      <c r="V40" s="240">
        <f t="shared" si="26"/>
        <v>3635.4369999999999</v>
      </c>
      <c r="W40" s="240">
        <f t="shared" si="26"/>
        <v>4279.5010000000002</v>
      </c>
      <c r="X40" s="240">
        <f t="shared" si="26"/>
        <v>4168.6890000000003</v>
      </c>
      <c r="Y40" s="240">
        <f t="shared" si="26"/>
        <v>5419.9139999999998</v>
      </c>
      <c r="Z40" s="243">
        <f>Z41-Z36</f>
        <v>5109</v>
      </c>
      <c r="AA40" s="243">
        <f>AA41-AA36</f>
        <v>4848</v>
      </c>
      <c r="AB40" s="243">
        <f>AB41-AB36</f>
        <v>4851</v>
      </c>
      <c r="AC40" s="243">
        <f>AC41-AC36</f>
        <v>4826</v>
      </c>
    </row>
    <row r="41" spans="1:31" ht="16.5">
      <c r="A41" s="256" t="s">
        <v>129</v>
      </c>
      <c r="B41" s="257">
        <f>B35-B42</f>
        <v>777</v>
      </c>
      <c r="C41" s="257">
        <f t="shared" ref="C41:AC41" si="27">C35-C42</f>
        <v>681.99999999999977</v>
      </c>
      <c r="D41" s="257">
        <f t="shared" si="27"/>
        <v>900</v>
      </c>
      <c r="E41" s="257">
        <f t="shared" si="27"/>
        <v>585</v>
      </c>
      <c r="F41" s="257">
        <f t="shared" si="27"/>
        <v>536.00000000000011</v>
      </c>
      <c r="G41" s="257">
        <f t="shared" si="27"/>
        <v>592</v>
      </c>
      <c r="H41" s="257">
        <f t="shared" si="27"/>
        <v>874.99999999999989</v>
      </c>
      <c r="I41" s="257">
        <f t="shared" si="27"/>
        <v>972.99999999999989</v>
      </c>
      <c r="J41" s="257">
        <f t="shared" si="27"/>
        <v>861.06699999999989</v>
      </c>
      <c r="K41" s="257">
        <f t="shared" si="27"/>
        <v>1308.8040000000001</v>
      </c>
      <c r="L41" s="257">
        <f t="shared" si="27"/>
        <v>1299.231</v>
      </c>
      <c r="M41" s="257">
        <f t="shared" si="27"/>
        <v>908.61300000000006</v>
      </c>
      <c r="N41" s="257">
        <f t="shared" si="27"/>
        <v>1874.5169999999998</v>
      </c>
      <c r="O41" s="257">
        <f t="shared" si="27"/>
        <v>2294.1659999999997</v>
      </c>
      <c r="P41" s="257">
        <f t="shared" si="27"/>
        <v>1698.373</v>
      </c>
      <c r="Q41" s="257">
        <f t="shared" si="27"/>
        <v>2418.1949999999997</v>
      </c>
      <c r="R41" s="257">
        <f t="shared" si="27"/>
        <v>3001.4759999999997</v>
      </c>
      <c r="S41" s="257">
        <f t="shared" si="27"/>
        <v>2865.047</v>
      </c>
      <c r="T41" s="257">
        <f t="shared" si="27"/>
        <v>3461.7179999999998</v>
      </c>
      <c r="U41" s="257">
        <f t="shared" si="27"/>
        <v>3292.51</v>
      </c>
      <c r="V41" s="257">
        <f t="shared" si="27"/>
        <v>4204.5660000000007</v>
      </c>
      <c r="W41" s="257">
        <f t="shared" si="27"/>
        <v>3608.011</v>
      </c>
      <c r="X41" s="257">
        <f t="shared" si="27"/>
        <v>3993.2719999999999</v>
      </c>
      <c r="Y41" s="257">
        <f t="shared" si="27"/>
        <v>4945.2950000000001</v>
      </c>
      <c r="Z41" s="258">
        <f t="shared" si="27"/>
        <v>5274</v>
      </c>
      <c r="AA41" s="258">
        <f t="shared" si="27"/>
        <v>5248</v>
      </c>
      <c r="AB41" s="258">
        <f t="shared" si="27"/>
        <v>5251</v>
      </c>
      <c r="AC41" s="258">
        <f t="shared" si="27"/>
        <v>5251</v>
      </c>
    </row>
    <row r="42" spans="1:31" ht="16.5">
      <c r="A42" s="239" t="s">
        <v>386</v>
      </c>
      <c r="B42" s="240">
        <v>196</v>
      </c>
      <c r="C42" s="240">
        <v>107</v>
      </c>
      <c r="D42" s="240">
        <v>150</v>
      </c>
      <c r="E42" s="240">
        <v>25</v>
      </c>
      <c r="F42" s="240">
        <v>9</v>
      </c>
      <c r="G42" s="240">
        <v>7</v>
      </c>
      <c r="H42" s="240">
        <v>12</v>
      </c>
      <c r="I42" s="240">
        <v>15</v>
      </c>
      <c r="J42" s="240">
        <v>35</v>
      </c>
      <c r="K42" s="240">
        <v>9</v>
      </c>
      <c r="L42" s="240">
        <v>48</v>
      </c>
      <c r="M42" s="240">
        <v>293</v>
      </c>
      <c r="N42" s="240">
        <v>287</v>
      </c>
      <c r="O42" s="240">
        <v>90</v>
      </c>
      <c r="P42" s="240">
        <v>148</v>
      </c>
      <c r="Q42" s="240">
        <v>266</v>
      </c>
      <c r="R42" s="240">
        <v>144</v>
      </c>
      <c r="S42" s="240">
        <v>298</v>
      </c>
      <c r="T42" s="240">
        <v>462</v>
      </c>
      <c r="U42" s="240">
        <v>306</v>
      </c>
      <c r="V42" s="240">
        <v>335</v>
      </c>
      <c r="W42" s="240">
        <v>294</v>
      </c>
      <c r="X42" s="240">
        <v>215</v>
      </c>
      <c r="Y42" s="240">
        <v>120</v>
      </c>
      <c r="Z42" s="243">
        <v>97</v>
      </c>
      <c r="AA42" s="243">
        <v>100</v>
      </c>
      <c r="AB42" s="243">
        <v>100</v>
      </c>
      <c r="AC42" s="243">
        <v>100</v>
      </c>
    </row>
    <row r="43" spans="1:31" ht="15.75" thickBot="1">
      <c r="A43" s="239" t="s">
        <v>380</v>
      </c>
    </row>
    <row r="44" spans="1:31">
      <c r="A44" s="262" t="s">
        <v>335</v>
      </c>
      <c r="B44" s="260"/>
      <c r="C44" s="260"/>
      <c r="D44" s="260"/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</row>
    <row r="45" spans="1:31">
      <c r="A45" s="239"/>
      <c r="B45" s="239">
        <v>1993</v>
      </c>
      <c r="C45" s="239">
        <v>1994</v>
      </c>
      <c r="D45" s="239">
        <v>1995</v>
      </c>
      <c r="E45" s="239">
        <v>1996</v>
      </c>
      <c r="F45" s="239">
        <v>1997</v>
      </c>
      <c r="G45" s="239">
        <v>1998</v>
      </c>
      <c r="H45" s="239">
        <v>1999</v>
      </c>
      <c r="I45" s="239">
        <v>2000</v>
      </c>
      <c r="J45" s="239">
        <v>2001</v>
      </c>
      <c r="K45" s="239">
        <v>2002</v>
      </c>
      <c r="L45" s="239">
        <v>2003</v>
      </c>
      <c r="M45" s="239">
        <v>2004</v>
      </c>
      <c r="N45" s="239">
        <v>2005</v>
      </c>
      <c r="O45" s="239">
        <v>2006</v>
      </c>
      <c r="P45" s="239">
        <v>2007</v>
      </c>
      <c r="Q45" s="239">
        <v>2008</v>
      </c>
      <c r="R45" s="239">
        <v>2009</v>
      </c>
      <c r="S45" s="239">
        <v>2010</v>
      </c>
      <c r="T45" s="239">
        <v>2011</v>
      </c>
      <c r="U45" s="239">
        <v>2012</v>
      </c>
      <c r="V45" s="239">
        <v>2013</v>
      </c>
      <c r="W45" s="239">
        <v>2014</v>
      </c>
      <c r="X45" s="239">
        <v>2015</v>
      </c>
      <c r="Y45" s="239">
        <v>2016</v>
      </c>
      <c r="Z45" s="239">
        <v>2017</v>
      </c>
      <c r="AA45" s="239">
        <v>2018</v>
      </c>
      <c r="AB45" s="239">
        <v>2019</v>
      </c>
      <c r="AC45" s="239">
        <v>2020</v>
      </c>
      <c r="AD45" s="239">
        <v>2021</v>
      </c>
    </row>
    <row r="46" spans="1:31" ht="15.75" thickBot="1">
      <c r="A46" s="247" t="s">
        <v>387</v>
      </c>
    </row>
    <row r="47" spans="1:31" ht="15.75" thickBot="1">
      <c r="A47" s="263"/>
      <c r="B47" s="235" t="str">
        <f>B$2</f>
        <v xml:space="preserve">93/94 </v>
      </c>
      <c r="C47" s="235" t="str">
        <f t="shared" ref="C47:AC47" si="28">C$2</f>
        <v xml:space="preserve">94/95 </v>
      </c>
      <c r="D47" s="235" t="str">
        <f t="shared" si="28"/>
        <v xml:space="preserve">95/96 </v>
      </c>
      <c r="E47" s="235" t="str">
        <f t="shared" si="28"/>
        <v xml:space="preserve">96/97 </v>
      </c>
      <c r="F47" s="235" t="str">
        <f t="shared" si="28"/>
        <v xml:space="preserve">97/98 </v>
      </c>
      <c r="G47" s="235" t="str">
        <f t="shared" si="28"/>
        <v xml:space="preserve">98/99 </v>
      </c>
      <c r="H47" s="235" t="str">
        <f t="shared" si="28"/>
        <v xml:space="preserve">99/00 </v>
      </c>
      <c r="I47" s="235" t="str">
        <f t="shared" si="28"/>
        <v xml:space="preserve">00/01 </v>
      </c>
      <c r="J47" s="235" t="str">
        <f t="shared" si="28"/>
        <v xml:space="preserve">01/02 </v>
      </c>
      <c r="K47" s="235" t="str">
        <f t="shared" si="28"/>
        <v xml:space="preserve">02/03 </v>
      </c>
      <c r="L47" s="235" t="str">
        <f t="shared" si="28"/>
        <v xml:space="preserve">03/04 </v>
      </c>
      <c r="M47" s="235" t="str">
        <f t="shared" si="28"/>
        <v xml:space="preserve">04/05 </v>
      </c>
      <c r="N47" s="235" t="str">
        <f t="shared" si="28"/>
        <v xml:space="preserve">05/06 </v>
      </c>
      <c r="O47" s="235" t="str">
        <f t="shared" si="28"/>
        <v xml:space="preserve">06/07 </v>
      </c>
      <c r="P47" s="235" t="str">
        <f t="shared" si="28"/>
        <v xml:space="preserve">07/08 </v>
      </c>
      <c r="Q47" s="235" t="str">
        <f t="shared" si="28"/>
        <v xml:space="preserve">08/09 </v>
      </c>
      <c r="R47" s="235" t="str">
        <f t="shared" si="28"/>
        <v xml:space="preserve">09/10 </v>
      </c>
      <c r="S47" s="235" t="str">
        <f t="shared" si="28"/>
        <v xml:space="preserve">10/11 </v>
      </c>
      <c r="T47" s="235" t="str">
        <f t="shared" si="28"/>
        <v xml:space="preserve">11/12 </v>
      </c>
      <c r="U47" s="235" t="str">
        <f t="shared" si="28"/>
        <v xml:space="preserve">12/13 </v>
      </c>
      <c r="V47" s="235" t="str">
        <f t="shared" si="28"/>
        <v xml:space="preserve">13/14 </v>
      </c>
      <c r="W47" s="235" t="str">
        <f t="shared" si="28"/>
        <v xml:space="preserve">14/15 </v>
      </c>
      <c r="X47" s="235" t="str">
        <f t="shared" si="28"/>
        <v xml:space="preserve">15/16 </v>
      </c>
      <c r="Y47" s="235" t="str">
        <f t="shared" si="28"/>
        <v xml:space="preserve">16/17 </v>
      </c>
      <c r="Z47" s="235" t="str">
        <f t="shared" si="28"/>
        <v xml:space="preserve">17/18 </v>
      </c>
      <c r="AA47" s="235" t="str">
        <f t="shared" si="28"/>
        <v xml:space="preserve">18/19 </v>
      </c>
      <c r="AB47" s="235" t="str">
        <f t="shared" si="28"/>
        <v xml:space="preserve">19/20 </v>
      </c>
      <c r="AC47" s="235" t="str">
        <f t="shared" si="28"/>
        <v xml:space="preserve">20/21 </v>
      </c>
    </row>
    <row r="48" spans="1:31">
      <c r="A48" s="247" t="s">
        <v>37</v>
      </c>
      <c r="B48" s="264">
        <f t="shared" ref="B48:I59" si="29">(SUM(K48:O48)/SUM(K$60:O$60))*B$60</f>
        <v>0</v>
      </c>
      <c r="C48" s="264">
        <f t="shared" si="29"/>
        <v>0</v>
      </c>
      <c r="D48" s="264">
        <f t="shared" si="29"/>
        <v>3.6958661417322842</v>
      </c>
      <c r="E48" s="264">
        <f t="shared" si="29"/>
        <v>0.42978422355854262</v>
      </c>
      <c r="F48" s="264">
        <f t="shared" si="29"/>
        <v>0.4511278195488721</v>
      </c>
      <c r="G48" s="264">
        <f t="shared" si="29"/>
        <v>7.5863445797564377E-2</v>
      </c>
      <c r="H48" s="264">
        <f t="shared" si="29"/>
        <v>0.10343606092809068</v>
      </c>
      <c r="I48" s="264">
        <f t="shared" si="29"/>
        <v>6.2263865800211572E-2</v>
      </c>
      <c r="J48" s="264">
        <v>0.01</v>
      </c>
      <c r="K48" s="265">
        <v>0.01</v>
      </c>
      <c r="L48" s="265">
        <v>0</v>
      </c>
      <c r="M48" s="265">
        <v>0.72599999999999998</v>
      </c>
      <c r="N48" s="265">
        <v>3.0000000000000001E-3</v>
      </c>
      <c r="O48" s="265">
        <v>2E-3</v>
      </c>
      <c r="P48" s="265">
        <v>1.9E-2</v>
      </c>
      <c r="Q48" s="265">
        <v>1E-3</v>
      </c>
      <c r="R48" s="265">
        <v>5.6000000000000001E-2</v>
      </c>
      <c r="S48" s="265">
        <v>3.7999999999999999E-2</v>
      </c>
      <c r="T48" s="265">
        <v>7.5999999999999998E-2</v>
      </c>
      <c r="U48" s="265">
        <v>0.121</v>
      </c>
      <c r="V48" s="265">
        <v>0.121</v>
      </c>
      <c r="W48" s="265">
        <v>9.5000000000000001E-2</v>
      </c>
      <c r="X48" s="265">
        <v>0.114</v>
      </c>
      <c r="Y48" s="265">
        <v>1.9E-2</v>
      </c>
      <c r="Z48" s="265">
        <v>5.0000000000000001E-3</v>
      </c>
      <c r="AA48" s="266">
        <f t="shared" ref="AA48:AC49" si="30">(SUM(U48:Y48)/SUM(U$60:Y$60))*AA$60</f>
        <v>0.46063979927865778</v>
      </c>
      <c r="AB48" s="266">
        <f t="shared" si="30"/>
        <v>0.17185133403238964</v>
      </c>
      <c r="AC48" s="266">
        <f t="shared" si="30"/>
        <v>0.2311146575056835</v>
      </c>
      <c r="AE48" s="267"/>
    </row>
    <row r="49" spans="1:31">
      <c r="A49" s="247" t="s">
        <v>38</v>
      </c>
      <c r="B49" s="264">
        <f t="shared" si="29"/>
        <v>0</v>
      </c>
      <c r="C49" s="264">
        <f t="shared" si="29"/>
        <v>0</v>
      </c>
      <c r="D49" s="264">
        <f t="shared" si="29"/>
        <v>2.5541338582677171</v>
      </c>
      <c r="E49" s="264">
        <f t="shared" si="29"/>
        <v>0.27060488149982309</v>
      </c>
      <c r="F49" s="264">
        <f t="shared" si="29"/>
        <v>0.56390977443609014</v>
      </c>
      <c r="G49" s="264">
        <f t="shared" si="29"/>
        <v>9.8223198243162294E-2</v>
      </c>
      <c r="H49" s="264">
        <f t="shared" si="29"/>
        <v>0.12681544456252214</v>
      </c>
      <c r="I49" s="264">
        <f t="shared" si="29"/>
        <v>7.1180293184222448E-2</v>
      </c>
      <c r="J49" s="264">
        <v>0.01</v>
      </c>
      <c r="K49" s="265">
        <v>3.0000000000000001E-3</v>
      </c>
      <c r="L49" s="265">
        <v>7.0000000000000001E-3</v>
      </c>
      <c r="M49" s="265">
        <v>0.50600000000000001</v>
      </c>
      <c r="N49" s="265">
        <v>0</v>
      </c>
      <c r="O49" s="265">
        <v>1.0999999999999999E-2</v>
      </c>
      <c r="P49" s="265">
        <v>2E-3</v>
      </c>
      <c r="Q49" s="265">
        <v>0</v>
      </c>
      <c r="R49" s="265">
        <v>3.7999999999999999E-2</v>
      </c>
      <c r="S49" s="265">
        <v>9.4E-2</v>
      </c>
      <c r="T49" s="265">
        <v>0.112</v>
      </c>
      <c r="U49" s="265">
        <v>0.114</v>
      </c>
      <c r="V49" s="265">
        <v>0.113</v>
      </c>
      <c r="W49" s="265">
        <v>9.5000000000000001E-2</v>
      </c>
      <c r="X49" s="265">
        <v>0.13200000000000001</v>
      </c>
      <c r="Y49" s="265">
        <v>0.17499999999999999</v>
      </c>
      <c r="Z49" s="265">
        <v>8.1000000000000003E-2</v>
      </c>
      <c r="AA49" s="266">
        <f t="shared" si="30"/>
        <v>0.61647326328994834</v>
      </c>
      <c r="AB49" s="266">
        <f t="shared" si="30"/>
        <v>0.28933162452910793</v>
      </c>
      <c r="AC49" s="266">
        <f t="shared" si="30"/>
        <v>0.36633478492174953</v>
      </c>
      <c r="AE49" s="267"/>
    </row>
    <row r="50" spans="1:31">
      <c r="A50" s="247" t="s">
        <v>39</v>
      </c>
      <c r="B50" s="264">
        <f t="shared" si="29"/>
        <v>0</v>
      </c>
      <c r="C50" s="264">
        <f t="shared" si="29"/>
        <v>0</v>
      </c>
      <c r="D50" s="264">
        <f t="shared" si="29"/>
        <v>0.36417322834645671</v>
      </c>
      <c r="E50" s="264">
        <f t="shared" si="29"/>
        <v>1.3795542978422355</v>
      </c>
      <c r="F50" s="264">
        <f t="shared" si="29"/>
        <v>1.462276380606689</v>
      </c>
      <c r="G50" s="264">
        <f t="shared" si="29"/>
        <v>0.21441405470153718</v>
      </c>
      <c r="H50" s="264">
        <f t="shared" si="29"/>
        <v>0.25611052072263546</v>
      </c>
      <c r="I50" s="264">
        <f t="shared" si="29"/>
        <v>0.13268852954511107</v>
      </c>
      <c r="J50" s="264">
        <v>0.01</v>
      </c>
      <c r="K50" s="265">
        <v>1.4999999999999999E-2</v>
      </c>
      <c r="L50" s="265">
        <v>1.2999999999999999E-2</v>
      </c>
      <c r="M50" s="265">
        <v>1.4E-2</v>
      </c>
      <c r="N50" s="265">
        <v>3.4000000000000002E-2</v>
      </c>
      <c r="O50" s="265">
        <v>1.6E-2</v>
      </c>
      <c r="P50" s="265">
        <v>0.01</v>
      </c>
      <c r="Q50" s="265">
        <v>0</v>
      </c>
      <c r="R50" s="265">
        <v>0.2</v>
      </c>
      <c r="S50" s="265">
        <v>0.15</v>
      </c>
      <c r="T50" s="265">
        <v>0.17699999999999999</v>
      </c>
      <c r="U50" s="265">
        <v>0.19600000000000001</v>
      </c>
      <c r="V50" s="265">
        <v>0.155</v>
      </c>
      <c r="W50" s="265">
        <v>0.16</v>
      </c>
      <c r="X50" s="265">
        <v>0.20399999999999999</v>
      </c>
      <c r="Y50" s="265">
        <v>3.1E-2</v>
      </c>
      <c r="Z50" s="265">
        <v>1.7909999999999999</v>
      </c>
      <c r="AA50" s="266">
        <f t="shared" ref="AA50:AC58" si="31">(SUM(U50:Y50)/SUM(U$60:Y$60))*AA$60</f>
        <v>0.73114317076995472</v>
      </c>
      <c r="AB50" s="266">
        <f t="shared" si="31"/>
        <v>1.136451901044701</v>
      </c>
      <c r="AC50" s="266">
        <f t="shared" si="31"/>
        <v>0.97196635128010556</v>
      </c>
      <c r="AE50" s="267"/>
    </row>
    <row r="51" spans="1:31">
      <c r="A51" s="247" t="s">
        <v>40</v>
      </c>
      <c r="B51" s="264">
        <f t="shared" si="29"/>
        <v>0</v>
      </c>
      <c r="C51" s="264">
        <f t="shared" si="29"/>
        <v>0</v>
      </c>
      <c r="D51" s="264">
        <f t="shared" si="29"/>
        <v>8.8582677165354368E-2</v>
      </c>
      <c r="E51" s="264">
        <f t="shared" si="29"/>
        <v>0.14856738592147153</v>
      </c>
      <c r="F51" s="264">
        <f t="shared" si="29"/>
        <v>0.29556650246305416</v>
      </c>
      <c r="G51" s="264">
        <f t="shared" si="29"/>
        <v>5.3902974645637855E-2</v>
      </c>
      <c r="H51" s="264">
        <f t="shared" si="29"/>
        <v>7.3326248671625932E-2</v>
      </c>
      <c r="I51" s="264">
        <f t="shared" si="29"/>
        <v>3.717696841468944E-2</v>
      </c>
      <c r="J51" s="264">
        <v>1.2999999999999999E-2</v>
      </c>
      <c r="K51" s="265">
        <v>0.26800000000000002</v>
      </c>
      <c r="L51" s="265">
        <v>2.1000000000000001E-2</v>
      </c>
      <c r="M51" s="265">
        <v>8.9999999999999993E-3</v>
      </c>
      <c r="N51" s="265">
        <v>7.0000000000000001E-3</v>
      </c>
      <c r="O51" s="265">
        <v>2E-3</v>
      </c>
      <c r="P51" s="265">
        <v>0</v>
      </c>
      <c r="Q51" s="265">
        <v>0</v>
      </c>
      <c r="R51" s="265">
        <v>1.9E-2</v>
      </c>
      <c r="S51" s="265">
        <v>5.5E-2</v>
      </c>
      <c r="T51" s="265">
        <v>6.0999999999999999E-2</v>
      </c>
      <c r="U51" s="265">
        <v>7.1999999999999995E-2</v>
      </c>
      <c r="V51" s="265">
        <v>3.9E-2</v>
      </c>
      <c r="W51" s="265">
        <v>0.111</v>
      </c>
      <c r="X51" s="265">
        <v>0.18</v>
      </c>
      <c r="Y51" s="265">
        <v>4.3999999999999997E-2</v>
      </c>
      <c r="Z51" s="265">
        <v>3.2709999999999999</v>
      </c>
      <c r="AA51" s="266">
        <f t="shared" si="31"/>
        <v>0.43711776697506666</v>
      </c>
      <c r="AB51" s="266">
        <f t="shared" si="31"/>
        <v>1.7694861936385882</v>
      </c>
      <c r="AC51" s="266">
        <f t="shared" si="31"/>
        <v>1.3471311463692379</v>
      </c>
      <c r="AE51" s="267"/>
    </row>
    <row r="52" spans="1:31">
      <c r="A52" s="247" t="s">
        <v>30</v>
      </c>
      <c r="B52" s="264">
        <f t="shared" si="29"/>
        <v>0</v>
      </c>
      <c r="C52" s="264">
        <f t="shared" si="29"/>
        <v>0</v>
      </c>
      <c r="D52" s="264">
        <f t="shared" si="29"/>
        <v>8.3661417322834664E-2</v>
      </c>
      <c r="E52" s="264">
        <f t="shared" si="29"/>
        <v>0.37672444287230283</v>
      </c>
      <c r="F52" s="264">
        <f t="shared" si="29"/>
        <v>0.65335753176043554</v>
      </c>
      <c r="G52" s="264">
        <f t="shared" si="29"/>
        <v>0.10301457376721899</v>
      </c>
      <c r="H52" s="264">
        <f t="shared" si="29"/>
        <v>0.13177470775770458</v>
      </c>
      <c r="I52" s="264">
        <f t="shared" si="29"/>
        <v>7.072691552062868E-2</v>
      </c>
      <c r="J52" s="268">
        <v>8.9999999999999993E-3</v>
      </c>
      <c r="K52" s="265">
        <v>0.25700000000000001</v>
      </c>
      <c r="L52" s="265">
        <v>1.9E-2</v>
      </c>
      <c r="M52" s="265">
        <v>2E-3</v>
      </c>
      <c r="N52" s="265">
        <v>1E-3</v>
      </c>
      <c r="O52" s="265">
        <v>1.2E-2</v>
      </c>
      <c r="P52" s="265">
        <v>2E-3</v>
      </c>
      <c r="Q52" s="265">
        <v>0</v>
      </c>
      <c r="R52" s="265">
        <v>5.6000000000000001E-2</v>
      </c>
      <c r="S52" s="265">
        <v>9.8000000000000004E-2</v>
      </c>
      <c r="T52" s="265">
        <v>0.10199999999999999</v>
      </c>
      <c r="U52" s="265">
        <v>0.11600000000000001</v>
      </c>
      <c r="V52" s="265">
        <v>9.6000000000000002E-2</v>
      </c>
      <c r="W52" s="265">
        <v>0.12</v>
      </c>
      <c r="X52" s="265">
        <v>6.5000000000000002E-2</v>
      </c>
      <c r="Y52" s="265">
        <v>2.464</v>
      </c>
      <c r="Z52" s="265">
        <v>3.67</v>
      </c>
      <c r="AA52" s="266">
        <f t="shared" si="31"/>
        <v>2.8040222675239144</v>
      </c>
      <c r="AB52" s="266">
        <f t="shared" si="31"/>
        <v>3.114198609654744</v>
      </c>
      <c r="AC52" s="266">
        <f t="shared" si="31"/>
        <v>3.0397104793701071</v>
      </c>
      <c r="AE52" s="267"/>
    </row>
    <row r="53" spans="1:31">
      <c r="A53" s="247" t="s">
        <v>31</v>
      </c>
      <c r="B53" s="264">
        <f t="shared" si="29"/>
        <v>0</v>
      </c>
      <c r="C53" s="264">
        <f t="shared" si="29"/>
        <v>0</v>
      </c>
      <c r="D53" s="264">
        <f t="shared" si="29"/>
        <v>0.11318897637795278</v>
      </c>
      <c r="E53" s="264">
        <f t="shared" si="29"/>
        <v>0.59957552175451012</v>
      </c>
      <c r="F53" s="264">
        <f t="shared" si="29"/>
        <v>0.76225045372050815</v>
      </c>
      <c r="G53" s="264">
        <f t="shared" si="29"/>
        <v>0.11499301257736076</v>
      </c>
      <c r="H53" s="264">
        <f t="shared" si="29"/>
        <v>0.13496280552603612</v>
      </c>
      <c r="I53" s="264">
        <f t="shared" si="29"/>
        <v>8.3874867764848107E-2</v>
      </c>
      <c r="J53" s="268">
        <v>8.9999999999999993E-3</v>
      </c>
      <c r="K53" s="265">
        <v>0.35199999999999998</v>
      </c>
      <c r="L53" s="265">
        <v>1.2999999999999999E-2</v>
      </c>
      <c r="M53" s="265">
        <v>0.02</v>
      </c>
      <c r="N53" s="265">
        <v>0</v>
      </c>
      <c r="O53" s="265">
        <v>3.0000000000000001E-3</v>
      </c>
      <c r="P53" s="265">
        <v>0</v>
      </c>
      <c r="Q53" s="265">
        <v>0</v>
      </c>
      <c r="R53" s="265">
        <v>0.11</v>
      </c>
      <c r="S53" s="265">
        <v>8.3000000000000004E-2</v>
      </c>
      <c r="T53" s="265">
        <v>9.5000000000000001E-2</v>
      </c>
      <c r="U53" s="265">
        <v>9.2999999999999999E-2</v>
      </c>
      <c r="V53" s="265">
        <v>0.17399999999999999</v>
      </c>
      <c r="W53" s="265">
        <v>0.14000000000000001</v>
      </c>
      <c r="X53" s="265">
        <v>5.5E-2</v>
      </c>
      <c r="Y53" s="265">
        <v>7.5780000000000003</v>
      </c>
      <c r="Z53" s="265">
        <v>7.6520000000000001</v>
      </c>
      <c r="AA53" s="266">
        <f t="shared" si="31"/>
        <v>7.8798808217029972</v>
      </c>
      <c r="AB53" s="266">
        <f t="shared" si="31"/>
        <v>7.5726241795797904</v>
      </c>
      <c r="AC53" s="266">
        <f t="shared" si="31"/>
        <v>7.7649805488668164</v>
      </c>
      <c r="AE53" s="267"/>
    </row>
    <row r="54" spans="1:31">
      <c r="A54" s="247" t="s">
        <v>32</v>
      </c>
      <c r="B54" s="264">
        <f t="shared" si="29"/>
        <v>0</v>
      </c>
      <c r="C54" s="264">
        <f t="shared" si="29"/>
        <v>0</v>
      </c>
      <c r="D54" s="264">
        <f t="shared" si="29"/>
        <v>0.18208661417322841</v>
      </c>
      <c r="E54" s="264">
        <f t="shared" si="29"/>
        <v>0.79589671029359743</v>
      </c>
      <c r="F54" s="264">
        <f t="shared" si="29"/>
        <v>0.9722582317863625</v>
      </c>
      <c r="G54" s="264">
        <f t="shared" si="29"/>
        <v>0.16051108005589937</v>
      </c>
      <c r="H54" s="264">
        <f t="shared" si="29"/>
        <v>0.20191285866099895</v>
      </c>
      <c r="I54" s="264">
        <f t="shared" si="29"/>
        <v>0.10306785552365121</v>
      </c>
      <c r="J54" s="268">
        <v>8.0000000000000002E-3</v>
      </c>
      <c r="K54" s="265">
        <v>0.35899999999999999</v>
      </c>
      <c r="L54" s="265">
        <v>2.4E-2</v>
      </c>
      <c r="M54" s="265">
        <v>0.02</v>
      </c>
      <c r="N54" s="265">
        <v>1.2999999999999999E-2</v>
      </c>
      <c r="O54" s="265">
        <v>1E-3</v>
      </c>
      <c r="P54" s="265">
        <v>3.0000000000000001E-3</v>
      </c>
      <c r="Q54" s="265">
        <v>0</v>
      </c>
      <c r="R54" s="265">
        <v>0.13300000000000001</v>
      </c>
      <c r="S54" s="265">
        <v>0.113</v>
      </c>
      <c r="T54" s="265">
        <v>0.153</v>
      </c>
      <c r="U54" s="265">
        <v>0.17100000000000001</v>
      </c>
      <c r="V54" s="265">
        <v>0.112</v>
      </c>
      <c r="W54" s="265">
        <v>0.114</v>
      </c>
      <c r="X54" s="265">
        <v>5.5E-2</v>
      </c>
      <c r="Y54" s="265">
        <v>7.5810000000000004</v>
      </c>
      <c r="Z54" s="266">
        <f>(SUM(T54:X54)/SUM(T$60:X$60))*Z$60-0.3</f>
        <v>2.0846208972337688</v>
      </c>
      <c r="AA54" s="266">
        <f t="shared" si="31"/>
        <v>7.8730202289477846</v>
      </c>
      <c r="AB54" s="266">
        <f t="shared" si="31"/>
        <v>4.8286442663956706</v>
      </c>
      <c r="AC54" s="266">
        <f t="shared" si="31"/>
        <v>5.9000296960568663</v>
      </c>
      <c r="AE54" s="267"/>
    </row>
    <row r="55" spans="1:31">
      <c r="A55" s="247" t="s">
        <v>33</v>
      </c>
      <c r="B55" s="264">
        <f t="shared" si="29"/>
        <v>0</v>
      </c>
      <c r="C55" s="264">
        <f t="shared" si="29"/>
        <v>0</v>
      </c>
      <c r="D55" s="264">
        <f t="shared" si="29"/>
        <v>0.49212598425196863</v>
      </c>
      <c r="E55" s="264">
        <f t="shared" si="29"/>
        <v>0.90201627166607701</v>
      </c>
      <c r="F55" s="264">
        <f t="shared" si="29"/>
        <v>0.96448016593207142</v>
      </c>
      <c r="G55" s="264">
        <f t="shared" si="29"/>
        <v>0.16490317428628468</v>
      </c>
      <c r="H55" s="264">
        <f t="shared" si="29"/>
        <v>0.17357421183138508</v>
      </c>
      <c r="I55" s="264">
        <f t="shared" si="29"/>
        <v>7.8132084025993656E-2</v>
      </c>
      <c r="J55" s="268">
        <v>2E-3</v>
      </c>
      <c r="K55" s="265">
        <v>3.0000000000000001E-3</v>
      </c>
      <c r="L55" s="265">
        <v>2E-3</v>
      </c>
      <c r="M55" s="265">
        <v>5.0000000000000001E-3</v>
      </c>
      <c r="N55" s="265">
        <v>0</v>
      </c>
      <c r="O55" s="265">
        <v>0</v>
      </c>
      <c r="P55" s="265">
        <v>1E-3</v>
      </c>
      <c r="Q55" s="265">
        <v>9.4E-2</v>
      </c>
      <c r="R55" s="265">
        <v>7.4999999999999997E-2</v>
      </c>
      <c r="S55" s="265">
        <v>7.8E-2</v>
      </c>
      <c r="T55" s="265">
        <v>0.16500000000000001</v>
      </c>
      <c r="U55" s="265">
        <v>7.8E-2</v>
      </c>
      <c r="V55" s="265">
        <v>0.121</v>
      </c>
      <c r="W55" s="265">
        <v>0.15</v>
      </c>
      <c r="X55" s="265">
        <v>7.0000000000000007E-2</v>
      </c>
      <c r="Y55" s="265">
        <v>1.9650000000000001</v>
      </c>
      <c r="Z55" s="266">
        <f>(SUM(T55:X55)/SUM(T$60:X$60))*Z$60-1</f>
        <v>1.3018489322058193</v>
      </c>
      <c r="AA55" s="266">
        <f t="shared" si="31"/>
        <v>2.3365218754900425</v>
      </c>
      <c r="AB55" s="266">
        <f t="shared" si="31"/>
        <v>1.7514509943132837</v>
      </c>
      <c r="AC55" s="266">
        <f t="shared" si="31"/>
        <v>1.9402957430482533</v>
      </c>
      <c r="AE55" s="267"/>
    </row>
    <row r="56" spans="1:31">
      <c r="A56" s="247" t="s">
        <v>14</v>
      </c>
      <c r="B56" s="264">
        <f t="shared" si="29"/>
        <v>0</v>
      </c>
      <c r="C56" s="264">
        <f t="shared" si="29"/>
        <v>0</v>
      </c>
      <c r="D56" s="264">
        <f t="shared" si="29"/>
        <v>6.1368110236220481</v>
      </c>
      <c r="E56" s="264">
        <f t="shared" si="29"/>
        <v>1.7934205871949063</v>
      </c>
      <c r="F56" s="264">
        <f t="shared" si="29"/>
        <v>1.7578428830697432</v>
      </c>
      <c r="G56" s="264">
        <f t="shared" si="29"/>
        <v>0.14533839089638648</v>
      </c>
      <c r="H56" s="264">
        <f t="shared" si="29"/>
        <v>0.16861494863620261</v>
      </c>
      <c r="I56" s="264">
        <f t="shared" si="29"/>
        <v>7.9189965241045795E-2</v>
      </c>
      <c r="J56" s="268">
        <v>1.0999999999999999E-2</v>
      </c>
      <c r="K56" s="265">
        <v>6.0000000000000001E-3</v>
      </c>
      <c r="L56" s="265">
        <v>2E-3</v>
      </c>
      <c r="M56" s="265">
        <v>0.98399999999999999</v>
      </c>
      <c r="N56" s="265">
        <v>0</v>
      </c>
      <c r="O56" s="265">
        <v>0.19500000000000001</v>
      </c>
      <c r="P56" s="265">
        <v>0</v>
      </c>
      <c r="Q56" s="265">
        <v>6.8000000000000005E-2</v>
      </c>
      <c r="R56" s="265">
        <v>7.4999999999999997E-2</v>
      </c>
      <c r="S56" s="265">
        <v>0.114</v>
      </c>
      <c r="T56" s="265">
        <v>0.107</v>
      </c>
      <c r="U56" s="265">
        <v>0.112</v>
      </c>
      <c r="V56" s="265">
        <v>0.11600000000000001</v>
      </c>
      <c r="W56" s="265">
        <v>0.16500000000000001</v>
      </c>
      <c r="X56" s="265">
        <v>5.8999999999999997E-2</v>
      </c>
      <c r="Y56" s="265">
        <v>6.4000000000000001E-2</v>
      </c>
      <c r="Z56" s="266">
        <f>(SUM(T56:X56)/SUM(T$60:X$60))*Z$60-0.2</f>
        <v>2.0033108786011176</v>
      </c>
      <c r="AA56" s="266">
        <f t="shared" si="31"/>
        <v>0.50572369452720722</v>
      </c>
      <c r="AB56" s="266">
        <f t="shared" si="31"/>
        <v>1.1686428980742543</v>
      </c>
      <c r="AC56" s="266">
        <f t="shared" si="31"/>
        <v>0.93194722689263398</v>
      </c>
      <c r="AE56" s="267"/>
    </row>
    <row r="57" spans="1:31">
      <c r="A57" s="247" t="s">
        <v>34</v>
      </c>
      <c r="B57" s="264">
        <f t="shared" si="29"/>
        <v>0</v>
      </c>
      <c r="C57" s="264">
        <f t="shared" si="29"/>
        <v>0</v>
      </c>
      <c r="D57" s="264">
        <f t="shared" si="29"/>
        <v>3.0708661417322842</v>
      </c>
      <c r="E57" s="264">
        <f t="shared" si="29"/>
        <v>3.7884683409975235</v>
      </c>
      <c r="F57" s="264">
        <f t="shared" si="29"/>
        <v>3.1540057039149594</v>
      </c>
      <c r="G57" s="264">
        <f t="shared" si="29"/>
        <v>0.38131363545617886</v>
      </c>
      <c r="H57" s="264">
        <f t="shared" si="29"/>
        <v>0.20191285866099895</v>
      </c>
      <c r="I57" s="264">
        <f t="shared" si="29"/>
        <v>8.9466525615837983E-2</v>
      </c>
      <c r="J57" s="268">
        <v>7.0000000000000001E-3</v>
      </c>
      <c r="K57" s="265">
        <v>2.4E-2</v>
      </c>
      <c r="L57" s="265">
        <v>0.02</v>
      </c>
      <c r="M57" s="265">
        <v>4.0000000000000001E-3</v>
      </c>
      <c r="N57" s="265">
        <v>0</v>
      </c>
      <c r="O57" s="265">
        <v>1E-3</v>
      </c>
      <c r="P57" s="265">
        <v>0.52900000000000003</v>
      </c>
      <c r="Q57" s="265">
        <v>0.09</v>
      </c>
      <c r="R57" s="265">
        <v>9.4E-2</v>
      </c>
      <c r="S57" s="265">
        <v>9.7000000000000003E-2</v>
      </c>
      <c r="T57" s="265">
        <v>0.14499999999999999</v>
      </c>
      <c r="U57" s="265">
        <v>0.14399999999999999</v>
      </c>
      <c r="V57" s="265">
        <v>0.112</v>
      </c>
      <c r="W57" s="265">
        <v>0.155</v>
      </c>
      <c r="X57" s="265">
        <v>2.1000000000000001E-2</v>
      </c>
      <c r="Y57" s="265">
        <v>2.8000000000000001E-2</v>
      </c>
      <c r="Z57" s="266">
        <f>(SUM(T57:X57)/SUM(T$60:X$60))*Z$60-0.2</f>
        <v>2.0742582771965026</v>
      </c>
      <c r="AA57" s="266">
        <f t="shared" si="31"/>
        <v>0.45083895248549494</v>
      </c>
      <c r="AB57" s="266">
        <f t="shared" si="31"/>
        <v>1.1603646147406221</v>
      </c>
      <c r="AC57" s="266">
        <f t="shared" si="31"/>
        <v>0.90931110382303482</v>
      </c>
      <c r="AE57" s="267"/>
    </row>
    <row r="58" spans="1:31">
      <c r="A58" s="247" t="s">
        <v>35</v>
      </c>
      <c r="B58" s="264">
        <f t="shared" si="29"/>
        <v>0</v>
      </c>
      <c r="C58" s="264">
        <f t="shared" si="29"/>
        <v>0</v>
      </c>
      <c r="D58" s="264">
        <f t="shared" si="29"/>
        <v>2.1555118110236222</v>
      </c>
      <c r="E58" s="264">
        <f t="shared" si="29"/>
        <v>2.7007428369296074</v>
      </c>
      <c r="F58" s="264">
        <f t="shared" si="29"/>
        <v>2.4112004148301787</v>
      </c>
      <c r="G58" s="264">
        <f t="shared" si="29"/>
        <v>0.29866240766620084</v>
      </c>
      <c r="H58" s="264">
        <f t="shared" si="29"/>
        <v>0.21006021962451293</v>
      </c>
      <c r="I58" s="264">
        <f t="shared" si="29"/>
        <v>9.4302554027504912E-2</v>
      </c>
      <c r="J58" s="268">
        <v>0</v>
      </c>
      <c r="K58" s="265">
        <v>3.0000000000000001E-3</v>
      </c>
      <c r="L58" s="265">
        <v>0.01</v>
      </c>
      <c r="M58" s="265">
        <v>1.7999999999999999E-2</v>
      </c>
      <c r="N58" s="265">
        <v>3.0000000000000001E-3</v>
      </c>
      <c r="O58" s="265">
        <v>3.0000000000000001E-3</v>
      </c>
      <c r="P58" s="265">
        <v>0.307</v>
      </c>
      <c r="Q58" s="265">
        <v>0.107</v>
      </c>
      <c r="R58" s="265">
        <v>8.8999999999999996E-2</v>
      </c>
      <c r="S58" s="265">
        <v>0.114</v>
      </c>
      <c r="T58" s="265">
        <v>0.13100000000000001</v>
      </c>
      <c r="U58" s="265">
        <v>0.152</v>
      </c>
      <c r="V58" s="265">
        <v>0.13800000000000001</v>
      </c>
      <c r="W58" s="265">
        <v>0.13900000000000001</v>
      </c>
      <c r="X58" s="265">
        <v>0</v>
      </c>
      <c r="Y58" s="265">
        <v>0</v>
      </c>
      <c r="Z58" s="266">
        <f>(SUM(T58:X58)/SUM(T$60:X$60))*Z$60-0.3</f>
        <v>1.9072524007453062</v>
      </c>
      <c r="AA58" s="266">
        <f t="shared" si="31"/>
        <v>0.42045632742668981</v>
      </c>
      <c r="AB58" s="266">
        <f t="shared" si="31"/>
        <v>1.0603578783376568</v>
      </c>
      <c r="AC58" s="266">
        <f t="shared" si="31"/>
        <v>0.82188557154680553</v>
      </c>
      <c r="AE58" s="267"/>
    </row>
    <row r="59" spans="1:31">
      <c r="A59" s="247" t="s">
        <v>36</v>
      </c>
      <c r="B59" s="264">
        <f t="shared" si="29"/>
        <v>0</v>
      </c>
      <c r="C59" s="264">
        <f t="shared" si="29"/>
        <v>0</v>
      </c>
      <c r="D59" s="264">
        <f t="shared" si="29"/>
        <v>1.0629921259842523</v>
      </c>
      <c r="E59" s="264">
        <f t="shared" si="29"/>
        <v>1.8146444994694022</v>
      </c>
      <c r="F59" s="264">
        <f t="shared" si="29"/>
        <v>1.5517241379310345</v>
      </c>
      <c r="G59" s="264">
        <f t="shared" si="29"/>
        <v>0.18886005190656815</v>
      </c>
      <c r="H59" s="264">
        <f t="shared" si="29"/>
        <v>0.21749911441728659</v>
      </c>
      <c r="I59" s="264">
        <f t="shared" si="29"/>
        <v>9.7929575336255098E-2</v>
      </c>
      <c r="J59" s="268">
        <v>8.0000000000000002E-3</v>
      </c>
      <c r="K59" s="265">
        <v>4.0000000000000001E-3</v>
      </c>
      <c r="L59" s="265">
        <v>0</v>
      </c>
      <c r="M59" s="265">
        <v>5.0000000000000001E-3</v>
      </c>
      <c r="N59" s="265">
        <v>5.6000000000000001E-2</v>
      </c>
      <c r="O59" s="265">
        <v>0.02</v>
      </c>
      <c r="P59" s="265">
        <v>0</v>
      </c>
      <c r="Q59" s="265">
        <v>0.13500000000000001</v>
      </c>
      <c r="R59" s="265">
        <v>0.13100000000000001</v>
      </c>
      <c r="S59" s="265">
        <v>0.113</v>
      </c>
      <c r="T59" s="265">
        <v>9.4E-2</v>
      </c>
      <c r="U59" s="265">
        <v>0.14099999999999999</v>
      </c>
      <c r="V59" s="265">
        <v>0.16900000000000001</v>
      </c>
      <c r="W59" s="265">
        <v>0.16700000000000001</v>
      </c>
      <c r="X59" s="265">
        <v>1.7000000000000001E-2</v>
      </c>
      <c r="Y59" s="265">
        <v>0</v>
      </c>
      <c r="Z59" s="266">
        <f>Z60-SUM(Z48:Z58)</f>
        <v>1.6587086140174883</v>
      </c>
      <c r="AA59" s="266">
        <f>AA60-SUM(AA48:AA58)</f>
        <v>0.48416183158224158</v>
      </c>
      <c r="AB59" s="266">
        <f>AB60-SUM(AB48:AB58)</f>
        <v>0.97659550565919062</v>
      </c>
      <c r="AC59" s="266">
        <f>AC60-SUM(AC48:AC58)</f>
        <v>0.77529269031870385</v>
      </c>
      <c r="AE59" s="267"/>
    </row>
    <row r="60" spans="1:31" ht="15.75" thickBot="1">
      <c r="A60" s="247" t="s">
        <v>138</v>
      </c>
      <c r="B60" s="269">
        <f t="shared" ref="B60:I60" si="32">B10</f>
        <v>0</v>
      </c>
      <c r="C60" s="269">
        <f t="shared" si="32"/>
        <v>0</v>
      </c>
      <c r="D60" s="269">
        <f t="shared" si="32"/>
        <v>20</v>
      </c>
      <c r="E60" s="269">
        <f t="shared" si="32"/>
        <v>15</v>
      </c>
      <c r="F60" s="269">
        <f t="shared" si="32"/>
        <v>15</v>
      </c>
      <c r="G60" s="269">
        <f t="shared" si="32"/>
        <v>2</v>
      </c>
      <c r="H60" s="269">
        <f t="shared" si="32"/>
        <v>2</v>
      </c>
      <c r="I60" s="269">
        <f t="shared" si="32"/>
        <v>1</v>
      </c>
      <c r="J60" s="269">
        <f>SUM(J48:J59)</f>
        <v>9.7000000000000003E-2</v>
      </c>
      <c r="K60" s="269">
        <f>SUM(K48:K59)</f>
        <v>1.3039999999999998</v>
      </c>
      <c r="L60" s="269">
        <f t="shared" ref="L60:Y60" si="33">SUM(L48:L59)</f>
        <v>0.13100000000000001</v>
      </c>
      <c r="M60" s="269">
        <f t="shared" si="33"/>
        <v>2.3129999999999993</v>
      </c>
      <c r="N60" s="269">
        <f t="shared" si="33"/>
        <v>0.11700000000000001</v>
      </c>
      <c r="O60" s="269">
        <f t="shared" si="33"/>
        <v>0.26600000000000001</v>
      </c>
      <c r="P60" s="269">
        <f t="shared" si="33"/>
        <v>0.873</v>
      </c>
      <c r="Q60" s="269">
        <f t="shared" si="33"/>
        <v>0.495</v>
      </c>
      <c r="R60" s="269">
        <f t="shared" si="33"/>
        <v>1.0760000000000001</v>
      </c>
      <c r="S60" s="269">
        <f t="shared" si="33"/>
        <v>1.147</v>
      </c>
      <c r="T60" s="269">
        <f t="shared" si="33"/>
        <v>1.4180000000000001</v>
      </c>
      <c r="U60" s="269">
        <f t="shared" si="33"/>
        <v>1.5099999999999998</v>
      </c>
      <c r="V60" s="269">
        <f t="shared" si="33"/>
        <v>1.4660000000000002</v>
      </c>
      <c r="W60" s="269">
        <f t="shared" si="33"/>
        <v>1.611</v>
      </c>
      <c r="X60" s="269">
        <f t="shared" si="33"/>
        <v>0.97199999999999998</v>
      </c>
      <c r="Y60" s="269">
        <f t="shared" si="33"/>
        <v>19.948999999999998</v>
      </c>
      <c r="Z60" s="270">
        <f>Z10</f>
        <v>27.5</v>
      </c>
      <c r="AA60" s="270">
        <f>AA10</f>
        <v>25</v>
      </c>
      <c r="AB60" s="270">
        <f>AB10</f>
        <v>25</v>
      </c>
      <c r="AC60" s="270">
        <f>AC10</f>
        <v>25</v>
      </c>
    </row>
    <row r="61" spans="1:31">
      <c r="A61" s="271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/>
    </row>
    <row r="62" spans="1:31" ht="15.75" thickBot="1">
      <c r="A62" s="247" t="s">
        <v>388</v>
      </c>
      <c r="J62" s="272"/>
    </row>
    <row r="63" spans="1:31" ht="15.75" thickBot="1">
      <c r="A63" s="263"/>
      <c r="B63" s="235" t="str">
        <f>B$2</f>
        <v xml:space="preserve">93/94 </v>
      </c>
      <c r="C63" s="235" t="str">
        <f t="shared" ref="C63:AC63" si="34">C$2</f>
        <v xml:space="preserve">94/95 </v>
      </c>
      <c r="D63" s="235" t="str">
        <f t="shared" si="34"/>
        <v xml:space="preserve">95/96 </v>
      </c>
      <c r="E63" s="235" t="str">
        <f t="shared" si="34"/>
        <v xml:space="preserve">96/97 </v>
      </c>
      <c r="F63" s="235" t="str">
        <f t="shared" si="34"/>
        <v xml:space="preserve">97/98 </v>
      </c>
      <c r="G63" s="235" t="str">
        <f t="shared" si="34"/>
        <v xml:space="preserve">98/99 </v>
      </c>
      <c r="H63" s="235" t="str">
        <f t="shared" si="34"/>
        <v xml:space="preserve">99/00 </v>
      </c>
      <c r="I63" s="235" t="str">
        <f t="shared" si="34"/>
        <v xml:space="preserve">00/01 </v>
      </c>
      <c r="J63" s="235" t="str">
        <f t="shared" si="34"/>
        <v xml:space="preserve">01/02 </v>
      </c>
      <c r="K63" s="235" t="str">
        <f t="shared" si="34"/>
        <v xml:space="preserve">02/03 </v>
      </c>
      <c r="L63" s="235" t="str">
        <f t="shared" si="34"/>
        <v xml:space="preserve">03/04 </v>
      </c>
      <c r="M63" s="235" t="str">
        <f t="shared" si="34"/>
        <v xml:space="preserve">04/05 </v>
      </c>
      <c r="N63" s="235" t="str">
        <f t="shared" si="34"/>
        <v xml:space="preserve">05/06 </v>
      </c>
      <c r="O63" s="235" t="str">
        <f t="shared" si="34"/>
        <v xml:space="preserve">06/07 </v>
      </c>
      <c r="P63" s="235" t="str">
        <f t="shared" si="34"/>
        <v xml:space="preserve">07/08 </v>
      </c>
      <c r="Q63" s="235" t="str">
        <f t="shared" si="34"/>
        <v xml:space="preserve">08/09 </v>
      </c>
      <c r="R63" s="235" t="str">
        <f t="shared" si="34"/>
        <v xml:space="preserve">09/10 </v>
      </c>
      <c r="S63" s="235" t="str">
        <f t="shared" si="34"/>
        <v xml:space="preserve">10/11 </v>
      </c>
      <c r="T63" s="235" t="str">
        <f t="shared" si="34"/>
        <v xml:space="preserve">11/12 </v>
      </c>
      <c r="U63" s="235" t="str">
        <f t="shared" si="34"/>
        <v xml:space="preserve">12/13 </v>
      </c>
      <c r="V63" s="235" t="str">
        <f t="shared" si="34"/>
        <v xml:space="preserve">13/14 </v>
      </c>
      <c r="W63" s="235" t="str">
        <f t="shared" si="34"/>
        <v xml:space="preserve">14/15 </v>
      </c>
      <c r="X63" s="235" t="str">
        <f t="shared" si="34"/>
        <v xml:space="preserve">15/16 </v>
      </c>
      <c r="Y63" s="235" t="str">
        <f t="shared" si="34"/>
        <v xml:space="preserve">16/17 </v>
      </c>
      <c r="Z63" s="235" t="str">
        <f t="shared" si="34"/>
        <v xml:space="preserve">17/18 </v>
      </c>
      <c r="AA63" s="235" t="str">
        <f t="shared" si="34"/>
        <v xml:space="preserve">18/19 </v>
      </c>
      <c r="AB63" s="235" t="str">
        <f t="shared" si="34"/>
        <v xml:space="preserve">19/20 </v>
      </c>
      <c r="AC63" s="235" t="str">
        <f t="shared" si="34"/>
        <v xml:space="preserve">20/21 </v>
      </c>
    </row>
    <row r="64" spans="1:31">
      <c r="A64" s="247" t="s">
        <v>37</v>
      </c>
      <c r="B64" s="264">
        <f>(SUM(K64:O64)/SUM(K$76:O$76))*B$76</f>
        <v>24.508856695031415</v>
      </c>
      <c r="C64" s="245">
        <f>'[4]Ukraine Sunflower Exports'!AM$290</f>
        <v>0</v>
      </c>
      <c r="D64" s="245">
        <f>'[4]Ukraine Sunflower Exports'!AY$290</f>
        <v>0.7</v>
      </c>
      <c r="E64" s="245">
        <f>'[4]Ukraine Sunflower Exports'!BK$290</f>
        <v>51.1</v>
      </c>
      <c r="F64" s="245">
        <f>'[4]Ukraine Sunflower Exports'!BW$290</f>
        <v>61.9</v>
      </c>
      <c r="G64" s="245">
        <f>'[4]Ukraine Sunflower Exports'!CI$290</f>
        <v>16</v>
      </c>
      <c r="H64" s="245">
        <f>'[4]Ukraine Sunflower Exports'!CU$290</f>
        <v>25</v>
      </c>
      <c r="I64" s="245">
        <f>'[4]Ukraine Sunflower Exports'!DG$290</f>
        <v>51</v>
      </c>
      <c r="J64" s="245">
        <f>'[4]Ukraine Sunflower Exports'!DS$290</f>
        <v>86.6</v>
      </c>
      <c r="K64" s="245">
        <f>'[4]Ukraine Sunflower Exports'!EE$290</f>
        <v>0.46232300000000004</v>
      </c>
      <c r="L64" s="245">
        <f>'[4]Ukraine Sunflower Exports'!EQ$290</f>
        <v>60.591000000000001</v>
      </c>
      <c r="M64" s="245">
        <f>'[4]Ukraine Sunflower Exports'!FC$290</f>
        <v>61.122999999999998</v>
      </c>
      <c r="N64" s="245">
        <f>'[4]Ukraine Sunflower Exports'!FO$290</f>
        <v>4.4649999999999999</v>
      </c>
      <c r="O64" s="245">
        <f>'[4]Ukraine Sunflower Exports'!GA$290</f>
        <v>36.869</v>
      </c>
      <c r="P64" s="245">
        <f>'[4]Ukraine Sunflower Exports'!GM$290</f>
        <v>75.715999999999994</v>
      </c>
      <c r="Q64" s="245">
        <f>'[4]Ukraine Sunflower Exports'!GY$290</f>
        <v>0.114</v>
      </c>
      <c r="R64" s="245">
        <f>'[4]Ukraine Sunflower Exports'!HK$290</f>
        <v>75.781999999999996</v>
      </c>
      <c r="S64" s="245">
        <f>'[4]Ukraine Sunflower Exports'!HW$290</f>
        <v>74.528000000000006</v>
      </c>
      <c r="T64" s="245">
        <f>'[4]Ukraine Sunflower Exports'!II$290</f>
        <v>68.831000000000003</v>
      </c>
      <c r="U64" s="245">
        <f>'[4]Ukraine Sunflower Exports'!IU$290</f>
        <v>34.045999999999999</v>
      </c>
      <c r="V64" s="245">
        <f>'[4]Ukraine Sunflower Exports'!JG$290</f>
        <v>3.9510000000000001</v>
      </c>
      <c r="W64" s="245">
        <f>'[4]Ukraine Sunflower Exports'!JS$290</f>
        <v>24.024000000000001</v>
      </c>
      <c r="X64" s="245">
        <f>'[4]Ukraine Sunflower Exports'!KE$290</f>
        <v>20.120999999999999</v>
      </c>
      <c r="Y64" s="245">
        <f>'[4]Ukraine Sunflower Exports'!KQ$290</f>
        <v>11.755000000000001</v>
      </c>
      <c r="Z64" s="245">
        <f>'[4]Ukraine Sunflower Exports'!LC$290</f>
        <v>7.6749999999999998</v>
      </c>
      <c r="AA64" s="273">
        <f t="shared" ref="AA64:AC74" si="35">(SUM(U64:Y64)/SUM(U$76:Y$76))*AA$76</f>
        <v>11.642933666636907</v>
      </c>
      <c r="AB64" s="273">
        <f t="shared" si="35"/>
        <v>11.924180815170432</v>
      </c>
      <c r="AC64" s="273">
        <f t="shared" si="35"/>
        <v>12.060134564565697</v>
      </c>
    </row>
    <row r="65" spans="1:31">
      <c r="A65" s="247" t="s">
        <v>38</v>
      </c>
      <c r="B65" s="264">
        <f t="shared" ref="B65:B74" si="36">(SUM(K65:O65)/SUM(K$76:O$76))*B$76</f>
        <v>17.426315488025498</v>
      </c>
      <c r="C65" s="245">
        <f>'[4]Ukraine Sunflower Exports'!AN$290</f>
        <v>0</v>
      </c>
      <c r="D65" s="245">
        <f>'[4]Ukraine Sunflower Exports'!AZ$290</f>
        <v>0.1</v>
      </c>
      <c r="E65" s="245">
        <f>'[4]Ukraine Sunflower Exports'!BL$290</f>
        <v>55.1</v>
      </c>
      <c r="F65" s="245">
        <f>'[4]Ukraine Sunflower Exports'!BX$290</f>
        <v>36.9</v>
      </c>
      <c r="G65" s="245">
        <f>'[4]Ukraine Sunflower Exports'!CJ$290</f>
        <v>11.9</v>
      </c>
      <c r="H65" s="245">
        <f>'[4]Ukraine Sunflower Exports'!CV$290</f>
        <v>8</v>
      </c>
      <c r="I65" s="245">
        <f>'[4]Ukraine Sunflower Exports'!DH$290</f>
        <v>31.550260999999999</v>
      </c>
      <c r="J65" s="245">
        <f>'[4]Ukraine Sunflower Exports'!DT$290</f>
        <v>24.6</v>
      </c>
      <c r="K65" s="245">
        <f>'[4]Ukraine Sunflower Exports'!EF$290</f>
        <v>0.28329799999999999</v>
      </c>
      <c r="L65" s="245">
        <f>'[4]Ukraine Sunflower Exports'!ER$290</f>
        <v>66.38</v>
      </c>
      <c r="M65" s="245">
        <f>'[4]Ukraine Sunflower Exports'!FD$290</f>
        <v>20.795999999999999</v>
      </c>
      <c r="N65" s="245">
        <f>'[4]Ukraine Sunflower Exports'!FP$290</f>
        <v>0.313</v>
      </c>
      <c r="O65" s="245">
        <f>'[4]Ukraine Sunflower Exports'!GB$290</f>
        <v>28.486999999999998</v>
      </c>
      <c r="P65" s="245">
        <f>'[4]Ukraine Sunflower Exports'!GN$290</f>
        <v>23.515000000000001</v>
      </c>
      <c r="Q65" s="245">
        <f>'[4]Ukraine Sunflower Exports'!GZ$290</f>
        <v>0.12</v>
      </c>
      <c r="R65" s="245">
        <f>'[4]Ukraine Sunflower Exports'!HL$290</f>
        <v>45.962000000000003</v>
      </c>
      <c r="S65" s="245">
        <f>'[4]Ukraine Sunflower Exports'!HX$290</f>
        <v>87.253</v>
      </c>
      <c r="T65" s="245">
        <f>'[4]Ukraine Sunflower Exports'!IJ$290</f>
        <v>13.983000000000001</v>
      </c>
      <c r="U65" s="245">
        <f>'[4]Ukraine Sunflower Exports'!IV$290</f>
        <v>45.360999999999997</v>
      </c>
      <c r="V65" s="245">
        <f>'[4]Ukraine Sunflower Exports'!JH$290</f>
        <v>5.0279999999999996</v>
      </c>
      <c r="W65" s="245">
        <f>'[4]Ukraine Sunflower Exports'!JT$290</f>
        <v>12.747</v>
      </c>
      <c r="X65" s="245">
        <f>'[4]Ukraine Sunflower Exports'!KF$290</f>
        <v>0.51200000000000001</v>
      </c>
      <c r="Y65" s="245">
        <f>'[4]Ukraine Sunflower Exports'!KR$290</f>
        <v>28.327000000000002</v>
      </c>
      <c r="Z65" s="245">
        <f>'[4]Ukraine Sunflower Exports'!LD$290</f>
        <v>5.6719999999999997</v>
      </c>
      <c r="AA65" s="273">
        <f t="shared" si="35"/>
        <v>11.404611691416441</v>
      </c>
      <c r="AB65" s="273">
        <f t="shared" si="35"/>
        <v>9.2330023709682347</v>
      </c>
      <c r="AC65" s="273">
        <f t="shared" si="35"/>
        <v>9.4057222316537956</v>
      </c>
    </row>
    <row r="66" spans="1:31">
      <c r="A66" s="247" t="s">
        <v>39</v>
      </c>
      <c r="B66" s="264">
        <f t="shared" si="36"/>
        <v>8.0228307575833941</v>
      </c>
      <c r="C66" s="245">
        <f>'[4]Ukraine Sunflower Exports'!AO$290</f>
        <v>0</v>
      </c>
      <c r="D66" s="245">
        <f>'[4]Ukraine Sunflower Exports'!BA$290</f>
        <v>1.9</v>
      </c>
      <c r="E66" s="245">
        <f>'[4]Ukraine Sunflower Exports'!BM$290</f>
        <v>50.6</v>
      </c>
      <c r="F66" s="245">
        <f>'[4]Ukraine Sunflower Exports'!BY$290</f>
        <v>23.5</v>
      </c>
      <c r="G66" s="245">
        <f>'[4]Ukraine Sunflower Exports'!CK$290</f>
        <v>0.4</v>
      </c>
      <c r="H66" s="245">
        <f>'[4]Ukraine Sunflower Exports'!CW$290</f>
        <v>10</v>
      </c>
      <c r="I66" s="245">
        <f>'[4]Ukraine Sunflower Exports'!DI$290</f>
        <v>61.7</v>
      </c>
      <c r="J66" s="245">
        <f>'[4]Ukraine Sunflower Exports'!DU$290</f>
        <v>29.3</v>
      </c>
      <c r="K66" s="245">
        <f>'[4]Ukraine Sunflower Exports'!EG$290</f>
        <v>0.300147</v>
      </c>
      <c r="L66" s="245">
        <f>'[4]Ukraine Sunflower Exports'!ES$290</f>
        <v>20.23</v>
      </c>
      <c r="M66" s="245">
        <f>'[4]Ukraine Sunflower Exports'!FE$290</f>
        <v>25.260999999999999</v>
      </c>
      <c r="N66" s="245">
        <f>'[4]Ukraine Sunflower Exports'!FQ$290</f>
        <v>0.63</v>
      </c>
      <c r="O66" s="245">
        <f>'[4]Ukraine Sunflower Exports'!GC$290</f>
        <v>7.1029999999999998</v>
      </c>
      <c r="P66" s="245">
        <f>'[4]Ukraine Sunflower Exports'!GO$290</f>
        <v>13.916</v>
      </c>
      <c r="Q66" s="245">
        <f>'[4]Ukraine Sunflower Exports'!HA$290</f>
        <v>6.3E-2</v>
      </c>
      <c r="R66" s="245">
        <f>'[4]Ukraine Sunflower Exports'!HM$290</f>
        <v>102.24299999999999</v>
      </c>
      <c r="S66" s="245">
        <f>'[4]Ukraine Sunflower Exports'!HY$290</f>
        <v>71.301000000000002</v>
      </c>
      <c r="T66" s="245">
        <f>'[4]Ukraine Sunflower Exports'!IK$290</f>
        <v>29.606999999999999</v>
      </c>
      <c r="U66" s="245">
        <f>'[4]Ukraine Sunflower Exports'!IW$290</f>
        <v>42.113</v>
      </c>
      <c r="V66" s="245">
        <f>'[4]Ukraine Sunflower Exports'!JI$290</f>
        <v>1.772</v>
      </c>
      <c r="W66" s="245">
        <f>'[4]Ukraine Sunflower Exports'!JU$290</f>
        <v>5.5389999999999997</v>
      </c>
      <c r="X66" s="245">
        <f>'[4]Ukraine Sunflower Exports'!KG$290</f>
        <v>1.028</v>
      </c>
      <c r="Y66" s="245">
        <f>'[4]Ukraine Sunflower Exports'!KS$290</f>
        <v>3.1749999999999998</v>
      </c>
      <c r="Z66" s="245">
        <f>'[4]Ukraine Sunflower Exports'!LE$290</f>
        <v>5.6199300000000001</v>
      </c>
      <c r="AA66" s="273">
        <f t="shared" si="35"/>
        <v>6.6495798986201633</v>
      </c>
      <c r="AB66" s="273">
        <f t="shared" si="35"/>
        <v>3.0256209370386675</v>
      </c>
      <c r="AC66" s="273">
        <f t="shared" si="35"/>
        <v>3.5292350960230552</v>
      </c>
    </row>
    <row r="67" spans="1:31">
      <c r="A67" s="247" t="s">
        <v>40</v>
      </c>
      <c r="B67" s="264">
        <f t="shared" si="36"/>
        <v>3.6898915462525017</v>
      </c>
      <c r="C67" s="245">
        <f>'[4]Ukraine Sunflower Exports'!AP$290</f>
        <v>0</v>
      </c>
      <c r="D67" s="245">
        <f>'[4]Ukraine Sunflower Exports'!BB$290</f>
        <v>0.6</v>
      </c>
      <c r="E67" s="245">
        <f>'[4]Ukraine Sunflower Exports'!BN$290</f>
        <v>23.9</v>
      </c>
      <c r="F67" s="245">
        <f>'[4]Ukraine Sunflower Exports'!BZ$290</f>
        <v>6.5</v>
      </c>
      <c r="G67" s="245">
        <f>'[4]Ukraine Sunflower Exports'!CL$290</f>
        <v>0.1</v>
      </c>
      <c r="H67" s="245">
        <f>'[4]Ukraine Sunflower Exports'!CX$290</f>
        <v>15</v>
      </c>
      <c r="I67" s="245">
        <f>'[4]Ukraine Sunflower Exports'!DJ$290</f>
        <v>38.680970000000002</v>
      </c>
      <c r="J67" s="245">
        <f>'[4]Ukraine Sunflower Exports'!DV$290</f>
        <v>1.7</v>
      </c>
      <c r="K67" s="245">
        <f>'[4]Ukraine Sunflower Exports'!EH$290</f>
        <v>0.16303399999999998</v>
      </c>
      <c r="L67" s="245">
        <f>'[4]Ukraine Sunflower Exports'!ET$290</f>
        <v>13.263</v>
      </c>
      <c r="M67" s="245">
        <f>'[4]Ukraine Sunflower Exports'!FF$290</f>
        <v>6.06</v>
      </c>
      <c r="N67" s="245">
        <f>'[4]Ukraine Sunflower Exports'!FR$290</f>
        <v>7.8E-2</v>
      </c>
      <c r="O67" s="245">
        <f>'[4]Ukraine Sunflower Exports'!GD$290</f>
        <v>5.0529999999999999</v>
      </c>
      <c r="P67" s="245">
        <f>'[4]Ukraine Sunflower Exports'!GP$290</f>
        <v>0.45900000000000002</v>
      </c>
      <c r="Q67" s="245">
        <f>'[4]Ukraine Sunflower Exports'!HB$290</f>
        <v>0.14799999999999999</v>
      </c>
      <c r="R67" s="245">
        <f>'[4]Ukraine Sunflower Exports'!HN$290</f>
        <v>70.808999999999997</v>
      </c>
      <c r="S67" s="245">
        <f>'[4]Ukraine Sunflower Exports'!HZ$290</f>
        <v>8.9090000000000007</v>
      </c>
      <c r="T67" s="245">
        <f>'[4]Ukraine Sunflower Exports'!IL$290</f>
        <v>2.69</v>
      </c>
      <c r="U67" s="245">
        <f>'[4]Ukraine Sunflower Exports'!IX$290</f>
        <v>30.61</v>
      </c>
      <c r="V67" s="245">
        <f>'[4]Ukraine Sunflower Exports'!JJ$290</f>
        <v>0.79</v>
      </c>
      <c r="W67" s="245">
        <f>'[4]Ukraine Sunflower Exports'!JV$290</f>
        <v>1.4730000000000001</v>
      </c>
      <c r="X67" s="245">
        <f>'[4]Ukraine Sunflower Exports'!KH$290</f>
        <v>0.79500000000000004</v>
      </c>
      <c r="Y67" s="245">
        <f>'[4]Ukraine Sunflower Exports'!KT$290</f>
        <v>2.048</v>
      </c>
      <c r="Z67" s="245">
        <f>'[4]Ukraine Sunflower Exports'!LF$290</f>
        <v>1.596638</v>
      </c>
      <c r="AA67" s="273">
        <f t="shared" si="35"/>
        <v>4.4286720431707494</v>
      </c>
      <c r="AB67" s="273">
        <f t="shared" si="35"/>
        <v>1.1835954662001642</v>
      </c>
      <c r="AC67" s="273">
        <f t="shared" si="35"/>
        <v>1.658083180631865</v>
      </c>
    </row>
    <row r="68" spans="1:31">
      <c r="A68" s="247" t="s">
        <v>30</v>
      </c>
      <c r="B68" s="264">
        <f t="shared" si="36"/>
        <v>0.93592440156684253</v>
      </c>
      <c r="C68" s="245">
        <f>'[4]Ukraine Sunflower Exports'!AQ$290</f>
        <v>0</v>
      </c>
      <c r="D68" s="245">
        <f>'[4]Ukraine Sunflower Exports'!BC$290</f>
        <v>0.2</v>
      </c>
      <c r="E68" s="245">
        <f>'[4]Ukraine Sunflower Exports'!BO$290</f>
        <v>52.9</v>
      </c>
      <c r="F68" s="245">
        <f>'[4]Ukraine Sunflower Exports'!CA$290</f>
        <v>1.7</v>
      </c>
      <c r="G68" s="245">
        <f>'[4]Ukraine Sunflower Exports'!CM$290</f>
        <v>0</v>
      </c>
      <c r="H68" s="245">
        <f>'[4]Ukraine Sunflower Exports'!CY$290</f>
        <v>15</v>
      </c>
      <c r="I68" s="245">
        <f>'[4]Ukraine Sunflower Exports'!DK$290</f>
        <v>18.7</v>
      </c>
      <c r="J68" s="245">
        <f>'[4]Ukraine Sunflower Exports'!DW$290</f>
        <v>10.5</v>
      </c>
      <c r="K68" s="245">
        <f>'[4]Ukraine Sunflower Exports'!EI$290</f>
        <v>3.9E-2</v>
      </c>
      <c r="L68" s="245">
        <f>'[4]Ukraine Sunflower Exports'!EU$290</f>
        <v>4.8000000000000001E-2</v>
      </c>
      <c r="M68" s="245">
        <f>'[4]Ukraine Sunflower Exports'!FG$290</f>
        <v>5.9790000000000001</v>
      </c>
      <c r="N68" s="245">
        <f>'[4]Ukraine Sunflower Exports'!FS$290</f>
        <v>0.11</v>
      </c>
      <c r="O68" s="245">
        <f>'[4]Ukraine Sunflower Exports'!GE$290</f>
        <v>6.8000000000000005E-2</v>
      </c>
      <c r="P68" s="245">
        <f>'[4]Ukraine Sunflower Exports'!GQ$290</f>
        <v>0.17599999999999999</v>
      </c>
      <c r="Q68" s="245">
        <f>'[4]Ukraine Sunflower Exports'!HC$290</f>
        <v>0.06</v>
      </c>
      <c r="R68" s="245">
        <f>'[4]Ukraine Sunflower Exports'!HO$290</f>
        <v>19.488</v>
      </c>
      <c r="S68" s="245">
        <f>'[4]Ukraine Sunflower Exports'!IA$290</f>
        <v>1.3640000000000001</v>
      </c>
      <c r="T68" s="245">
        <f>'[4]Ukraine Sunflower Exports'!IM$290</f>
        <v>1.476</v>
      </c>
      <c r="U68" s="245">
        <f>'[4]Ukraine Sunflower Exports'!IY$290</f>
        <v>2.4860000000000002</v>
      </c>
      <c r="V68" s="245">
        <f>'[4]Ukraine Sunflower Exports'!JK$290</f>
        <v>0.35099999999999998</v>
      </c>
      <c r="W68" s="245">
        <f>'[4]Ukraine Sunflower Exports'!JW$290</f>
        <v>0.438</v>
      </c>
      <c r="X68" s="245">
        <f>'[4]Ukraine Sunflower Exports'!KI$290</f>
        <v>0.61699999999999999</v>
      </c>
      <c r="Y68" s="245">
        <f>'[4]Ukraine Sunflower Exports'!KU$290</f>
        <v>1.843</v>
      </c>
      <c r="Z68" s="245">
        <f>'[4]Ukraine Sunflower Exports'!LG$290</f>
        <v>1.3282240000000001</v>
      </c>
      <c r="AA68" s="273">
        <f t="shared" si="35"/>
        <v>0.71112202283526282</v>
      </c>
      <c r="AB68" s="273">
        <f t="shared" si="35"/>
        <v>0.80827602119979924</v>
      </c>
      <c r="AC68" s="273">
        <f t="shared" si="35"/>
        <v>0.79163378365481329</v>
      </c>
    </row>
    <row r="69" spans="1:31">
      <c r="A69" s="247" t="s">
        <v>31</v>
      </c>
      <c r="B69" s="264">
        <f t="shared" si="36"/>
        <v>5.6900426341894486</v>
      </c>
      <c r="C69" s="245">
        <f>'[4]Ukraine Sunflower Exports'!AR$290</f>
        <v>12.5</v>
      </c>
      <c r="D69" s="245">
        <f>'[4]Ukraine Sunflower Exports'!BD$290</f>
        <v>9.1999999999999993</v>
      </c>
      <c r="E69" s="245">
        <f>'[4]EU Sunflower Exports'!BP$290</f>
        <v>0</v>
      </c>
      <c r="F69" s="245">
        <f>'[4]EU Sunflower Exports'!CB$290</f>
        <v>2.4779999999999998</v>
      </c>
      <c r="G69" s="245">
        <f>'[4]EU Sunflower Exports'!CN$290</f>
        <v>1.4509999999999998</v>
      </c>
      <c r="H69" s="245">
        <f>'[4]EU Sunflower Exports'!CZ$290</f>
        <v>60.177</v>
      </c>
      <c r="I69" s="245">
        <f>'[4]EU Sunflower Exports'!DL$290</f>
        <v>6.3710000000000004</v>
      </c>
      <c r="J69" s="245">
        <f>'[4]EU Sunflower Exports'!DX$290</f>
        <v>15.768000000000001</v>
      </c>
      <c r="K69" s="245">
        <f>'[4]EU Sunflower Exports'!EJ$290</f>
        <v>29.297000000000004</v>
      </c>
      <c r="L69" s="245">
        <f>'[4]Ukraine Sunflower Exports'!EV$290</f>
        <v>7.6980000000000004</v>
      </c>
      <c r="M69" s="245">
        <f>'[4]Ukraine Sunflower Exports'!FH$290</f>
        <v>0.11</v>
      </c>
      <c r="N69" s="245">
        <f>'[4]Ukraine Sunflower Exports'!FT$290</f>
        <v>0.185</v>
      </c>
      <c r="O69" s="245">
        <f>'[4]Ukraine Sunflower Exports'!GF$290</f>
        <v>0.67100000000000004</v>
      </c>
      <c r="P69" s="245">
        <f>'[4]Ukraine Sunflower Exports'!GR$290</f>
        <v>2.21</v>
      </c>
      <c r="Q69" s="245">
        <f>'[4]Ukraine Sunflower Exports'!HD$290</f>
        <v>0.38400000000000001</v>
      </c>
      <c r="R69" s="245">
        <f>'[4]Ukraine Sunflower Exports'!HP$290</f>
        <v>6.66</v>
      </c>
      <c r="S69" s="245">
        <f>'[4]Ukraine Sunflower Exports'!IB$290</f>
        <v>2.851</v>
      </c>
      <c r="T69" s="245">
        <f>'[4]Ukraine Sunflower Exports'!IN$290</f>
        <v>4.4059999999999997</v>
      </c>
      <c r="U69" s="245">
        <f>'[4]Ukraine Sunflower Exports'!IZ$290</f>
        <v>5.8550000000000004</v>
      </c>
      <c r="V69" s="245">
        <f>'[4]Ukraine Sunflower Exports'!JL$290</f>
        <v>3.0710000000000002</v>
      </c>
      <c r="W69" s="245">
        <f>'[4]Ukraine Sunflower Exports'!JX$290</f>
        <v>3.9729999999999999</v>
      </c>
      <c r="X69" s="245">
        <f>'[4]Ukraine Sunflower Exports'!KJ$290</f>
        <v>1.3939999999999999</v>
      </c>
      <c r="Y69" s="245">
        <f>'[4]Ukraine Sunflower Exports'!KV$290</f>
        <v>3.14</v>
      </c>
      <c r="Z69" s="245">
        <f>'[4]Ukraine Sunflower Exports'!LH$290</f>
        <v>2.342498</v>
      </c>
      <c r="AA69" s="273">
        <f>(SUM(U69:Y69)/SUM(U$76:Y$76))*AA$76</f>
        <v>2.1616373538076958</v>
      </c>
      <c r="AB69" s="273">
        <f t="shared" si="35"/>
        <v>2.4581721883306926</v>
      </c>
      <c r="AC69" s="273">
        <f t="shared" si="35"/>
        <v>2.0861520059849692</v>
      </c>
    </row>
    <row r="70" spans="1:31">
      <c r="A70" s="247" t="s">
        <v>32</v>
      </c>
      <c r="B70" s="264">
        <f t="shared" si="36"/>
        <v>27.738826686348229</v>
      </c>
      <c r="C70" s="245">
        <f>'[4]Ukraine Sunflower Exports'!AS$290</f>
        <v>14.4</v>
      </c>
      <c r="D70" s="245">
        <f>'[4]Ukraine Sunflower Exports'!BE$290</f>
        <v>8.5</v>
      </c>
      <c r="E70" s="245">
        <f>'[4]EU Sunflower Exports'!BQ$290</f>
        <v>0</v>
      </c>
      <c r="F70" s="245">
        <f>'[4]EU Sunflower Exports'!CC$290</f>
        <v>0.95500000000000007</v>
      </c>
      <c r="G70" s="245">
        <f>'[4]EU Sunflower Exports'!CO$290</f>
        <v>1.8370000000000002</v>
      </c>
      <c r="H70" s="245">
        <f>'[4]EU Sunflower Exports'!DA$290</f>
        <v>39.749000000000002</v>
      </c>
      <c r="I70" s="245">
        <f>'[4]EU Sunflower Exports'!DM$290</f>
        <v>5.2759999999999998</v>
      </c>
      <c r="J70" s="245">
        <f>'[4]EU Sunflower Exports'!DY$290</f>
        <v>33.771000000000001</v>
      </c>
      <c r="K70" s="245">
        <f>'[4]EU Sunflower Exports'!EK$290</f>
        <v>12.952999999999999</v>
      </c>
      <c r="L70" s="245">
        <f>'[4]Ukraine Sunflower Exports'!EW$290</f>
        <v>163.42099999999999</v>
      </c>
      <c r="M70" s="245">
        <f>'[4]Ukraine Sunflower Exports'!FI$290</f>
        <v>0.80800000000000005</v>
      </c>
      <c r="N70" s="245">
        <f>'[4]Ukraine Sunflower Exports'!FU$290</f>
        <v>1.109</v>
      </c>
      <c r="O70" s="245">
        <f>'[4]Ukraine Sunflower Exports'!GG$290</f>
        <v>6.7679999999999998</v>
      </c>
      <c r="P70" s="245">
        <f>'[4]Ukraine Sunflower Exports'!GS$290</f>
        <v>4.3490000000000002</v>
      </c>
      <c r="Q70" s="245">
        <f>'[4]Ukraine Sunflower Exports'!HE$290</f>
        <v>0.60299999999999998</v>
      </c>
      <c r="R70" s="245">
        <f>'[4]Ukraine Sunflower Exports'!HQ$290</f>
        <v>18.271000000000001</v>
      </c>
      <c r="S70" s="245">
        <f>'[4]Ukraine Sunflower Exports'!IC$290</f>
        <v>5.23</v>
      </c>
      <c r="T70" s="245">
        <f>'[4]Ukraine Sunflower Exports'!IO$290</f>
        <v>26.401</v>
      </c>
      <c r="U70" s="245">
        <f>'[4]Ukraine Sunflower Exports'!JA$290</f>
        <v>28.148</v>
      </c>
      <c r="V70" s="245">
        <f>'[4]Ukraine Sunflower Exports'!JM$290</f>
        <v>4.2709999999999999</v>
      </c>
      <c r="W70" s="245">
        <f>'[4]Ukraine Sunflower Exports'!JY$290</f>
        <v>7.0590000000000002</v>
      </c>
      <c r="X70" s="245">
        <f>'[4]Ukraine Sunflower Exports'!KK$290</f>
        <v>7.4480000000000004</v>
      </c>
      <c r="Y70" s="245">
        <f>'[4]Ukraine Sunflower Exports'!KW$290</f>
        <v>21.945</v>
      </c>
      <c r="Z70" s="273">
        <f>(SUM(T70:X70)/SUM(T$76:X$76))*Z$76</f>
        <v>8.8404151174510393</v>
      </c>
      <c r="AA70" s="273">
        <f>(SUM(U70:Y70)/SUM(U$76:Y$76))*AA$76</f>
        <v>8.5397881141564742</v>
      </c>
      <c r="AB70" s="273">
        <f t="shared" si="35"/>
        <v>8.7522306026987771</v>
      </c>
      <c r="AC70" s="273">
        <f t="shared" si="35"/>
        <v>8.6312343776627785</v>
      </c>
    </row>
    <row r="71" spans="1:31">
      <c r="A71" s="247" t="s">
        <v>33</v>
      </c>
      <c r="B71" s="264">
        <f t="shared" si="36"/>
        <v>25.911345856126744</v>
      </c>
      <c r="C71" s="245">
        <f>'[4]Ukraine Sunflower Exports'!AT$290</f>
        <v>13.9</v>
      </c>
      <c r="D71" s="245">
        <f>'[4]Ukraine Sunflower Exports'!BF$290</f>
        <v>5.5</v>
      </c>
      <c r="E71" s="245">
        <f>'[4]EU Sunflower Exports'!BR$290</f>
        <v>0</v>
      </c>
      <c r="F71" s="245">
        <f>'[4]EU Sunflower Exports'!CD$290</f>
        <v>26.596000000000004</v>
      </c>
      <c r="G71" s="245">
        <f>'[4]EU Sunflower Exports'!CP$290</f>
        <v>1.9549999999999998</v>
      </c>
      <c r="H71" s="245">
        <f>'[4]EU Sunflower Exports'!DB$290</f>
        <v>9.9139999999999997</v>
      </c>
      <c r="I71" s="245">
        <f>'[4]EU Sunflower Exports'!DN$290</f>
        <v>5.8879999999999999</v>
      </c>
      <c r="J71" s="245">
        <f>'[4]EU Sunflower Exports'!DZ$290</f>
        <v>16.388999999999999</v>
      </c>
      <c r="K71" s="245">
        <f>'[4]EU Sunflower Exports'!EL$290</f>
        <v>5.2829999999999995</v>
      </c>
      <c r="L71" s="245">
        <f>'[4]Ukraine Sunflower Exports'!EX$290</f>
        <v>161.477</v>
      </c>
      <c r="M71" s="245">
        <f>'[4]Ukraine Sunflower Exports'!FJ$290</f>
        <v>1.417</v>
      </c>
      <c r="N71" s="245">
        <f>'[4]Ukraine Sunflower Exports'!FV$290</f>
        <v>1.581</v>
      </c>
      <c r="O71" s="245">
        <f>'[4]Ukraine Sunflower Exports'!GH$290</f>
        <v>3.109</v>
      </c>
      <c r="P71" s="245">
        <f>'[4]Ukraine Sunflower Exports'!GT$290</f>
        <v>34.472999999999999</v>
      </c>
      <c r="Q71" s="245">
        <f>'[4]Ukraine Sunflower Exports'!HF$290</f>
        <v>36.338999999999999</v>
      </c>
      <c r="R71" s="245">
        <f>'[4]Ukraine Sunflower Exports'!HR$290</f>
        <v>18.459</v>
      </c>
      <c r="S71" s="245">
        <f>'[4]Ukraine Sunflower Exports'!ID$290</f>
        <v>22.962</v>
      </c>
      <c r="T71" s="245">
        <f>'[4]Ukraine Sunflower Exports'!IP$290</f>
        <v>19.614000000000001</v>
      </c>
      <c r="U71" s="245">
        <f>'[4]Ukraine Sunflower Exports'!JB$290</f>
        <v>20.009</v>
      </c>
      <c r="V71" s="245">
        <f>'[4]Ukraine Sunflower Exports'!JN$290</f>
        <v>4.3650000000000002</v>
      </c>
      <c r="W71" s="245">
        <f>'[4]Ukraine Sunflower Exports'!JZ$290</f>
        <v>4.468</v>
      </c>
      <c r="X71" s="245">
        <f>'[4]Ukraine Sunflower Exports'!KL$290</f>
        <v>7.0190000000000001</v>
      </c>
      <c r="Y71" s="245">
        <f>'[4]Ukraine Sunflower Exports'!KX$290</f>
        <v>80.474000000000004</v>
      </c>
      <c r="Z71" s="273">
        <f t="shared" ref="Z71:AA74" si="37">(SUM(T71:X71)/SUM(T$76:X$76))*Z$76</f>
        <v>6.6881507308439785</v>
      </c>
      <c r="AA71" s="273">
        <f t="shared" si="37"/>
        <v>14.425175331567621</v>
      </c>
      <c r="AB71" s="273">
        <f t="shared" si="35"/>
        <v>18.190909573139304</v>
      </c>
      <c r="AC71" s="273">
        <f t="shared" si="35"/>
        <v>18.129873045357673</v>
      </c>
    </row>
    <row r="72" spans="1:31">
      <c r="A72" s="247" t="s">
        <v>14</v>
      </c>
      <c r="B72" s="264">
        <f t="shared" si="36"/>
        <v>45.427558049080943</v>
      </c>
      <c r="C72" s="245">
        <f>'[4]Ukraine Sunflower Exports'!AU$290</f>
        <v>45.7</v>
      </c>
      <c r="D72" s="245">
        <f>'[4]Ukraine Sunflower Exports'!BG$290</f>
        <v>62.5</v>
      </c>
      <c r="E72" s="245">
        <f>'[4]EU Sunflower Exports'!BS$290</f>
        <v>1.3149999999999999</v>
      </c>
      <c r="F72" s="245">
        <f>'[4]EU Sunflower Exports'!CE$290</f>
        <v>12.638</v>
      </c>
      <c r="G72" s="245">
        <f>'[4]EU Sunflower Exports'!CQ$290</f>
        <v>8.4619999999999997</v>
      </c>
      <c r="H72" s="245">
        <f>'[4]EU Sunflower Exports'!DC$290</f>
        <v>3.01</v>
      </c>
      <c r="I72" s="245">
        <f>'[4]EU Sunflower Exports'!DO$290</f>
        <v>7.7560000000000002</v>
      </c>
      <c r="J72" s="245">
        <f>'[4]EU Sunflower Exports'!EA$290</f>
        <v>19.928999999999998</v>
      </c>
      <c r="K72" s="245">
        <f>'[4]EU Sunflower Exports'!EM$290</f>
        <v>6.4120000000000008</v>
      </c>
      <c r="L72" s="245">
        <f>'[4]Ukraine Sunflower Exports'!EY$290</f>
        <v>244.358</v>
      </c>
      <c r="M72" s="245">
        <f>'[4]Ukraine Sunflower Exports'!FK$290</f>
        <v>1.095</v>
      </c>
      <c r="N72" s="245">
        <f>'[4]Ukraine Sunflower Exports'!FW$290</f>
        <v>24.593</v>
      </c>
      <c r="O72" s="245">
        <f>'[4]Ukraine Sunflower Exports'!GI$290</f>
        <v>26.611000000000001</v>
      </c>
      <c r="P72" s="245">
        <f>'[4]Ukraine Sunflower Exports'!GU$290</f>
        <v>30.196000000000002</v>
      </c>
      <c r="Q72" s="245">
        <f>'[4]Ukraine Sunflower Exports'!HG$290</f>
        <v>55.652000000000001</v>
      </c>
      <c r="R72" s="245">
        <f>'[4]Ukraine Sunflower Exports'!HS$290</f>
        <v>10.145</v>
      </c>
      <c r="S72" s="245">
        <f>'[4]Ukraine Sunflower Exports'!IE$290</f>
        <v>78.774000000000001</v>
      </c>
      <c r="T72" s="245">
        <f>'[4]Ukraine Sunflower Exports'!IQ$290</f>
        <v>21.01</v>
      </c>
      <c r="U72" s="245">
        <f>'[4]Ukraine Sunflower Exports'!JC$290</f>
        <v>17.344000000000001</v>
      </c>
      <c r="V72" s="245">
        <f>'[4]Ukraine Sunflower Exports'!JO$290</f>
        <v>2.8479999999999999</v>
      </c>
      <c r="W72" s="245">
        <f>'[4]Ukraine Sunflower Exports'!KA$290</f>
        <v>3.2410000000000001</v>
      </c>
      <c r="X72" s="245">
        <f>'[4]Ukraine Sunflower Exports'!KM$290</f>
        <v>5.1580000000000004</v>
      </c>
      <c r="Y72" s="245">
        <f>'[4]Ukraine Sunflower Exports'!KY$290</f>
        <v>28.683</v>
      </c>
      <c r="Z72" s="273">
        <f t="shared" si="37"/>
        <v>5.9799723190733154</v>
      </c>
      <c r="AA72" s="273">
        <f t="shared" si="37"/>
        <v>7.1017964665853262</v>
      </c>
      <c r="AB72" s="273">
        <f t="shared" si="35"/>
        <v>8.1070818818247723</v>
      </c>
      <c r="AC72" s="273">
        <f t="shared" si="35"/>
        <v>8.0430526648347005</v>
      </c>
    </row>
    <row r="73" spans="1:31">
      <c r="A73" s="247" t="s">
        <v>34</v>
      </c>
      <c r="B73" s="264">
        <f t="shared" si="36"/>
        <v>12.637977257159955</v>
      </c>
      <c r="C73" s="245">
        <f>'[4]Ukraine Sunflower Exports'!AV$290</f>
        <v>20.2</v>
      </c>
      <c r="D73" s="245">
        <f>'[4]Ukraine Sunflower Exports'!BH$290</f>
        <v>68.3</v>
      </c>
      <c r="E73" s="245">
        <f>'[4]EU Sunflower Exports'!BT$290</f>
        <v>1.3429999999999997</v>
      </c>
      <c r="F73" s="245">
        <f>'[4]EU Sunflower Exports'!CF$290</f>
        <v>1.2719999999999998</v>
      </c>
      <c r="G73" s="245">
        <f>'[4]EU Sunflower Exports'!CR$290</f>
        <v>8.1259999999999994</v>
      </c>
      <c r="H73" s="245">
        <f>'[4]EU Sunflower Exports'!DD$290</f>
        <v>6.6669999999999998</v>
      </c>
      <c r="I73" s="245">
        <f>'[4]EU Sunflower Exports'!DP$290</f>
        <v>7.2960000000000003</v>
      </c>
      <c r="J73" s="245">
        <f>'[4]EU Sunflower Exports'!EB$290</f>
        <v>11.034999999999998</v>
      </c>
      <c r="K73" s="245">
        <f>'[4]EU Sunflower Exports'!EN$290</f>
        <v>4.5469999999999997</v>
      </c>
      <c r="L73" s="245">
        <f>'[4]Ukraine Sunflower Exports'!EZ$290</f>
        <v>56.323</v>
      </c>
      <c r="M73" s="245">
        <f>'[4]Ukraine Sunflower Exports'!FL$290</f>
        <v>0.752</v>
      </c>
      <c r="N73" s="245">
        <f>'[4]Ukraine Sunflower Exports'!FX$290</f>
        <v>17.265000000000001</v>
      </c>
      <c r="O73" s="245">
        <f>'[4]Ukraine Sunflower Exports'!GJ$290</f>
        <v>5.4269999999999996</v>
      </c>
      <c r="P73" s="245">
        <f>'[4]Ukraine Sunflower Exports'!GV$290</f>
        <v>0.42799999999999999</v>
      </c>
      <c r="Q73" s="245">
        <f>'[4]Ukraine Sunflower Exports'!HH$290</f>
        <v>75.980999999999995</v>
      </c>
      <c r="R73" s="245">
        <f>'[4]Ukraine Sunflower Exports'!HT$290</f>
        <v>9.0039999999999996</v>
      </c>
      <c r="S73" s="245">
        <f>'[4]Ukraine Sunflower Exports'!IF$290</f>
        <v>80.340999999999994</v>
      </c>
      <c r="T73" s="245">
        <f>'[4]Ukraine Sunflower Exports'!IR$290</f>
        <v>17.597000000000001</v>
      </c>
      <c r="U73" s="245">
        <f>'[4]Ukraine Sunflower Exports'!JD$290</f>
        <v>9.6349999999999998</v>
      </c>
      <c r="V73" s="245">
        <f>'[4]Ukraine Sunflower Exports'!JP$290</f>
        <v>3.0819999999999999</v>
      </c>
      <c r="W73" s="245">
        <f>'[4]Ukraine Sunflower Exports'!KB$290</f>
        <v>0.92400000000000004</v>
      </c>
      <c r="X73" s="245">
        <f>'[4]Ukraine Sunflower Exports'!KN$290</f>
        <v>1.5269999999999999</v>
      </c>
      <c r="Y73" s="245">
        <f>'[4]Ukraine Sunflower Exports'!KZ$290</f>
        <v>3.9129999999999998</v>
      </c>
      <c r="Z73" s="273">
        <f t="shared" si="37"/>
        <v>3.9501984442740508</v>
      </c>
      <c r="AA73" s="273">
        <f t="shared" si="37"/>
        <v>2.3659841879197292</v>
      </c>
      <c r="AB73" s="273">
        <f t="shared" si="35"/>
        <v>2.3655879584964103</v>
      </c>
      <c r="AC73" s="273">
        <f t="shared" si="35"/>
        <v>2.0330884058219749</v>
      </c>
    </row>
    <row r="74" spans="1:31">
      <c r="A74" s="247" t="s">
        <v>35</v>
      </c>
      <c r="B74" s="264">
        <f t="shared" si="36"/>
        <v>28.010430628635081</v>
      </c>
      <c r="C74" s="245">
        <f>'[4]Ukraine Sunflower Exports'!AW$290</f>
        <v>11.4</v>
      </c>
      <c r="D74" s="245">
        <f>'[4]Ukraine Sunflower Exports'!BI$290</f>
        <v>45.7</v>
      </c>
      <c r="E74" s="245">
        <f>'[4]EU Sunflower Exports'!BU$290</f>
        <v>22.706000000000003</v>
      </c>
      <c r="F74" s="245">
        <f>'[4]EU Sunflower Exports'!CG$290</f>
        <v>16.481000000000002</v>
      </c>
      <c r="G74" s="245">
        <f>'[4]EU Sunflower Exports'!CS$290</f>
        <v>6.3810000000000002</v>
      </c>
      <c r="H74" s="245">
        <f>'[4]EU Sunflower Exports'!DE$290</f>
        <v>3.2669999999999999</v>
      </c>
      <c r="I74" s="245">
        <f>'[4]EU Sunflower Exports'!DQ$290</f>
        <v>3.9689999999999999</v>
      </c>
      <c r="J74" s="245">
        <f>'[4]EU Sunflower Exports'!EC$290</f>
        <v>12.625999999999998</v>
      </c>
      <c r="K74" s="245">
        <f>'[4]EU Sunflower Exports'!EO$290</f>
        <v>2.9990000000000001</v>
      </c>
      <c r="L74" s="245">
        <f>'[4]Ukraine Sunflower Exports'!FA$290</f>
        <v>89.76</v>
      </c>
      <c r="M74" s="245">
        <f>'[4]Ukraine Sunflower Exports'!FM$290</f>
        <v>0.90100000000000002</v>
      </c>
      <c r="N74" s="245">
        <f>'[4]Ukraine Sunflower Exports'!FY$290</f>
        <v>4.9770000000000003</v>
      </c>
      <c r="O74" s="245">
        <f>'[4]Ukraine Sunflower Exports'!GK$290</f>
        <v>88.233999999999995</v>
      </c>
      <c r="P74" s="245">
        <f>'[4]Ukraine Sunflower Exports'!GW$290</f>
        <v>3.0960000000000001</v>
      </c>
      <c r="Q74" s="245">
        <f>'[4]Ukraine Sunflower Exports'!HI$290</f>
        <v>148.95400000000001</v>
      </c>
      <c r="R74" s="245">
        <f>'[4]Ukraine Sunflower Exports'!HU$290</f>
        <v>4.2300000000000004</v>
      </c>
      <c r="S74" s="245">
        <f>'[4]Ukraine Sunflower Exports'!IG$290</f>
        <v>54.194000000000003</v>
      </c>
      <c r="T74" s="245">
        <f>'[4]Ukraine Sunflower Exports'!IS$290</f>
        <v>8.4819999999999993</v>
      </c>
      <c r="U74" s="245">
        <f>'[4]Ukraine Sunflower Exports'!JE$290</f>
        <v>19.526</v>
      </c>
      <c r="V74" s="245">
        <f>'[4]Ukraine Sunflower Exports'!JQ$290</f>
        <v>2.4239999999999999</v>
      </c>
      <c r="W74" s="245">
        <f>'[4]Ukraine Sunflower Exports'!KC$290</f>
        <v>1.496</v>
      </c>
      <c r="X74" s="245">
        <f>'[4]Ukraine Sunflower Exports'!KO$290</f>
        <v>9.9049999999999994</v>
      </c>
      <c r="Y74" s="245">
        <f>'[4]Ukraine Sunflower Exports'!LA$290</f>
        <v>11.558999999999999</v>
      </c>
      <c r="Z74" s="273">
        <f t="shared" si="37"/>
        <v>5.0434503744641033</v>
      </c>
      <c r="AA74" s="273">
        <f t="shared" si="37"/>
        <v>5.5686992232836356</v>
      </c>
      <c r="AB74" s="273">
        <f t="shared" si="35"/>
        <v>5.3730773333195385</v>
      </c>
      <c r="AC74" s="273">
        <f t="shared" si="35"/>
        <v>5.3828205859124179</v>
      </c>
    </row>
    <row r="75" spans="1:31">
      <c r="A75" s="247" t="s">
        <v>36</v>
      </c>
      <c r="B75" s="264">
        <f>(SUM(K75:O75)/SUM(K$76:O$76))*B$76</f>
        <v>48.87446989059778</v>
      </c>
      <c r="C75" s="245">
        <f>'[4]Ukraine Sunflower Exports'!AX$290</f>
        <v>4.9000000000000004</v>
      </c>
      <c r="D75" s="245">
        <f>'[4]Ukraine Sunflower Exports'!BJ$290</f>
        <v>35.799999999999997</v>
      </c>
      <c r="E75" s="245">
        <f>'[4]Ukraine Sunflower Exports'!BV$290</f>
        <v>133.69999999999999</v>
      </c>
      <c r="F75" s="245">
        <f>'[4]Ukraine Sunflower Exports'!CH$290</f>
        <v>36.200000000000003</v>
      </c>
      <c r="G75" s="245">
        <f>'[4]Ukraine Sunflower Exports'!CT$290</f>
        <v>50</v>
      </c>
      <c r="H75" s="245">
        <f>'[4]Ukraine Sunflower Exports'!DF$290</f>
        <v>39.355252000000007</v>
      </c>
      <c r="I75" s="245">
        <f>'[4]Ukraine Sunflower Exports'!DR$290</f>
        <v>157.19999999999999</v>
      </c>
      <c r="J75" s="245">
        <f>'[4]Ukraine Sunflower Exports'!ED$290</f>
        <v>16.586711000000005</v>
      </c>
      <c r="K75" s="245">
        <f>'[4]Ukraine Sunflower Exports'!EP$290</f>
        <v>55.643000000000001</v>
      </c>
      <c r="L75" s="245">
        <f>'[4]Ukraine Sunflower Exports'!FB$290</f>
        <v>85.417000000000002</v>
      </c>
      <c r="M75" s="245">
        <f>'[4]Ukraine Sunflower Exports'!FN$290</f>
        <v>0.88</v>
      </c>
      <c r="N75" s="245">
        <f>'[4]Ukraine Sunflower Exports'!FZ$290</f>
        <v>92.524000000000001</v>
      </c>
      <c r="O75" s="245">
        <f>'[4]Ukraine Sunflower Exports'!GL$290</f>
        <v>91.600999999999999</v>
      </c>
      <c r="P75" s="245">
        <f>'[4]Ukraine Sunflower Exports'!GX$290</f>
        <v>0.16</v>
      </c>
      <c r="Q75" s="245">
        <f>'[4]Ukraine Sunflower Exports'!HJ$290</f>
        <v>135.03800000000001</v>
      </c>
      <c r="R75" s="245">
        <f>'[4]Ukraine Sunflower Exports'!HV$290</f>
        <v>43.323999999999998</v>
      </c>
      <c r="S75" s="245">
        <f>'[4]Ukraine Sunflower Exports'!IH$290</f>
        <v>83.518000000000001</v>
      </c>
      <c r="T75" s="245">
        <f>'[4]Ukraine Sunflower Exports'!IT$290</f>
        <v>30.045999999999999</v>
      </c>
      <c r="U75" s="245">
        <f>'[4]Ukraine Sunflower Exports'!JF$290</f>
        <v>14.629</v>
      </c>
      <c r="V75" s="245">
        <f>'[4]Ukraine Sunflower Exports'!JR$290</f>
        <v>5.4290000000000003</v>
      </c>
      <c r="W75" s="245">
        <f>'[4]Ukraine Sunflower Exports'!KD$290</f>
        <v>1.1339999999999999</v>
      </c>
      <c r="X75" s="245">
        <f>'[4]Ukraine Sunflower Exports'!KP$290</f>
        <v>3.7839999999999998</v>
      </c>
      <c r="Y75" s="245">
        <f>'[4]Ukraine Sunflower Exports'!LB$290</f>
        <v>19.652000000000001</v>
      </c>
      <c r="Z75" s="273">
        <f>Z76-SUM(Z64:Z74)</f>
        <v>20.263523013893519</v>
      </c>
      <c r="AA75" s="273">
        <f>AA76-SUM(AA64:AA74)</f>
        <v>0</v>
      </c>
      <c r="AB75" s="273">
        <f>AB76-SUM(AB64:AB74)</f>
        <v>3.5782648516132127</v>
      </c>
      <c r="AC75" s="273">
        <f>AC76-SUM(AC64:AC74)</f>
        <v>3.2489700578962726</v>
      </c>
    </row>
    <row r="76" spans="1:31" ht="15.75" thickBot="1">
      <c r="A76" s="247" t="s">
        <v>138</v>
      </c>
      <c r="B76" s="269">
        <f>B13</f>
        <v>200</v>
      </c>
      <c r="C76" s="269">
        <f>SUM(C64:C75)</f>
        <v>123.00000000000001</v>
      </c>
      <c r="D76" s="269">
        <f>SUM(D64:D75)</f>
        <v>239</v>
      </c>
      <c r="E76" s="269">
        <f t="shared" ref="E76:Y76" si="38">SUM(E64:E74)</f>
        <v>258.964</v>
      </c>
      <c r="F76" s="269">
        <f t="shared" si="38"/>
        <v>190.92000000000002</v>
      </c>
      <c r="G76" s="269">
        <f t="shared" si="38"/>
        <v>56.612000000000002</v>
      </c>
      <c r="H76" s="269">
        <f t="shared" si="38"/>
        <v>195.78399999999996</v>
      </c>
      <c r="I76" s="269">
        <f t="shared" si="38"/>
        <v>238.18723100000003</v>
      </c>
      <c r="J76" s="269">
        <f t="shared" si="38"/>
        <v>262.21799999999996</v>
      </c>
      <c r="K76" s="269">
        <f t="shared" si="38"/>
        <v>62.738802000000007</v>
      </c>
      <c r="L76" s="269">
        <f t="shared" si="38"/>
        <v>883.54899999999986</v>
      </c>
      <c r="M76" s="269">
        <f t="shared" si="38"/>
        <v>124.30199999999999</v>
      </c>
      <c r="N76" s="269">
        <f t="shared" si="38"/>
        <v>55.305999999999997</v>
      </c>
      <c r="O76" s="269">
        <f t="shared" si="38"/>
        <v>208.39999999999998</v>
      </c>
      <c r="P76" s="269">
        <f t="shared" si="38"/>
        <v>188.53399999999999</v>
      </c>
      <c r="Q76" s="269">
        <f t="shared" si="38"/>
        <v>318.41800000000001</v>
      </c>
      <c r="R76" s="269">
        <f t="shared" si="38"/>
        <v>381.05300000000005</v>
      </c>
      <c r="S76" s="269">
        <f t="shared" si="38"/>
        <v>487.70699999999999</v>
      </c>
      <c r="T76" s="269">
        <f t="shared" si="38"/>
        <v>214.09700000000001</v>
      </c>
      <c r="U76" s="269">
        <f t="shared" si="38"/>
        <v>255.13299999999998</v>
      </c>
      <c r="V76" s="269">
        <f t="shared" si="38"/>
        <v>31.952999999999996</v>
      </c>
      <c r="W76" s="269">
        <f t="shared" si="38"/>
        <v>65.382000000000005</v>
      </c>
      <c r="X76" s="269">
        <f t="shared" si="38"/>
        <v>55.524000000000001</v>
      </c>
      <c r="Y76" s="269">
        <f t="shared" si="38"/>
        <v>196.86199999999999</v>
      </c>
      <c r="Z76" s="270">
        <f>Z13</f>
        <v>75</v>
      </c>
      <c r="AA76" s="270">
        <f>AA13</f>
        <v>75</v>
      </c>
      <c r="AB76" s="270">
        <f>AB13</f>
        <v>75</v>
      </c>
      <c r="AC76" s="270">
        <f>AC13</f>
        <v>75</v>
      </c>
    </row>
    <row r="77" spans="1:3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</row>
    <row r="78" spans="1:31" ht="15.75" thickBot="1">
      <c r="A78" s="247" t="s">
        <v>389</v>
      </c>
      <c r="AE78" s="274"/>
    </row>
    <row r="79" spans="1:31" ht="15.75" thickBot="1">
      <c r="A79" s="263"/>
      <c r="B79" s="235" t="str">
        <f>B$2</f>
        <v xml:space="preserve">93/94 </v>
      </c>
      <c r="C79" s="235" t="str">
        <f t="shared" ref="C79:AC79" si="39">C$2</f>
        <v xml:space="preserve">94/95 </v>
      </c>
      <c r="D79" s="235" t="str">
        <f t="shared" si="39"/>
        <v xml:space="preserve">95/96 </v>
      </c>
      <c r="E79" s="235" t="str">
        <f t="shared" si="39"/>
        <v xml:space="preserve">96/97 </v>
      </c>
      <c r="F79" s="235" t="str">
        <f t="shared" si="39"/>
        <v xml:space="preserve">97/98 </v>
      </c>
      <c r="G79" s="235" t="str">
        <f t="shared" si="39"/>
        <v xml:space="preserve">98/99 </v>
      </c>
      <c r="H79" s="235" t="str">
        <f t="shared" si="39"/>
        <v xml:space="preserve">99/00 </v>
      </c>
      <c r="I79" s="235" t="str">
        <f t="shared" si="39"/>
        <v xml:space="preserve">00/01 </v>
      </c>
      <c r="J79" s="235" t="str">
        <f t="shared" si="39"/>
        <v xml:space="preserve">01/02 </v>
      </c>
      <c r="K79" s="235" t="str">
        <f t="shared" si="39"/>
        <v xml:space="preserve">02/03 </v>
      </c>
      <c r="L79" s="235" t="str">
        <f t="shared" si="39"/>
        <v xml:space="preserve">03/04 </v>
      </c>
      <c r="M79" s="235" t="str">
        <f t="shared" si="39"/>
        <v xml:space="preserve">04/05 </v>
      </c>
      <c r="N79" s="235" t="str">
        <f t="shared" si="39"/>
        <v xml:space="preserve">05/06 </v>
      </c>
      <c r="O79" s="235" t="str">
        <f t="shared" si="39"/>
        <v xml:space="preserve">06/07 </v>
      </c>
      <c r="P79" s="235" t="str">
        <f t="shared" si="39"/>
        <v xml:space="preserve">07/08 </v>
      </c>
      <c r="Q79" s="235" t="str">
        <f t="shared" si="39"/>
        <v xml:space="preserve">08/09 </v>
      </c>
      <c r="R79" s="235" t="str">
        <f t="shared" si="39"/>
        <v xml:space="preserve">09/10 </v>
      </c>
      <c r="S79" s="235" t="str">
        <f t="shared" si="39"/>
        <v xml:space="preserve">10/11 </v>
      </c>
      <c r="T79" s="235" t="str">
        <f t="shared" si="39"/>
        <v xml:space="preserve">11/12 </v>
      </c>
      <c r="U79" s="235" t="str">
        <f t="shared" si="39"/>
        <v xml:space="preserve">12/13 </v>
      </c>
      <c r="V79" s="235" t="str">
        <f t="shared" si="39"/>
        <v xml:space="preserve">13/14 </v>
      </c>
      <c r="W79" s="235" t="str">
        <f t="shared" si="39"/>
        <v xml:space="preserve">14/15 </v>
      </c>
      <c r="X79" s="235" t="str">
        <f t="shared" si="39"/>
        <v xml:space="preserve">15/16 </v>
      </c>
      <c r="Y79" s="235" t="str">
        <f t="shared" si="39"/>
        <v xml:space="preserve">16/17 </v>
      </c>
      <c r="Z79" s="235" t="str">
        <f t="shared" si="39"/>
        <v xml:space="preserve">17/18 </v>
      </c>
      <c r="AA79" s="235" t="str">
        <f t="shared" si="39"/>
        <v xml:space="preserve">18/19 </v>
      </c>
      <c r="AB79" s="235" t="str">
        <f t="shared" si="39"/>
        <v xml:space="preserve">19/20 </v>
      </c>
      <c r="AC79" s="235" t="str">
        <f t="shared" si="39"/>
        <v xml:space="preserve">20/21 </v>
      </c>
    </row>
    <row r="80" spans="1:31">
      <c r="A80" s="247" t="s">
        <v>37</v>
      </c>
      <c r="B80" s="275">
        <v>234.79225648481133</v>
      </c>
      <c r="C80" s="275">
        <f>B218/B$235</f>
        <v>123.37851651239197</v>
      </c>
      <c r="D80" s="275">
        <f t="shared" ref="D80:Z80" si="40">C218/C$235</f>
        <v>96.92822720082404</v>
      </c>
      <c r="E80" s="275">
        <f t="shared" si="40"/>
        <v>94.789520164851368</v>
      </c>
      <c r="F80" s="275">
        <f t="shared" si="40"/>
        <v>47.330799683293748</v>
      </c>
      <c r="G80" s="275">
        <f t="shared" si="40"/>
        <v>117.61622191011236</v>
      </c>
      <c r="H80" s="275">
        <f t="shared" si="40"/>
        <v>116.50458647177271</v>
      </c>
      <c r="I80" s="275">
        <f t="shared" si="40"/>
        <v>174.57770270270268</v>
      </c>
      <c r="J80" s="275">
        <f t="shared" si="40"/>
        <v>160.29864773635134</v>
      </c>
      <c r="K80" s="275">
        <f t="shared" si="40"/>
        <v>185.38103376018941</v>
      </c>
      <c r="L80" s="275">
        <f t="shared" si="40"/>
        <v>181.87826086956522</v>
      </c>
      <c r="M80" s="275">
        <f t="shared" si="40"/>
        <v>107.625</v>
      </c>
      <c r="N80" s="275">
        <f t="shared" si="40"/>
        <v>172.41106719367588</v>
      </c>
      <c r="O80" s="275">
        <f t="shared" si="40"/>
        <v>135.90909090909091</v>
      </c>
      <c r="P80" s="275">
        <f t="shared" si="40"/>
        <v>258.66429268292683</v>
      </c>
      <c r="Q80" s="275">
        <f t="shared" si="40"/>
        <v>242.35320334261837</v>
      </c>
      <c r="R80" s="275">
        <f t="shared" si="40"/>
        <v>331.92246294184724</v>
      </c>
      <c r="S80" s="275">
        <f t="shared" si="40"/>
        <v>395.29175050301808</v>
      </c>
      <c r="T80" s="275">
        <f t="shared" si="40"/>
        <v>549.94032983508248</v>
      </c>
      <c r="U80" s="275">
        <f t="shared" si="40"/>
        <v>642.11267605633816</v>
      </c>
      <c r="V80" s="275">
        <f t="shared" si="40"/>
        <v>696.65200659703123</v>
      </c>
      <c r="W80" s="275">
        <f t="shared" si="40"/>
        <v>690.27106534986342</v>
      </c>
      <c r="X80" s="275">
        <f t="shared" si="40"/>
        <v>700</v>
      </c>
      <c r="Y80" s="275">
        <f t="shared" si="40"/>
        <v>930.13972055888223</v>
      </c>
      <c r="Z80" s="275">
        <f t="shared" si="40"/>
        <v>333.33333333333331</v>
      </c>
      <c r="AA80" s="276">
        <f t="shared" ref="AA80:AC82" si="41">(SUM(U80:Y80)/SUM(U$92:Y$92))*AA$92</f>
        <v>949.09985259576342</v>
      </c>
      <c r="AB80" s="276">
        <f t="shared" si="41"/>
        <v>789.74384122491517</v>
      </c>
      <c r="AC80" s="276">
        <f t="shared" si="41"/>
        <v>817.31459010248341</v>
      </c>
    </row>
    <row r="81" spans="1:29">
      <c r="A81" s="247" t="s">
        <v>38</v>
      </c>
      <c r="B81" s="275">
        <f>B207/B$235</f>
        <v>268.8027794066216</v>
      </c>
      <c r="C81" s="275">
        <f>C207/C$235</f>
        <v>207.9167126512894</v>
      </c>
      <c r="D81" s="275">
        <f t="shared" ref="D81:Z91" si="42">D207/D$235</f>
        <v>290.80070650574049</v>
      </c>
      <c r="E81" s="275">
        <f t="shared" si="42"/>
        <v>173.89500751814157</v>
      </c>
      <c r="F81" s="275">
        <f t="shared" si="42"/>
        <v>223.13690345884416</v>
      </c>
      <c r="G81" s="275">
        <f t="shared" si="42"/>
        <v>244.72958245351131</v>
      </c>
      <c r="H81" s="275">
        <f t="shared" si="42"/>
        <v>262.92179436284238</v>
      </c>
      <c r="I81" s="275">
        <f t="shared" si="42"/>
        <v>311.81001129039299</v>
      </c>
      <c r="J81" s="275">
        <f t="shared" si="42"/>
        <v>262.56440208280418</v>
      </c>
      <c r="K81" s="275">
        <f t="shared" si="42"/>
        <v>336.4482744365564</v>
      </c>
      <c r="L81" s="275">
        <f t="shared" si="42"/>
        <v>310.70454545454544</v>
      </c>
      <c r="M81" s="275">
        <f t="shared" si="42"/>
        <v>270.59288537549406</v>
      </c>
      <c r="N81" s="275">
        <f t="shared" si="42"/>
        <v>371.8</v>
      </c>
      <c r="O81" s="275">
        <f t="shared" si="42"/>
        <v>437.64863414634146</v>
      </c>
      <c r="P81" s="275">
        <f t="shared" si="42"/>
        <v>461.79387186629526</v>
      </c>
      <c r="Q81" s="275">
        <f t="shared" si="42"/>
        <v>474.00608133789433</v>
      </c>
      <c r="R81" s="275">
        <f t="shared" si="42"/>
        <v>648.73239436619713</v>
      </c>
      <c r="S81" s="275">
        <f t="shared" si="42"/>
        <v>692.27226386806592</v>
      </c>
      <c r="T81" s="275">
        <f t="shared" si="42"/>
        <v>800.2766599597586</v>
      </c>
      <c r="U81" s="275">
        <f t="shared" si="42"/>
        <v>843.21605277625065</v>
      </c>
      <c r="V81" s="275">
        <f t="shared" si="42"/>
        <v>933.75709182601383</v>
      </c>
      <c r="W81" s="275">
        <f t="shared" si="42"/>
        <v>902.32558139534888</v>
      </c>
      <c r="X81" s="275">
        <f t="shared" si="42"/>
        <v>913.86227544910173</v>
      </c>
      <c r="Y81" s="275">
        <f t="shared" si="42"/>
        <v>1186.2068965517242</v>
      </c>
      <c r="Z81" s="275">
        <f t="shared" si="42"/>
        <v>1200</v>
      </c>
      <c r="AA81" s="276">
        <f t="shared" si="41"/>
        <v>1239.650136065685</v>
      </c>
      <c r="AB81" s="276">
        <f t="shared" si="41"/>
        <v>1210.6760320301876</v>
      </c>
      <c r="AC81" s="276">
        <f t="shared" si="41"/>
        <v>1234.5421347461072</v>
      </c>
    </row>
    <row r="82" spans="1:29">
      <c r="A82" s="247" t="s">
        <v>39</v>
      </c>
      <c r="B82" s="275">
        <f t="shared" ref="B82:C91" si="43">B208/B$235</f>
        <v>257.64840436478846</v>
      </c>
      <c r="C82" s="275">
        <f t="shared" si="43"/>
        <v>199.67626825589522</v>
      </c>
      <c r="D82" s="275">
        <f t="shared" si="42"/>
        <v>280.30615248748899</v>
      </c>
      <c r="E82" s="275">
        <f t="shared" si="42"/>
        <v>184.91098084508269</v>
      </c>
      <c r="F82" s="275">
        <f t="shared" si="42"/>
        <v>237.73202167250443</v>
      </c>
      <c r="G82" s="275">
        <f t="shared" si="42"/>
        <v>211.50568762345884</v>
      </c>
      <c r="H82" s="275">
        <f t="shared" si="42"/>
        <v>230.31361651448989</v>
      </c>
      <c r="I82" s="275">
        <f t="shared" si="42"/>
        <v>299.45192315403858</v>
      </c>
      <c r="J82" s="275">
        <f t="shared" si="42"/>
        <v>252.15808443770919</v>
      </c>
      <c r="K82" s="275">
        <f t="shared" si="42"/>
        <v>323.11368838011629</v>
      </c>
      <c r="L82" s="275">
        <f t="shared" si="42"/>
        <v>303.78409090909088</v>
      </c>
      <c r="M82" s="275">
        <f t="shared" si="42"/>
        <v>273.67588932806325</v>
      </c>
      <c r="N82" s="275">
        <f t="shared" si="42"/>
        <v>384.56363636363636</v>
      </c>
      <c r="O82" s="275">
        <f t="shared" si="42"/>
        <v>433.15629268292679</v>
      </c>
      <c r="P82" s="275">
        <f t="shared" si="42"/>
        <v>443.6055710306407</v>
      </c>
      <c r="Q82" s="275">
        <f t="shared" si="42"/>
        <v>499.06575446598254</v>
      </c>
      <c r="R82" s="275">
        <f t="shared" si="42"/>
        <v>637.62072434607649</v>
      </c>
      <c r="S82" s="275">
        <f t="shared" si="42"/>
        <v>701.7295352323838</v>
      </c>
      <c r="T82" s="275">
        <f t="shared" si="42"/>
        <v>812.33400402414497</v>
      </c>
      <c r="U82" s="275">
        <f t="shared" si="42"/>
        <v>789.55470038482679</v>
      </c>
      <c r="V82" s="275">
        <f t="shared" si="42"/>
        <v>897.35238495482247</v>
      </c>
      <c r="W82" s="275">
        <f t="shared" si="42"/>
        <v>923.25581395348843</v>
      </c>
      <c r="X82" s="275">
        <f t="shared" si="42"/>
        <v>837.12574850299393</v>
      </c>
      <c r="Y82" s="275">
        <f t="shared" si="42"/>
        <v>1216.0919540229886</v>
      </c>
      <c r="Z82" s="275">
        <f t="shared" si="42"/>
        <v>1230.2325581395348</v>
      </c>
      <c r="AA82" s="276">
        <f t="shared" si="41"/>
        <v>1209.5658925926518</v>
      </c>
      <c r="AB82" s="276">
        <f t="shared" si="41"/>
        <v>1203.1110896449047</v>
      </c>
      <c r="AC82" s="276">
        <f t="shared" si="41"/>
        <v>1228.6954798397828</v>
      </c>
    </row>
    <row r="83" spans="1:29">
      <c r="A83" s="247" t="s">
        <v>40</v>
      </c>
      <c r="B83" s="275">
        <f t="shared" si="43"/>
        <v>244.80748851735018</v>
      </c>
      <c r="C83" s="275">
        <f t="shared" si="43"/>
        <v>188.24265165728579</v>
      </c>
      <c r="D83" s="275">
        <f t="shared" si="42"/>
        <v>305.01913453046808</v>
      </c>
      <c r="E83" s="275">
        <f t="shared" si="42"/>
        <v>155.7973370524526</v>
      </c>
      <c r="F83" s="275">
        <f t="shared" si="42"/>
        <v>180.19357486865152</v>
      </c>
      <c r="G83" s="275">
        <f t="shared" si="42"/>
        <v>201.12322048906748</v>
      </c>
      <c r="H83" s="275">
        <f t="shared" si="42"/>
        <v>246.7645891226677</v>
      </c>
      <c r="I83" s="275">
        <f t="shared" si="42"/>
        <v>282.3050758648468</v>
      </c>
      <c r="J83" s="275">
        <f t="shared" si="42"/>
        <v>237.71931870513978</v>
      </c>
      <c r="K83" s="275">
        <f t="shared" si="42"/>
        <v>304.6119502268055</v>
      </c>
      <c r="L83" s="275">
        <f t="shared" si="42"/>
        <v>319.05681818181813</v>
      </c>
      <c r="M83" s="275">
        <f t="shared" si="42"/>
        <v>263.00395256916994</v>
      </c>
      <c r="N83" s="275">
        <f t="shared" si="42"/>
        <v>396.85454545454547</v>
      </c>
      <c r="O83" s="275">
        <f t="shared" si="42"/>
        <v>449.23414634146343</v>
      </c>
      <c r="P83" s="275">
        <f t="shared" si="42"/>
        <v>471.00612813370475</v>
      </c>
      <c r="Q83" s="275">
        <f t="shared" si="42"/>
        <v>550.1307487647282</v>
      </c>
      <c r="R83" s="275">
        <f t="shared" si="42"/>
        <v>667.40945674044269</v>
      </c>
      <c r="S83" s="275">
        <f t="shared" si="42"/>
        <v>718.75262368815595</v>
      </c>
      <c r="T83" s="275">
        <f t="shared" si="42"/>
        <v>868.60160965794773</v>
      </c>
      <c r="U83" s="275">
        <f t="shared" si="42"/>
        <v>815.79439252336454</v>
      </c>
      <c r="V83" s="275">
        <f t="shared" si="42"/>
        <v>934.93906282832518</v>
      </c>
      <c r="W83" s="275">
        <f t="shared" si="42"/>
        <v>883.7209302325582</v>
      </c>
      <c r="X83" s="275">
        <f t="shared" si="42"/>
        <v>844.10179640718559</v>
      </c>
      <c r="Y83" s="275">
        <f t="shared" si="42"/>
        <v>1280.4597701149426</v>
      </c>
      <c r="Z83" s="275">
        <f t="shared" si="42"/>
        <v>1295.3488372093022</v>
      </c>
      <c r="AA83" s="276">
        <f t="shared" ref="Z83:AC90" si="44">(SUM(U83:Y83)/SUM(U$92:Y$92))*AA$92</f>
        <v>1234.3713433397966</v>
      </c>
      <c r="AB83" s="276">
        <f t="shared" si="44"/>
        <v>1234.8177804359602</v>
      </c>
      <c r="AC83" s="276">
        <f t="shared" si="44"/>
        <v>1256.310410211325</v>
      </c>
    </row>
    <row r="84" spans="1:29">
      <c r="A84" s="247" t="s">
        <v>30</v>
      </c>
      <c r="B84" s="275">
        <f t="shared" si="43"/>
        <v>178.75178800880749</v>
      </c>
      <c r="C84" s="275">
        <f t="shared" si="43"/>
        <v>135.7098186366479</v>
      </c>
      <c r="D84" s="275">
        <f t="shared" si="42"/>
        <v>235.95819841036217</v>
      </c>
      <c r="E84" s="275">
        <f t="shared" si="42"/>
        <v>90.589705769672818</v>
      </c>
      <c r="F84" s="275">
        <f t="shared" si="42"/>
        <v>140.57880930656935</v>
      </c>
      <c r="G84" s="275">
        <f t="shared" si="42"/>
        <v>143.77931693336518</v>
      </c>
      <c r="H84" s="275">
        <f t="shared" si="42"/>
        <v>184.81827111984279</v>
      </c>
      <c r="I84" s="275">
        <f t="shared" si="42"/>
        <v>268.5213995626367</v>
      </c>
      <c r="J84" s="275">
        <f t="shared" si="42"/>
        <v>214.57620744259697</v>
      </c>
      <c r="K84" s="275">
        <f t="shared" si="42"/>
        <v>304.10434782608701</v>
      </c>
      <c r="L84" s="275">
        <f t="shared" si="42"/>
        <v>293.28409090909093</v>
      </c>
      <c r="M84" s="275">
        <f t="shared" si="42"/>
        <v>267.27272727272725</v>
      </c>
      <c r="N84" s="275">
        <f t="shared" si="42"/>
        <v>400.87272727272727</v>
      </c>
      <c r="O84" s="275">
        <f t="shared" si="42"/>
        <v>476.18819512195125</v>
      </c>
      <c r="P84" s="275">
        <f t="shared" si="42"/>
        <v>499.82395543175488</v>
      </c>
      <c r="Q84" s="275">
        <f t="shared" si="42"/>
        <v>560.29646522234896</v>
      </c>
      <c r="R84" s="275">
        <f t="shared" si="42"/>
        <v>636.67505030181087</v>
      </c>
      <c r="S84" s="275">
        <f t="shared" si="42"/>
        <v>734.82998500749625</v>
      </c>
      <c r="T84" s="275">
        <f t="shared" si="42"/>
        <v>795.78470824949704</v>
      </c>
      <c r="U84" s="275">
        <f t="shared" si="42"/>
        <v>807.28422210005499</v>
      </c>
      <c r="V84" s="275">
        <f t="shared" si="42"/>
        <v>855.74700567346076</v>
      </c>
      <c r="W84" s="275">
        <f t="shared" si="42"/>
        <v>774.41860465116281</v>
      </c>
      <c r="X84" s="275">
        <f t="shared" si="42"/>
        <v>732.48502994011972</v>
      </c>
      <c r="Y84" s="275">
        <f t="shared" si="42"/>
        <v>1110.344827586207</v>
      </c>
      <c r="Z84" s="275">
        <f t="shared" si="42"/>
        <v>1123.2558139534883</v>
      </c>
      <c r="AA84" s="276">
        <f t="shared" si="44"/>
        <v>1110.1989663254594</v>
      </c>
      <c r="AB84" s="276">
        <f t="shared" si="44"/>
        <v>1083.4125297999128</v>
      </c>
      <c r="AC84" s="276">
        <f t="shared" si="44"/>
        <v>1100.3947335234495</v>
      </c>
    </row>
    <row r="85" spans="1:29">
      <c r="A85" s="247" t="s">
        <v>31</v>
      </c>
      <c r="B85" s="275">
        <f t="shared" si="43"/>
        <v>163.51700912467479</v>
      </c>
      <c r="C85" s="275">
        <f t="shared" si="43"/>
        <v>125.10024647757791</v>
      </c>
      <c r="D85" s="275">
        <f t="shared" si="42"/>
        <v>200.41212834854289</v>
      </c>
      <c r="E85" s="275">
        <f t="shared" si="42"/>
        <v>104.39911213700101</v>
      </c>
      <c r="F85" s="275">
        <f t="shared" si="42"/>
        <v>96.970688868613138</v>
      </c>
      <c r="G85" s="275">
        <f t="shared" si="42"/>
        <v>123.8275614998806</v>
      </c>
      <c r="H85" s="275">
        <f t="shared" si="42"/>
        <v>202.57858546168956</v>
      </c>
      <c r="I85" s="275">
        <f t="shared" si="42"/>
        <v>247.52883473914403</v>
      </c>
      <c r="J85" s="275">
        <f t="shared" si="42"/>
        <v>197.80098970704671</v>
      </c>
      <c r="K85" s="275">
        <f t="shared" si="42"/>
        <v>264.4173913043478</v>
      </c>
      <c r="L85" s="275">
        <f t="shared" si="42"/>
        <v>272.76136363636363</v>
      </c>
      <c r="M85" s="275">
        <f t="shared" si="42"/>
        <v>232.41106719367588</v>
      </c>
      <c r="N85" s="275">
        <f t="shared" si="42"/>
        <v>382.67272727272729</v>
      </c>
      <c r="O85" s="275">
        <f t="shared" si="42"/>
        <v>416.13268292682926</v>
      </c>
      <c r="P85" s="275">
        <f t="shared" si="42"/>
        <v>402.97715877437327</v>
      </c>
      <c r="Q85" s="275">
        <f t="shared" si="42"/>
        <v>510.64994298745728</v>
      </c>
      <c r="R85" s="275">
        <f t="shared" si="42"/>
        <v>574.49698189134813</v>
      </c>
      <c r="S85" s="275">
        <f t="shared" si="42"/>
        <v>668.15622188905547</v>
      </c>
      <c r="T85" s="275">
        <f t="shared" si="42"/>
        <v>707.83702213279673</v>
      </c>
      <c r="U85" s="275">
        <f t="shared" si="42"/>
        <v>741.56679494227592</v>
      </c>
      <c r="V85" s="275">
        <f t="shared" si="42"/>
        <v>806.10422357638151</v>
      </c>
      <c r="W85" s="275">
        <f t="shared" si="42"/>
        <v>732.55813953488371</v>
      </c>
      <c r="X85" s="275">
        <f t="shared" si="42"/>
        <v>867.35528942115764</v>
      </c>
      <c r="Y85" s="275">
        <f t="shared" si="42"/>
        <v>1029.8850574712644</v>
      </c>
      <c r="Z85" s="275">
        <f t="shared" si="42"/>
        <v>1041.8604651162791</v>
      </c>
      <c r="AA85" s="276">
        <f t="shared" si="44"/>
        <v>1083.5325404401842</v>
      </c>
      <c r="AB85" s="276">
        <f t="shared" si="44"/>
        <v>1055.4829211811627</v>
      </c>
      <c r="AC85" s="276">
        <f t="shared" si="44"/>
        <v>1078.7276428035264</v>
      </c>
    </row>
    <row r="86" spans="1:29">
      <c r="A86" s="247" t="s">
        <v>32</v>
      </c>
      <c r="B86" s="275">
        <f t="shared" si="43"/>
        <v>149.3463435084663</v>
      </c>
      <c r="C86" s="275">
        <f t="shared" si="43"/>
        <v>113.10009932678513</v>
      </c>
      <c r="D86" s="275">
        <f t="shared" si="42"/>
        <v>224.10950838975575</v>
      </c>
      <c r="E86" s="275">
        <f t="shared" si="42"/>
        <v>78.989804421117157</v>
      </c>
      <c r="F86" s="275">
        <f t="shared" si="42"/>
        <v>76.888001824817536</v>
      </c>
      <c r="G86" s="275">
        <f t="shared" si="42"/>
        <v>107.67614043467877</v>
      </c>
      <c r="H86" s="275">
        <f t="shared" si="42"/>
        <v>177.60314341846757</v>
      </c>
      <c r="I86" s="275">
        <f t="shared" si="42"/>
        <v>223.78481724461111</v>
      </c>
      <c r="J86" s="275">
        <f t="shared" si="42"/>
        <v>178.82707838479809</v>
      </c>
      <c r="K86" s="275">
        <f t="shared" si="42"/>
        <v>309.46086956521737</v>
      </c>
      <c r="L86" s="275">
        <f t="shared" si="42"/>
        <v>288.03409090909093</v>
      </c>
      <c r="M86" s="275">
        <f t="shared" si="42"/>
        <v>265.8498023715415</v>
      </c>
      <c r="N86" s="275">
        <f t="shared" si="42"/>
        <v>427.81818181818181</v>
      </c>
      <c r="O86" s="275">
        <f t="shared" si="42"/>
        <v>460.81965853658539</v>
      </c>
      <c r="P86" s="275">
        <f t="shared" si="42"/>
        <v>400.37883008356545</v>
      </c>
      <c r="Q86" s="275">
        <f t="shared" si="42"/>
        <v>575.19042189281652</v>
      </c>
      <c r="R86" s="275">
        <f t="shared" si="42"/>
        <v>626.98189134808854</v>
      </c>
      <c r="S86" s="275">
        <f t="shared" si="42"/>
        <v>713.78755622188896</v>
      </c>
      <c r="T86" s="275">
        <f t="shared" si="42"/>
        <v>773.56136820925553</v>
      </c>
      <c r="U86" s="275">
        <f t="shared" si="42"/>
        <v>726.67399670148427</v>
      </c>
      <c r="V86" s="275">
        <f t="shared" si="42"/>
        <v>957.39651187224206</v>
      </c>
      <c r="W86" s="275">
        <f t="shared" si="42"/>
        <v>811.62790697674416</v>
      </c>
      <c r="X86" s="275">
        <f t="shared" si="42"/>
        <v>848.75249500997995</v>
      </c>
      <c r="Y86" s="275">
        <f t="shared" si="42"/>
        <v>1188.5057471264367</v>
      </c>
      <c r="Z86" s="275">
        <f t="shared" si="42"/>
        <v>1202.3255813953488</v>
      </c>
      <c r="AA86" s="276">
        <f t="shared" si="44"/>
        <v>1175.7371387615319</v>
      </c>
      <c r="AB86" s="276">
        <f t="shared" si="44"/>
        <v>1180.6118930303746</v>
      </c>
      <c r="AC86" s="276">
        <f t="shared" si="44"/>
        <v>1185.7470392743282</v>
      </c>
    </row>
    <row r="87" spans="1:29">
      <c r="A87" s="247" t="s">
        <v>33</v>
      </c>
      <c r="B87" s="275">
        <f t="shared" si="43"/>
        <v>137.57741385052918</v>
      </c>
      <c r="C87" s="275">
        <f t="shared" si="43"/>
        <v>103.05705771989847</v>
      </c>
      <c r="D87" s="275">
        <f t="shared" si="42"/>
        <v>202.4433323520754</v>
      </c>
      <c r="E87" s="275">
        <f t="shared" si="42"/>
        <v>63.421025242038112</v>
      </c>
      <c r="F87" s="275">
        <f t="shared" si="42"/>
        <v>59.647817460317462</v>
      </c>
      <c r="G87" s="275">
        <f t="shared" si="42"/>
        <v>97.281739686600574</v>
      </c>
      <c r="H87" s="275">
        <f t="shared" si="42"/>
        <v>190.93243243243242</v>
      </c>
      <c r="I87" s="275">
        <f t="shared" si="42"/>
        <v>170.21256598511235</v>
      </c>
      <c r="J87" s="275">
        <f t="shared" si="42"/>
        <v>191.22945456199318</v>
      </c>
      <c r="K87" s="275">
        <f t="shared" si="42"/>
        <v>286.81739130434784</v>
      </c>
      <c r="L87" s="275">
        <f t="shared" si="42"/>
        <v>280.15909090909093</v>
      </c>
      <c r="M87" s="275">
        <f t="shared" si="42"/>
        <v>265.37549407114625</v>
      </c>
      <c r="N87" s="275">
        <f t="shared" si="42"/>
        <v>420.4909090909091</v>
      </c>
      <c r="O87" s="275">
        <f t="shared" si="42"/>
        <v>454.43580487804877</v>
      </c>
      <c r="P87" s="275">
        <f t="shared" si="42"/>
        <v>295.02841225626742</v>
      </c>
      <c r="Q87" s="275">
        <f t="shared" si="42"/>
        <v>564.0790573926264</v>
      </c>
      <c r="R87" s="275">
        <f t="shared" si="42"/>
        <v>617.52515090543261</v>
      </c>
      <c r="S87" s="275">
        <f t="shared" si="42"/>
        <v>643.80374812593709</v>
      </c>
      <c r="T87" s="275">
        <f t="shared" si="42"/>
        <v>738.57142857142856</v>
      </c>
      <c r="U87" s="275">
        <f t="shared" si="42"/>
        <v>574.20010995052223</v>
      </c>
      <c r="V87" s="275">
        <f t="shared" si="42"/>
        <v>903.02584576591721</v>
      </c>
      <c r="W87" s="275">
        <f t="shared" si="42"/>
        <v>697.67441860465112</v>
      </c>
      <c r="X87" s="275">
        <f t="shared" si="42"/>
        <v>895.25948103792416</v>
      </c>
      <c r="Y87" s="275">
        <f t="shared" si="42"/>
        <v>1045.9770114942528</v>
      </c>
      <c r="Z87" s="276">
        <f t="shared" si="44"/>
        <v>1063.0225657068215</v>
      </c>
      <c r="AA87" s="276">
        <f t="shared" si="44"/>
        <v>1067.6243670625461</v>
      </c>
      <c r="AB87" s="276">
        <f t="shared" si="44"/>
        <v>1085.4651592015371</v>
      </c>
      <c r="AC87" s="276">
        <f t="shared" si="44"/>
        <v>1081.9866873595847</v>
      </c>
    </row>
    <row r="88" spans="1:29">
      <c r="A88" s="247" t="s">
        <v>14</v>
      </c>
      <c r="B88" s="275">
        <f t="shared" si="43"/>
        <v>110.50221538227115</v>
      </c>
      <c r="C88" s="275">
        <f t="shared" si="43"/>
        <v>82.764963396240276</v>
      </c>
      <c r="D88" s="275">
        <f t="shared" si="42"/>
        <v>192.96438033559028</v>
      </c>
      <c r="E88" s="275">
        <f t="shared" si="42"/>
        <v>38.723414450667498</v>
      </c>
      <c r="F88" s="275">
        <f t="shared" si="42"/>
        <v>41.914682539682545</v>
      </c>
      <c r="G88" s="275">
        <f t="shared" si="42"/>
        <v>58.369043811960346</v>
      </c>
      <c r="H88" s="275">
        <f t="shared" si="42"/>
        <v>161.35135135135135</v>
      </c>
      <c r="I88" s="275">
        <f t="shared" si="42"/>
        <v>136.69744804501525</v>
      </c>
      <c r="J88" s="275">
        <f t="shared" si="42"/>
        <v>153.57607870121089</v>
      </c>
      <c r="K88" s="275">
        <f t="shared" si="42"/>
        <v>287.30434782608694</v>
      </c>
      <c r="L88" s="275">
        <f t="shared" si="42"/>
        <v>302.35227272727275</v>
      </c>
      <c r="M88" s="275">
        <f t="shared" si="42"/>
        <v>235.49407114624503</v>
      </c>
      <c r="N88" s="275">
        <f t="shared" si="42"/>
        <v>430.65454545454543</v>
      </c>
      <c r="O88" s="275">
        <f t="shared" si="42"/>
        <v>491.08385365853655</v>
      </c>
      <c r="P88" s="275">
        <f t="shared" si="42"/>
        <v>262.66740947075209</v>
      </c>
      <c r="Q88" s="275">
        <f t="shared" si="42"/>
        <v>573.77194982896242</v>
      </c>
      <c r="R88" s="275">
        <f t="shared" si="42"/>
        <v>623.19919517102619</v>
      </c>
      <c r="S88" s="275">
        <f t="shared" si="42"/>
        <v>647.58665667166406</v>
      </c>
      <c r="T88" s="275">
        <f t="shared" si="42"/>
        <v>759.13983903420535</v>
      </c>
      <c r="U88" s="275">
        <f t="shared" si="42"/>
        <v>498.55415063221551</v>
      </c>
      <c r="V88" s="275">
        <f t="shared" si="42"/>
        <v>940.84891783988223</v>
      </c>
      <c r="W88" s="275">
        <f t="shared" si="42"/>
        <v>651.16279069767438</v>
      </c>
      <c r="X88" s="275">
        <f t="shared" si="42"/>
        <v>832.47504990019956</v>
      </c>
      <c r="Y88" s="275">
        <f t="shared" si="42"/>
        <v>903.44827586206895</v>
      </c>
      <c r="Z88" s="276">
        <f t="shared" si="44"/>
        <v>1027.7021229512</v>
      </c>
      <c r="AA88" s="276">
        <f t="shared" si="44"/>
        <v>992.49690335439936</v>
      </c>
      <c r="AB88" s="276">
        <f t="shared" si="44"/>
        <v>1026.6957966613227</v>
      </c>
      <c r="AC88" s="276">
        <f t="shared" si="44"/>
        <v>999.80417638977065</v>
      </c>
    </row>
    <row r="89" spans="1:29">
      <c r="A89" s="247" t="s">
        <v>34</v>
      </c>
      <c r="B89" s="275">
        <f t="shared" si="43"/>
        <v>84.702205623789624</v>
      </c>
      <c r="C89" s="275">
        <f t="shared" si="43"/>
        <v>64.326969061545825</v>
      </c>
      <c r="D89" s="275">
        <f t="shared" si="42"/>
        <v>138.79894024138949</v>
      </c>
      <c r="E89" s="275">
        <f t="shared" si="42"/>
        <v>38.41850567546539</v>
      </c>
      <c r="F89" s="275">
        <f t="shared" si="42"/>
        <v>20.312500000000004</v>
      </c>
      <c r="G89" s="275">
        <f t="shared" si="42"/>
        <v>35.669971218420216</v>
      </c>
      <c r="H89" s="275">
        <f t="shared" si="42"/>
        <v>145.2162162162162</v>
      </c>
      <c r="I89" s="275">
        <f t="shared" si="42"/>
        <v>106.2446251451301</v>
      </c>
      <c r="J89" s="275">
        <f t="shared" si="42"/>
        <v>119.36311281755596</v>
      </c>
      <c r="K89" s="275">
        <f t="shared" si="42"/>
        <v>251.75652173913045</v>
      </c>
      <c r="L89" s="275">
        <f t="shared" si="42"/>
        <v>315</v>
      </c>
      <c r="M89" s="275">
        <f t="shared" si="42"/>
        <v>198.73517786561263</v>
      </c>
      <c r="N89" s="275">
        <f t="shared" si="42"/>
        <v>392.36363636363637</v>
      </c>
      <c r="O89" s="275">
        <f t="shared" si="42"/>
        <v>436.46643902439024</v>
      </c>
      <c r="P89" s="275">
        <f t="shared" si="42"/>
        <v>214.48022284122561</v>
      </c>
      <c r="Q89" s="275">
        <f t="shared" si="42"/>
        <v>519.16077537058152</v>
      </c>
      <c r="R89" s="275">
        <f t="shared" si="42"/>
        <v>613.74245472837026</v>
      </c>
      <c r="S89" s="275">
        <f t="shared" si="42"/>
        <v>506.43688155922035</v>
      </c>
      <c r="T89" s="275">
        <f t="shared" si="42"/>
        <v>733.6066398390343</v>
      </c>
      <c r="U89" s="275">
        <f t="shared" si="42"/>
        <v>388.63111599780098</v>
      </c>
      <c r="V89" s="275">
        <f t="shared" si="42"/>
        <v>903.02584576591721</v>
      </c>
      <c r="W89" s="275">
        <f t="shared" si="42"/>
        <v>581.39534883720933</v>
      </c>
      <c r="X89" s="275">
        <f t="shared" si="42"/>
        <v>734.8103792415169</v>
      </c>
      <c r="Y89" s="275">
        <f t="shared" si="42"/>
        <v>760.91954022988511</v>
      </c>
      <c r="Z89" s="276">
        <f t="shared" si="44"/>
        <v>932.60905936191216</v>
      </c>
      <c r="AA89" s="276">
        <f t="shared" si="44"/>
        <v>873.77900990500154</v>
      </c>
      <c r="AB89" s="276">
        <f t="shared" si="44"/>
        <v>922.30235861666847</v>
      </c>
      <c r="AC89" s="276">
        <f t="shared" si="44"/>
        <v>880.98517073415064</v>
      </c>
    </row>
    <row r="90" spans="1:29">
      <c r="A90" s="247" t="s">
        <v>35</v>
      </c>
      <c r="B90" s="275">
        <f t="shared" si="43"/>
        <v>73.474086692283564</v>
      </c>
      <c r="C90" s="275">
        <f t="shared" si="43"/>
        <v>57.580105212816825</v>
      </c>
      <c r="D90" s="275">
        <f t="shared" si="42"/>
        <v>107.65381218722406</v>
      </c>
      <c r="E90" s="275">
        <f t="shared" si="42"/>
        <v>22.553602533650039</v>
      </c>
      <c r="F90" s="275">
        <f t="shared" si="42"/>
        <v>18.404494382022474</v>
      </c>
      <c r="G90" s="275">
        <f t="shared" si="42"/>
        <v>22.177268998433892</v>
      </c>
      <c r="H90" s="275">
        <f t="shared" si="42"/>
        <v>158.46283783783784</v>
      </c>
      <c r="I90" s="275">
        <f t="shared" si="42"/>
        <v>95.225232821063116</v>
      </c>
      <c r="J90" s="275">
        <f t="shared" si="42"/>
        <v>110.1253962507395</v>
      </c>
      <c r="K90" s="275">
        <f t="shared" si="42"/>
        <v>203.7913043478261</v>
      </c>
      <c r="L90" s="275">
        <f t="shared" si="42"/>
        <v>257.25</v>
      </c>
      <c r="M90" s="275">
        <f t="shared" si="42"/>
        <v>162.21343873517787</v>
      </c>
      <c r="N90" s="275">
        <f t="shared" si="42"/>
        <v>403.70909090909095</v>
      </c>
      <c r="O90" s="275">
        <f t="shared" si="42"/>
        <v>392.72521951219511</v>
      </c>
      <c r="P90" s="275">
        <f t="shared" si="42"/>
        <v>270.69860724233979</v>
      </c>
      <c r="Q90" s="275">
        <f t="shared" si="42"/>
        <v>495.04675028506273</v>
      </c>
      <c r="R90" s="275">
        <f t="shared" si="42"/>
        <v>535.25150905432599</v>
      </c>
      <c r="S90" s="275">
        <f t="shared" si="42"/>
        <v>389.40314842578709</v>
      </c>
      <c r="T90" s="275">
        <f t="shared" si="42"/>
        <v>669.53722334004021</v>
      </c>
      <c r="U90" s="275">
        <f t="shared" si="42"/>
        <v>365.70093457943921</v>
      </c>
      <c r="V90" s="275">
        <f t="shared" si="42"/>
        <v>761.18932548854798</v>
      </c>
      <c r="W90" s="275">
        <f t="shared" si="42"/>
        <v>493.02325581395348</v>
      </c>
      <c r="X90" s="275">
        <f t="shared" si="42"/>
        <v>497.62475049900195</v>
      </c>
      <c r="Y90" s="275">
        <f t="shared" si="42"/>
        <v>618.39080459770116</v>
      </c>
      <c r="Z90" s="276">
        <f t="shared" si="44"/>
        <v>777.87691413199263</v>
      </c>
      <c r="AA90" s="276">
        <f t="shared" si="44"/>
        <v>709.6325115555785</v>
      </c>
      <c r="AB90" s="276">
        <f t="shared" si="44"/>
        <v>742.06048532944521</v>
      </c>
      <c r="AC90" s="276">
        <f t="shared" si="44"/>
        <v>702.46007668126617</v>
      </c>
    </row>
    <row r="91" spans="1:29">
      <c r="A91" s="247" t="s">
        <v>36</v>
      </c>
      <c r="B91" s="275">
        <f t="shared" si="43"/>
        <v>32.491749008025728</v>
      </c>
      <c r="C91" s="275">
        <f t="shared" si="43"/>
        <v>25.596880403193175</v>
      </c>
      <c r="D91" s="275">
        <f t="shared" si="42"/>
        <v>26.744186046511636</v>
      </c>
      <c r="E91" s="275">
        <f t="shared" si="42"/>
        <v>25.412509897070464</v>
      </c>
      <c r="F91" s="275">
        <f t="shared" si="42"/>
        <v>17.541783707865168</v>
      </c>
      <c r="G91" s="275">
        <f t="shared" si="42"/>
        <v>10.940786039227387</v>
      </c>
      <c r="H91" s="275">
        <f t="shared" si="42"/>
        <v>64.459459459459453</v>
      </c>
      <c r="I91" s="275">
        <f t="shared" si="42"/>
        <v>42.331789545678326</v>
      </c>
      <c r="J91" s="275">
        <f t="shared" si="42"/>
        <v>48.955565238477234</v>
      </c>
      <c r="K91" s="275">
        <f t="shared" si="42"/>
        <v>66.469565217391306</v>
      </c>
      <c r="L91" s="275">
        <f t="shared" si="42"/>
        <v>143.18181818181819</v>
      </c>
      <c r="M91" s="275">
        <f t="shared" si="42"/>
        <v>123.3201581027668</v>
      </c>
      <c r="N91" s="275">
        <f t="shared" si="42"/>
        <v>268.5090909090909</v>
      </c>
      <c r="O91" s="275">
        <f t="shared" si="42"/>
        <v>251.33468292682926</v>
      </c>
      <c r="P91" s="275">
        <f t="shared" si="42"/>
        <v>181.88300835654596</v>
      </c>
      <c r="Q91" s="275">
        <f t="shared" si="42"/>
        <v>341.3789433675409</v>
      </c>
      <c r="R91" s="275">
        <f t="shared" si="42"/>
        <v>228.14386317907446</v>
      </c>
      <c r="S91" s="275">
        <f t="shared" si="42"/>
        <v>168.57586206896551</v>
      </c>
      <c r="T91" s="275">
        <f t="shared" si="42"/>
        <v>267.15291750503019</v>
      </c>
      <c r="U91" s="275">
        <f t="shared" si="42"/>
        <v>163.11159978009894</v>
      </c>
      <c r="V91" s="275">
        <f t="shared" si="42"/>
        <v>420.78167682286193</v>
      </c>
      <c r="W91" s="275">
        <f t="shared" si="42"/>
        <v>140.46511627906978</v>
      </c>
      <c r="X91" s="275">
        <f t="shared" si="42"/>
        <v>165.79740518962075</v>
      </c>
      <c r="Y91" s="275">
        <f t="shared" si="42"/>
        <v>475.86206896551727</v>
      </c>
      <c r="Z91" s="276">
        <f>Z92-SUM(Z80:Z90)</f>
        <v>772.43274870078676</v>
      </c>
      <c r="AA91" s="276">
        <f>AA92-SUM(AA80:AA90)</f>
        <v>354.31133800140015</v>
      </c>
      <c r="AB91" s="276">
        <f>AB92-SUM(AB80:AB90)</f>
        <v>465.62011284360779</v>
      </c>
      <c r="AC91" s="276">
        <f>AC92-SUM(AC80:AC90)</f>
        <v>433.03185833422503</v>
      </c>
    </row>
    <row r="92" spans="1:29" ht="15.75" thickBot="1">
      <c r="A92" s="247" t="s">
        <v>138</v>
      </c>
      <c r="B92" s="245">
        <f>SUM(B80:B91)</f>
        <v>1936.4137399724195</v>
      </c>
      <c r="C92" s="245">
        <f t="shared" ref="C92:Y92" si="45">SUM(C80:C91)</f>
        <v>1426.450289311568</v>
      </c>
      <c r="D92" s="245">
        <f t="shared" si="45"/>
        <v>2302.1387070359733</v>
      </c>
      <c r="E92" s="245">
        <f t="shared" si="45"/>
        <v>1071.9005257072108</v>
      </c>
      <c r="F92" s="245">
        <f t="shared" si="45"/>
        <v>1160.6520777731814</v>
      </c>
      <c r="G92" s="245">
        <f t="shared" si="45"/>
        <v>1374.6965410987168</v>
      </c>
      <c r="H92" s="245">
        <f t="shared" si="45"/>
        <v>2141.9268837690702</v>
      </c>
      <c r="I92" s="245">
        <f t="shared" si="45"/>
        <v>2358.6914261003722</v>
      </c>
      <c r="J92" s="245">
        <f t="shared" si="45"/>
        <v>2127.1943360664236</v>
      </c>
      <c r="K92" s="245">
        <f t="shared" si="45"/>
        <v>3123.6766859341028</v>
      </c>
      <c r="L92" s="245">
        <f t="shared" si="45"/>
        <v>3267.4464426877466</v>
      </c>
      <c r="M92" s="245">
        <f t="shared" si="45"/>
        <v>2665.569664031621</v>
      </c>
      <c r="N92" s="245">
        <f t="shared" si="45"/>
        <v>4452.7201581027675</v>
      </c>
      <c r="O92" s="245">
        <f t="shared" si="45"/>
        <v>4835.1347006651886</v>
      </c>
      <c r="P92" s="245">
        <f t="shared" si="45"/>
        <v>4163.0074681703927</v>
      </c>
      <c r="Q92" s="245">
        <f t="shared" si="45"/>
        <v>5905.1300942586195</v>
      </c>
      <c r="R92" s="245">
        <f t="shared" si="45"/>
        <v>6741.7011349740396</v>
      </c>
      <c r="S92" s="245">
        <f t="shared" si="45"/>
        <v>6980.6262332616398</v>
      </c>
      <c r="T92" s="245">
        <f t="shared" si="45"/>
        <v>8476.3437503582227</v>
      </c>
      <c r="U92" s="245">
        <f t="shared" si="45"/>
        <v>7356.4007464246733</v>
      </c>
      <c r="V92" s="245">
        <f t="shared" si="45"/>
        <v>10010.819899011403</v>
      </c>
      <c r="W92" s="245">
        <f t="shared" si="45"/>
        <v>8281.8989723266077</v>
      </c>
      <c r="X92" s="245">
        <f t="shared" si="45"/>
        <v>8869.6497005988003</v>
      </c>
      <c r="Y92" s="245">
        <f t="shared" si="45"/>
        <v>11746.23167458187</v>
      </c>
      <c r="Z92" s="273">
        <f>Z12</f>
        <v>12000</v>
      </c>
      <c r="AA92" s="273">
        <f>AA12</f>
        <v>12000</v>
      </c>
      <c r="AB92" s="273">
        <f>AB12</f>
        <v>12000</v>
      </c>
      <c r="AC92" s="273">
        <f>AC12</f>
        <v>12000</v>
      </c>
    </row>
    <row r="93" spans="1:29">
      <c r="A93" s="271"/>
      <c r="B93" s="277">
        <f t="shared" ref="B93:AC93" si="46">SUM(B80:B91)-B12</f>
        <v>0</v>
      </c>
      <c r="C93" s="277">
        <f t="shared" si="46"/>
        <v>0</v>
      </c>
      <c r="D93" s="277">
        <f t="shared" si="46"/>
        <v>0</v>
      </c>
      <c r="E93" s="277">
        <f t="shared" si="46"/>
        <v>0</v>
      </c>
      <c r="F93" s="277">
        <f t="shared" si="46"/>
        <v>0</v>
      </c>
      <c r="G93" s="277">
        <f t="shared" si="46"/>
        <v>0</v>
      </c>
      <c r="H93" s="277">
        <f t="shared" si="46"/>
        <v>0</v>
      </c>
      <c r="I93" s="277">
        <f t="shared" si="46"/>
        <v>0</v>
      </c>
      <c r="J93" s="277">
        <f t="shared" si="46"/>
        <v>0</v>
      </c>
      <c r="K93" s="277">
        <f t="shared" si="46"/>
        <v>0</v>
      </c>
      <c r="L93" s="277">
        <f t="shared" si="46"/>
        <v>0</v>
      </c>
      <c r="M93" s="277">
        <f t="shared" si="46"/>
        <v>0</v>
      </c>
      <c r="N93" s="277">
        <f t="shared" si="46"/>
        <v>0</v>
      </c>
      <c r="O93" s="277">
        <f t="shared" si="46"/>
        <v>0</v>
      </c>
      <c r="P93" s="277">
        <f t="shared" si="46"/>
        <v>0</v>
      </c>
      <c r="Q93" s="277">
        <f t="shared" si="46"/>
        <v>0</v>
      </c>
      <c r="R93" s="277">
        <f t="shared" si="46"/>
        <v>0</v>
      </c>
      <c r="S93" s="277">
        <f t="shared" si="46"/>
        <v>0</v>
      </c>
      <c r="T93" s="277">
        <f t="shared" si="46"/>
        <v>0</v>
      </c>
      <c r="U93" s="277">
        <f t="shared" si="46"/>
        <v>0</v>
      </c>
      <c r="V93" s="277">
        <f t="shared" si="46"/>
        <v>0</v>
      </c>
      <c r="W93" s="277">
        <f t="shared" si="46"/>
        <v>0</v>
      </c>
      <c r="X93" s="277">
        <f t="shared" si="46"/>
        <v>0</v>
      </c>
      <c r="Y93" s="277">
        <f t="shared" si="46"/>
        <v>0</v>
      </c>
      <c r="Z93" s="277">
        <f>SUM(Z80:Z91)-Z12</f>
        <v>0</v>
      </c>
      <c r="AA93" s="277">
        <f t="shared" si="46"/>
        <v>0</v>
      </c>
      <c r="AB93" s="277">
        <f t="shared" si="46"/>
        <v>0</v>
      </c>
      <c r="AC93" s="277">
        <f t="shared" si="46"/>
        <v>0</v>
      </c>
    </row>
    <row r="94" spans="1:29" ht="15.75" thickBot="1">
      <c r="A94" s="247" t="s">
        <v>390</v>
      </c>
    </row>
    <row r="95" spans="1:29" ht="15.75" thickBot="1">
      <c r="A95" s="263"/>
      <c r="B95" s="235" t="str">
        <f>B$2</f>
        <v xml:space="preserve">93/94 </v>
      </c>
      <c r="C95" s="235" t="str">
        <f t="shared" ref="C95:AC95" si="47">C$2</f>
        <v xml:space="preserve">94/95 </v>
      </c>
      <c r="D95" s="235" t="str">
        <f t="shared" si="47"/>
        <v xml:space="preserve">95/96 </v>
      </c>
      <c r="E95" s="235" t="str">
        <f t="shared" si="47"/>
        <v xml:space="preserve">96/97 </v>
      </c>
      <c r="F95" s="235" t="str">
        <f t="shared" si="47"/>
        <v xml:space="preserve">97/98 </v>
      </c>
      <c r="G95" s="235" t="str">
        <f t="shared" si="47"/>
        <v xml:space="preserve">98/99 </v>
      </c>
      <c r="H95" s="235" t="str">
        <f t="shared" si="47"/>
        <v xml:space="preserve">99/00 </v>
      </c>
      <c r="I95" s="235" t="str">
        <f t="shared" si="47"/>
        <v xml:space="preserve">00/01 </v>
      </c>
      <c r="J95" s="235" t="str">
        <f t="shared" si="47"/>
        <v xml:space="preserve">01/02 </v>
      </c>
      <c r="K95" s="235" t="str">
        <f t="shared" si="47"/>
        <v xml:space="preserve">02/03 </v>
      </c>
      <c r="L95" s="235" t="str">
        <f t="shared" si="47"/>
        <v xml:space="preserve">03/04 </v>
      </c>
      <c r="M95" s="235" t="str">
        <f t="shared" si="47"/>
        <v xml:space="preserve">04/05 </v>
      </c>
      <c r="N95" s="235" t="str">
        <f t="shared" si="47"/>
        <v xml:space="preserve">05/06 </v>
      </c>
      <c r="O95" s="235" t="str">
        <f t="shared" si="47"/>
        <v xml:space="preserve">06/07 </v>
      </c>
      <c r="P95" s="235" t="str">
        <f t="shared" si="47"/>
        <v xml:space="preserve">07/08 </v>
      </c>
      <c r="Q95" s="235" t="str">
        <f t="shared" si="47"/>
        <v xml:space="preserve">08/09 </v>
      </c>
      <c r="R95" s="235" t="str">
        <f t="shared" si="47"/>
        <v xml:space="preserve">09/10 </v>
      </c>
      <c r="S95" s="235" t="str">
        <f t="shared" si="47"/>
        <v xml:space="preserve">10/11 </v>
      </c>
      <c r="T95" s="235" t="str">
        <f t="shared" si="47"/>
        <v xml:space="preserve">11/12 </v>
      </c>
      <c r="U95" s="235" t="str">
        <f t="shared" si="47"/>
        <v xml:space="preserve">12/13 </v>
      </c>
      <c r="V95" s="235" t="str">
        <f t="shared" si="47"/>
        <v xml:space="preserve">13/14 </v>
      </c>
      <c r="W95" s="235" t="str">
        <f t="shared" si="47"/>
        <v xml:space="preserve">14/15 </v>
      </c>
      <c r="X95" s="235" t="str">
        <f t="shared" si="47"/>
        <v xml:space="preserve">15/16 </v>
      </c>
      <c r="Y95" s="235" t="str">
        <f t="shared" si="47"/>
        <v xml:space="preserve">16/17 </v>
      </c>
      <c r="Z95" s="235" t="str">
        <f t="shared" si="47"/>
        <v xml:space="preserve">17/18 </v>
      </c>
      <c r="AA95" s="235" t="str">
        <f t="shared" si="47"/>
        <v xml:space="preserve">18/19 </v>
      </c>
      <c r="AB95" s="235" t="str">
        <f t="shared" si="47"/>
        <v xml:space="preserve">19/20 </v>
      </c>
      <c r="AC95" s="235" t="str">
        <f t="shared" si="47"/>
        <v xml:space="preserve">20/21 </v>
      </c>
    </row>
    <row r="96" spans="1:29">
      <c r="A96" s="247" t="s">
        <v>38</v>
      </c>
      <c r="B96" s="278">
        <f t="shared" ref="B96:AC105" si="48">B$124*B80</f>
        <v>101.25014019372412</v>
      </c>
      <c r="C96" s="278">
        <f t="shared" si="48"/>
        <v>49.351406604956793</v>
      </c>
      <c r="D96" s="278">
        <f t="shared" si="48"/>
        <v>36.874869043791755</v>
      </c>
      <c r="E96" s="278">
        <f t="shared" si="48"/>
        <v>42.527700971269304</v>
      </c>
      <c r="F96" s="278">
        <f t="shared" si="48"/>
        <v>19.071018187407738</v>
      </c>
      <c r="G96" s="278">
        <f t="shared" si="48"/>
        <v>47.046488764044945</v>
      </c>
      <c r="H96" s="278">
        <f t="shared" si="48"/>
        <v>47.156618333812766</v>
      </c>
      <c r="I96" s="278">
        <f t="shared" si="48"/>
        <v>71.179750028998953</v>
      </c>
      <c r="J96" s="278">
        <f t="shared" si="48"/>
        <v>64.83640005670604</v>
      </c>
      <c r="K96" s="278">
        <f t="shared" si="48"/>
        <v>76.138638865792075</v>
      </c>
      <c r="L96" s="278">
        <f t="shared" si="48"/>
        <v>75.060869565217388</v>
      </c>
      <c r="M96" s="278">
        <f t="shared" si="48"/>
        <v>44.84375</v>
      </c>
      <c r="N96" s="278">
        <f t="shared" si="48"/>
        <v>71.237979411892439</v>
      </c>
      <c r="O96" s="278">
        <f t="shared" si="48"/>
        <v>56.78067033028865</v>
      </c>
      <c r="P96" s="278">
        <f t="shared" si="48"/>
        <v>107.91913531983433</v>
      </c>
      <c r="Q96" s="278">
        <f t="shared" si="48"/>
        <v>101.30519753871508</v>
      </c>
      <c r="R96" s="278">
        <f t="shared" si="48"/>
        <v>138.74829762973388</v>
      </c>
      <c r="S96" s="278">
        <f t="shared" si="48"/>
        <v>165.23546095852222</v>
      </c>
      <c r="T96" s="278">
        <f t="shared" si="48"/>
        <v>229.92186130339087</v>
      </c>
      <c r="U96" s="278">
        <f t="shared" si="48"/>
        <v>268.4180314444809</v>
      </c>
      <c r="V96" s="278">
        <f t="shared" si="48"/>
        <v>287.70179756887177</v>
      </c>
      <c r="W96" s="278">
        <f t="shared" si="48"/>
        <v>285.08865165032222</v>
      </c>
      <c r="X96" s="278">
        <f t="shared" si="48"/>
        <v>289.07296137339057</v>
      </c>
      <c r="Y96" s="278">
        <f t="shared" si="48"/>
        <v>381.35728542914171</v>
      </c>
      <c r="Z96" s="278">
        <f t="shared" si="48"/>
        <v>137.66666666666666</v>
      </c>
      <c r="AA96" s="276">
        <f t="shared" si="48"/>
        <v>395.62879056174603</v>
      </c>
      <c r="AB96" s="276">
        <f t="shared" si="48"/>
        <v>328.89943971557796</v>
      </c>
      <c r="AC96" s="276">
        <f t="shared" si="48"/>
        <v>340.12699532409312</v>
      </c>
    </row>
    <row r="97" spans="1:29">
      <c r="A97" s="247" t="s">
        <v>39</v>
      </c>
      <c r="B97" s="278">
        <f t="shared" si="48"/>
        <v>115.91659583178696</v>
      </c>
      <c r="C97" s="278">
        <f t="shared" si="48"/>
        <v>83.166685060515761</v>
      </c>
      <c r="D97" s="278">
        <f t="shared" si="48"/>
        <v>110.6307035619665</v>
      </c>
      <c r="E97" s="278">
        <f t="shared" si="48"/>
        <v>78.018697291289826</v>
      </c>
      <c r="F97" s="278">
        <f t="shared" si="48"/>
        <v>89.908642419314504</v>
      </c>
      <c r="G97" s="278">
        <f t="shared" si="48"/>
        <v>97.891832981404534</v>
      </c>
      <c r="H97" s="278">
        <f t="shared" si="48"/>
        <v>106.42072628972191</v>
      </c>
      <c r="I97" s="278">
        <f t="shared" si="48"/>
        <v>127.13283722140487</v>
      </c>
      <c r="J97" s="278">
        <f t="shared" si="48"/>
        <v>106.20008873742978</v>
      </c>
      <c r="K97" s="278">
        <f t="shared" si="48"/>
        <v>138.18411271501424</v>
      </c>
      <c r="L97" s="278">
        <f t="shared" si="48"/>
        <v>128.22727272727272</v>
      </c>
      <c r="M97" s="278">
        <f t="shared" si="48"/>
        <v>112.74703557312253</v>
      </c>
      <c r="N97" s="278">
        <f t="shared" si="48"/>
        <v>153.62285714285713</v>
      </c>
      <c r="O97" s="278">
        <f t="shared" si="48"/>
        <v>182.84268292682927</v>
      </c>
      <c r="P97" s="278">
        <f t="shared" si="48"/>
        <v>192.66824512534816</v>
      </c>
      <c r="Q97" s="278">
        <f t="shared" si="48"/>
        <v>198.13759026985937</v>
      </c>
      <c r="R97" s="278">
        <f t="shared" si="48"/>
        <v>271.17934272300471</v>
      </c>
      <c r="S97" s="278">
        <f t="shared" si="48"/>
        <v>289.37595202398802</v>
      </c>
      <c r="T97" s="278">
        <f t="shared" si="48"/>
        <v>334.58375251509057</v>
      </c>
      <c r="U97" s="278">
        <f t="shared" si="48"/>
        <v>352.48391973611876</v>
      </c>
      <c r="V97" s="278">
        <f t="shared" si="48"/>
        <v>385.62092876654759</v>
      </c>
      <c r="W97" s="278">
        <f t="shared" si="48"/>
        <v>372.66922555881689</v>
      </c>
      <c r="X97" s="278">
        <f t="shared" si="48"/>
        <v>377.38982035928143</v>
      </c>
      <c r="Y97" s="278">
        <f t="shared" si="48"/>
        <v>486.34482758620686</v>
      </c>
      <c r="Z97" s="278">
        <f t="shared" si="48"/>
        <v>495.59999999999997</v>
      </c>
      <c r="AA97" s="276">
        <f t="shared" si="48"/>
        <v>516.74360996898974</v>
      </c>
      <c r="AB97" s="276">
        <f t="shared" si="48"/>
        <v>504.20230944023922</v>
      </c>
      <c r="AC97" s="276">
        <f t="shared" si="48"/>
        <v>513.75701838325631</v>
      </c>
    </row>
    <row r="98" spans="1:29">
      <c r="A98" s="247" t="s">
        <v>40</v>
      </c>
      <c r="B98" s="278">
        <f t="shared" si="48"/>
        <v>111.10646259456905</v>
      </c>
      <c r="C98" s="278">
        <f t="shared" si="48"/>
        <v>79.870507302358092</v>
      </c>
      <c r="D98" s="278">
        <f t="shared" si="48"/>
        <v>106.63821018545778</v>
      </c>
      <c r="E98" s="278">
        <f t="shared" si="48"/>
        <v>82.961058205670199</v>
      </c>
      <c r="F98" s="278">
        <f t="shared" si="48"/>
        <v>95.789459281961499</v>
      </c>
      <c r="G98" s="278">
        <f t="shared" si="48"/>
        <v>84.602275049383536</v>
      </c>
      <c r="H98" s="278">
        <f t="shared" si="48"/>
        <v>93.222178113007814</v>
      </c>
      <c r="I98" s="278">
        <f t="shared" si="48"/>
        <v>122.0941317580844</v>
      </c>
      <c r="J98" s="278">
        <f t="shared" si="48"/>
        <v>101.9910190822431</v>
      </c>
      <c r="K98" s="278">
        <f t="shared" si="48"/>
        <v>132.70740772754775</v>
      </c>
      <c r="L98" s="278">
        <f t="shared" si="48"/>
        <v>125.3712121212121</v>
      </c>
      <c r="M98" s="278">
        <f t="shared" si="48"/>
        <v>114.03162055335969</v>
      </c>
      <c r="N98" s="278">
        <f t="shared" si="48"/>
        <v>158.89662337662335</v>
      </c>
      <c r="O98" s="278">
        <f t="shared" si="48"/>
        <v>180.96585365853659</v>
      </c>
      <c r="P98" s="278">
        <f t="shared" si="48"/>
        <v>185.07977715877439</v>
      </c>
      <c r="Q98" s="278">
        <f t="shared" si="48"/>
        <v>208.61269479285443</v>
      </c>
      <c r="R98" s="278">
        <f t="shared" si="48"/>
        <v>266.53450704225355</v>
      </c>
      <c r="S98" s="278">
        <f t="shared" si="48"/>
        <v>293.32917541229386</v>
      </c>
      <c r="T98" s="278">
        <f t="shared" si="48"/>
        <v>339.62474849094576</v>
      </c>
      <c r="U98" s="278">
        <f t="shared" si="48"/>
        <v>330.05222649807587</v>
      </c>
      <c r="V98" s="278">
        <f t="shared" si="48"/>
        <v>370.58659382223158</v>
      </c>
      <c r="W98" s="278">
        <f t="shared" si="48"/>
        <v>381.3136148114699</v>
      </c>
      <c r="X98" s="278">
        <f t="shared" si="48"/>
        <v>345.70059880239518</v>
      </c>
      <c r="Y98" s="278">
        <f t="shared" si="48"/>
        <v>498.59770114942529</v>
      </c>
      <c r="Z98" s="278">
        <f t="shared" si="48"/>
        <v>508.08604651162784</v>
      </c>
      <c r="AA98" s="276">
        <f t="shared" si="48"/>
        <v>504.20310347997383</v>
      </c>
      <c r="AB98" s="276">
        <f t="shared" si="48"/>
        <v>501.05178748347276</v>
      </c>
      <c r="AC98" s="276">
        <f t="shared" si="48"/>
        <v>511.3239220087799</v>
      </c>
    </row>
    <row r="99" spans="1:29">
      <c r="A99" s="247" t="s">
        <v>30</v>
      </c>
      <c r="B99" s="278">
        <f t="shared" si="48"/>
        <v>105.56903751405731</v>
      </c>
      <c r="C99" s="278">
        <f t="shared" si="48"/>
        <v>75.297060662914319</v>
      </c>
      <c r="D99" s="278">
        <f t="shared" si="48"/>
        <v>116.03988813659113</v>
      </c>
      <c r="E99" s="278">
        <f t="shared" si="48"/>
        <v>69.899104360522102</v>
      </c>
      <c r="F99" s="278">
        <f t="shared" si="48"/>
        <v>72.605469727295485</v>
      </c>
      <c r="G99" s="278">
        <f t="shared" si="48"/>
        <v>80.449288195626991</v>
      </c>
      <c r="H99" s="278">
        <f t="shared" si="48"/>
        <v>99.880905121079792</v>
      </c>
      <c r="I99" s="278">
        <f t="shared" si="48"/>
        <v>115.10292792772724</v>
      </c>
      <c r="J99" s="278">
        <f t="shared" si="48"/>
        <v>96.150934935671515</v>
      </c>
      <c r="K99" s="278">
        <f t="shared" si="48"/>
        <v>125.10847955743797</v>
      </c>
      <c r="L99" s="278">
        <f t="shared" si="48"/>
        <v>131.67424242424241</v>
      </c>
      <c r="M99" s="278">
        <f t="shared" si="48"/>
        <v>109.58498023715414</v>
      </c>
      <c r="N99" s="278">
        <f t="shared" si="48"/>
        <v>163.97506493506492</v>
      </c>
      <c r="O99" s="278">
        <f t="shared" si="48"/>
        <v>187.6829268292683</v>
      </c>
      <c r="P99" s="278">
        <f t="shared" si="48"/>
        <v>196.51175487465181</v>
      </c>
      <c r="Q99" s="278">
        <f t="shared" si="48"/>
        <v>229.9581908019764</v>
      </c>
      <c r="R99" s="278">
        <f t="shared" si="48"/>
        <v>278.9866197183099</v>
      </c>
      <c r="S99" s="278">
        <f t="shared" si="48"/>
        <v>300.44497751124442</v>
      </c>
      <c r="T99" s="278">
        <f t="shared" si="48"/>
        <v>363.14939637826967</v>
      </c>
      <c r="U99" s="278">
        <f t="shared" si="48"/>
        <v>341.02102803738319</v>
      </c>
      <c r="V99" s="278">
        <f t="shared" si="48"/>
        <v>386.10905652447991</v>
      </c>
      <c r="W99" s="278">
        <f t="shared" si="48"/>
        <v>364.98532400090318</v>
      </c>
      <c r="X99" s="278">
        <f t="shared" si="48"/>
        <v>348.58143712574849</v>
      </c>
      <c r="Y99" s="278">
        <f t="shared" si="48"/>
        <v>524.9885057471264</v>
      </c>
      <c r="Z99" s="278">
        <f t="shared" si="48"/>
        <v>534.97906976744184</v>
      </c>
      <c r="AA99" s="276">
        <f t="shared" si="48"/>
        <v>514.54316459323968</v>
      </c>
      <c r="AB99" s="276">
        <f t="shared" si="48"/>
        <v>514.256465116968</v>
      </c>
      <c r="AC99" s="276">
        <f t="shared" si="48"/>
        <v>522.81592693209711</v>
      </c>
    </row>
    <row r="100" spans="1:29">
      <c r="A100" s="247" t="s">
        <v>31</v>
      </c>
      <c r="B100" s="278">
        <f t="shared" si="48"/>
        <v>77.083647760510416</v>
      </c>
      <c r="C100" s="278">
        <f t="shared" si="48"/>
        <v>54.283927454659164</v>
      </c>
      <c r="D100" s="278">
        <f t="shared" si="48"/>
        <v>89.766705916985615</v>
      </c>
      <c r="E100" s="278">
        <f t="shared" si="48"/>
        <v>40.643437284499271</v>
      </c>
      <c r="F100" s="278">
        <f t="shared" si="48"/>
        <v>56.643476277372272</v>
      </c>
      <c r="G100" s="278">
        <f t="shared" si="48"/>
        <v>57.511726773346076</v>
      </c>
      <c r="H100" s="278">
        <f t="shared" si="48"/>
        <v>74.807395453269706</v>
      </c>
      <c r="I100" s="278">
        <f t="shared" si="48"/>
        <v>109.48297407060295</v>
      </c>
      <c r="J100" s="278">
        <f t="shared" si="48"/>
        <v>86.79018210609658</v>
      </c>
      <c r="K100" s="278">
        <f t="shared" si="48"/>
        <v>124.90000000000002</v>
      </c>
      <c r="L100" s="278">
        <f t="shared" si="48"/>
        <v>121.0378787878788</v>
      </c>
      <c r="M100" s="278">
        <f t="shared" si="48"/>
        <v>111.36363636363636</v>
      </c>
      <c r="N100" s="278">
        <f t="shared" si="48"/>
        <v>165.63532467532465</v>
      </c>
      <c r="O100" s="278">
        <f t="shared" si="48"/>
        <v>198.94390243902441</v>
      </c>
      <c r="P100" s="278">
        <f t="shared" si="48"/>
        <v>208.53504178272979</v>
      </c>
      <c r="Q100" s="278">
        <f t="shared" si="48"/>
        <v>234.20752565564425</v>
      </c>
      <c r="R100" s="278">
        <f t="shared" si="48"/>
        <v>266.13920187793428</v>
      </c>
      <c r="S100" s="278">
        <f t="shared" si="48"/>
        <v>307.16545727136435</v>
      </c>
      <c r="T100" s="278">
        <f t="shared" si="48"/>
        <v>332.70573440643869</v>
      </c>
      <c r="U100" s="278">
        <f t="shared" si="48"/>
        <v>337.46357888949973</v>
      </c>
      <c r="V100" s="278">
        <f t="shared" si="48"/>
        <v>353.40449674301323</v>
      </c>
      <c r="W100" s="278">
        <f t="shared" si="48"/>
        <v>319.84240234815985</v>
      </c>
      <c r="X100" s="278">
        <f t="shared" si="48"/>
        <v>302.48802395209577</v>
      </c>
      <c r="Y100" s="278">
        <f t="shared" si="48"/>
        <v>455.24137931034483</v>
      </c>
      <c r="Z100" s="278">
        <f t="shared" si="48"/>
        <v>463.90465116279063</v>
      </c>
      <c r="AA100" s="276">
        <f t="shared" si="48"/>
        <v>462.78236492079162</v>
      </c>
      <c r="AB100" s="276">
        <f t="shared" si="48"/>
        <v>451.20171305083483</v>
      </c>
      <c r="AC100" s="276">
        <f t="shared" si="48"/>
        <v>457.93132646372635</v>
      </c>
    </row>
    <row r="101" spans="1:29">
      <c r="A101" s="247" t="s">
        <v>32</v>
      </c>
      <c r="B101" s="278">
        <f t="shared" si="48"/>
        <v>70.51391023622962</v>
      </c>
      <c r="C101" s="278">
        <f t="shared" si="48"/>
        <v>50.040098591031168</v>
      </c>
      <c r="D101" s="278">
        <f t="shared" si="48"/>
        <v>76.243744480423928</v>
      </c>
      <c r="E101" s="278">
        <f t="shared" si="48"/>
        <v>46.839083212014408</v>
      </c>
      <c r="F101" s="278">
        <f t="shared" si="48"/>
        <v>39.072438738269028</v>
      </c>
      <c r="G101" s="278">
        <f t="shared" si="48"/>
        <v>49.531024599952246</v>
      </c>
      <c r="H101" s="278">
        <f t="shared" si="48"/>
        <v>81.996094115445771</v>
      </c>
      <c r="I101" s="278">
        <f t="shared" si="48"/>
        <v>100.92377382068105</v>
      </c>
      <c r="J101" s="278">
        <f t="shared" si="48"/>
        <v>80.005067300079176</v>
      </c>
      <c r="K101" s="278">
        <f t="shared" si="48"/>
        <v>108.59999999999998</v>
      </c>
      <c r="L101" s="278">
        <f t="shared" si="48"/>
        <v>112.56818181818181</v>
      </c>
      <c r="M101" s="278">
        <f t="shared" si="48"/>
        <v>96.837944664031625</v>
      </c>
      <c r="N101" s="278">
        <f t="shared" si="48"/>
        <v>158.11532467532467</v>
      </c>
      <c r="O101" s="278">
        <f t="shared" si="48"/>
        <v>173.85365853658539</v>
      </c>
      <c r="P101" s="278">
        <f t="shared" si="48"/>
        <v>168.12891364902507</v>
      </c>
      <c r="Q101" s="278">
        <f t="shared" si="48"/>
        <v>213.45496009122007</v>
      </c>
      <c r="R101" s="278">
        <f t="shared" si="48"/>
        <v>240.14788732394371</v>
      </c>
      <c r="S101" s="278">
        <f t="shared" si="48"/>
        <v>279.29523238380813</v>
      </c>
      <c r="T101" s="278">
        <f t="shared" si="48"/>
        <v>295.93611670020118</v>
      </c>
      <c r="U101" s="278">
        <f t="shared" si="48"/>
        <v>309.99216602528861</v>
      </c>
      <c r="V101" s="278">
        <f t="shared" si="48"/>
        <v>332.90313090985495</v>
      </c>
      <c r="W101" s="278">
        <f t="shared" si="48"/>
        <v>302.55362384285394</v>
      </c>
      <c r="X101" s="278">
        <f t="shared" si="48"/>
        <v>358.18423153692612</v>
      </c>
      <c r="Y101" s="278">
        <f t="shared" si="48"/>
        <v>422.25287356321837</v>
      </c>
      <c r="Z101" s="278">
        <f t="shared" si="48"/>
        <v>430.28837209302327</v>
      </c>
      <c r="AA101" s="276">
        <f t="shared" si="48"/>
        <v>451.66656315057548</v>
      </c>
      <c r="AB101" s="276">
        <f t="shared" si="48"/>
        <v>439.57005206575582</v>
      </c>
      <c r="AC101" s="276">
        <f t="shared" si="48"/>
        <v>448.91452613588939</v>
      </c>
    </row>
    <row r="102" spans="1:29">
      <c r="A102" s="247" t="s">
        <v>33</v>
      </c>
      <c r="B102" s="278">
        <f t="shared" si="48"/>
        <v>64.403053337623561</v>
      </c>
      <c r="C102" s="278">
        <f t="shared" si="48"/>
        <v>45.240039730714052</v>
      </c>
      <c r="D102" s="278">
        <f t="shared" si="48"/>
        <v>85.259052104798386</v>
      </c>
      <c r="E102" s="278">
        <f t="shared" si="48"/>
        <v>35.439094705386559</v>
      </c>
      <c r="F102" s="278">
        <f t="shared" si="48"/>
        <v>30.980513555787287</v>
      </c>
      <c r="G102" s="278">
        <f t="shared" si="48"/>
        <v>43.070456173871513</v>
      </c>
      <c r="H102" s="278">
        <f t="shared" si="48"/>
        <v>71.886986621760684</v>
      </c>
      <c r="I102" s="278">
        <f t="shared" si="48"/>
        <v>91.242736644798526</v>
      </c>
      <c r="J102" s="278">
        <f t="shared" si="48"/>
        <v>72.330641330166259</v>
      </c>
      <c r="K102" s="278">
        <f t="shared" si="48"/>
        <v>127.09999999999998</v>
      </c>
      <c r="L102" s="278">
        <f t="shared" si="48"/>
        <v>118.87121212121212</v>
      </c>
      <c r="M102" s="278">
        <f t="shared" si="48"/>
        <v>110.7707509881423</v>
      </c>
      <c r="N102" s="278">
        <f t="shared" si="48"/>
        <v>176.76883116883116</v>
      </c>
      <c r="O102" s="278">
        <f t="shared" si="48"/>
        <v>192.52317073170735</v>
      </c>
      <c r="P102" s="278">
        <f t="shared" si="48"/>
        <v>167.04484679665737</v>
      </c>
      <c r="Q102" s="278">
        <f t="shared" si="48"/>
        <v>240.43329532497154</v>
      </c>
      <c r="R102" s="278">
        <f t="shared" si="48"/>
        <v>262.087323943662</v>
      </c>
      <c r="S102" s="278">
        <f t="shared" si="48"/>
        <v>298.36953523238378</v>
      </c>
      <c r="T102" s="278">
        <f t="shared" si="48"/>
        <v>323.4144869215292</v>
      </c>
      <c r="U102" s="278">
        <f t="shared" si="48"/>
        <v>303.76663001649257</v>
      </c>
      <c r="V102" s="278">
        <f t="shared" si="48"/>
        <v>395.38348392519435</v>
      </c>
      <c r="W102" s="278">
        <f t="shared" si="48"/>
        <v>335.21020546398734</v>
      </c>
      <c r="X102" s="278">
        <f t="shared" si="48"/>
        <v>350.50199600798402</v>
      </c>
      <c r="Y102" s="278">
        <f t="shared" si="48"/>
        <v>487.28735632183901</v>
      </c>
      <c r="Z102" s="276">
        <f t="shared" si="48"/>
        <v>496.56046511627903</v>
      </c>
      <c r="AA102" s="276">
        <f t="shared" si="48"/>
        <v>490.10171158973901</v>
      </c>
      <c r="AB102" s="276">
        <f t="shared" si="48"/>
        <v>491.68169458209348</v>
      </c>
      <c r="AC102" s="276">
        <f t="shared" si="48"/>
        <v>493.45084813944919</v>
      </c>
    </row>
    <row r="103" spans="1:29">
      <c r="A103" s="247" t="s">
        <v>14</v>
      </c>
      <c r="B103" s="278">
        <f t="shared" si="48"/>
        <v>59.327903945406284</v>
      </c>
      <c r="C103" s="278">
        <f t="shared" si="48"/>
        <v>41.222823087959391</v>
      </c>
      <c r="D103" s="278">
        <f t="shared" si="48"/>
        <v>77.016485133941728</v>
      </c>
      <c r="E103" s="278">
        <f t="shared" si="48"/>
        <v>28.454099061731952</v>
      </c>
      <c r="F103" s="278">
        <f t="shared" si="48"/>
        <v>24.033919123204839</v>
      </c>
      <c r="G103" s="278">
        <f t="shared" si="48"/>
        <v>38.912695874640235</v>
      </c>
      <c r="H103" s="278">
        <f t="shared" si="48"/>
        <v>77.282175032175033</v>
      </c>
      <c r="I103" s="278">
        <f t="shared" si="48"/>
        <v>69.399973255732505</v>
      </c>
      <c r="J103" s="278">
        <f t="shared" si="48"/>
        <v>77.34706183547803</v>
      </c>
      <c r="K103" s="278">
        <f t="shared" si="48"/>
        <v>117.8</v>
      </c>
      <c r="L103" s="278">
        <f t="shared" si="48"/>
        <v>115.62121212121212</v>
      </c>
      <c r="M103" s="278">
        <f t="shared" si="48"/>
        <v>110.57312252964428</v>
      </c>
      <c r="N103" s="278">
        <f t="shared" si="48"/>
        <v>173.74129870129869</v>
      </c>
      <c r="O103" s="278">
        <f t="shared" si="48"/>
        <v>189.85609756097563</v>
      </c>
      <c r="P103" s="278">
        <f t="shared" si="48"/>
        <v>123.0908635097493</v>
      </c>
      <c r="Q103" s="278">
        <f t="shared" si="48"/>
        <v>235.7886735081718</v>
      </c>
      <c r="R103" s="278">
        <f t="shared" si="48"/>
        <v>258.13427230046949</v>
      </c>
      <c r="S103" s="278">
        <f t="shared" si="48"/>
        <v>269.11568215892055</v>
      </c>
      <c r="T103" s="278">
        <f t="shared" si="48"/>
        <v>308.78571428571428</v>
      </c>
      <c r="U103" s="278">
        <f t="shared" si="48"/>
        <v>240.02899945024737</v>
      </c>
      <c r="V103" s="278">
        <f t="shared" si="48"/>
        <v>372.92960706030681</v>
      </c>
      <c r="W103" s="278">
        <f t="shared" si="48"/>
        <v>288.14630842176564</v>
      </c>
      <c r="X103" s="278">
        <f t="shared" si="48"/>
        <v>369.70758483033933</v>
      </c>
      <c r="Y103" s="278">
        <f t="shared" si="48"/>
        <v>428.85057471264361</v>
      </c>
      <c r="Z103" s="276">
        <f t="shared" si="48"/>
        <v>439.02831963691727</v>
      </c>
      <c r="AA103" s="276">
        <f t="shared" si="48"/>
        <v>445.03529945768969</v>
      </c>
      <c r="AB103" s="276">
        <f t="shared" si="48"/>
        <v>452.05655815996647</v>
      </c>
      <c r="AC103" s="276">
        <f t="shared" si="48"/>
        <v>450.2707836234016</v>
      </c>
    </row>
    <row r="104" spans="1:29">
      <c r="A104" s="247" t="s">
        <v>34</v>
      </c>
      <c r="B104" s="278">
        <f t="shared" si="48"/>
        <v>47.652188222382136</v>
      </c>
      <c r="C104" s="278">
        <f t="shared" si="48"/>
        <v>33.105985358496113</v>
      </c>
      <c r="D104" s="278">
        <f t="shared" si="48"/>
        <v>73.410362084191959</v>
      </c>
      <c r="E104" s="278">
        <f t="shared" si="48"/>
        <v>17.373416254038258</v>
      </c>
      <c r="F104" s="278">
        <f t="shared" si="48"/>
        <v>16.888699924414212</v>
      </c>
      <c r="G104" s="278">
        <f t="shared" si="48"/>
        <v>23.347617524784141</v>
      </c>
      <c r="H104" s="278">
        <f t="shared" si="48"/>
        <v>65.308880308880305</v>
      </c>
      <c r="I104" s="278">
        <f t="shared" si="48"/>
        <v>55.735011005478327</v>
      </c>
      <c r="J104" s="278">
        <f t="shared" si="48"/>
        <v>62.117305532040575</v>
      </c>
      <c r="K104" s="278">
        <f t="shared" si="48"/>
        <v>117.99999999999999</v>
      </c>
      <c r="L104" s="278">
        <f t="shared" si="48"/>
        <v>124.78030303030303</v>
      </c>
      <c r="M104" s="278">
        <f t="shared" si="48"/>
        <v>98.122529644268766</v>
      </c>
      <c r="N104" s="278">
        <f t="shared" si="48"/>
        <v>177.94077922077921</v>
      </c>
      <c r="O104" s="278">
        <f t="shared" si="48"/>
        <v>205.1670731707317</v>
      </c>
      <c r="P104" s="278">
        <f t="shared" si="48"/>
        <v>109.5893036211699</v>
      </c>
      <c r="Q104" s="278">
        <f t="shared" si="48"/>
        <v>239.84036488027368</v>
      </c>
      <c r="R104" s="278">
        <f t="shared" si="48"/>
        <v>260.50610328638498</v>
      </c>
      <c r="S104" s="278">
        <f t="shared" si="48"/>
        <v>270.69697151424282</v>
      </c>
      <c r="T104" s="278">
        <f t="shared" si="48"/>
        <v>317.38506036217308</v>
      </c>
      <c r="U104" s="278">
        <f t="shared" si="48"/>
        <v>208.40722924683894</v>
      </c>
      <c r="V104" s="278">
        <f t="shared" si="48"/>
        <v>388.54969531414156</v>
      </c>
      <c r="W104" s="278">
        <f t="shared" si="48"/>
        <v>268.93655452698124</v>
      </c>
      <c r="X104" s="278">
        <f t="shared" si="48"/>
        <v>343.78003992015965</v>
      </c>
      <c r="Y104" s="278">
        <f t="shared" si="48"/>
        <v>370.41379310344826</v>
      </c>
      <c r="Z104" s="276">
        <f t="shared" si="48"/>
        <v>424.44097677884554</v>
      </c>
      <c r="AA104" s="276">
        <f t="shared" si="48"/>
        <v>413.71869191261942</v>
      </c>
      <c r="AB104" s="276">
        <f t="shared" si="48"/>
        <v>427.58126705552678</v>
      </c>
      <c r="AC104" s="276">
        <f t="shared" si="48"/>
        <v>416.07037797440029</v>
      </c>
    </row>
    <row r="105" spans="1:29">
      <c r="A105" s="247" t="s">
        <v>35</v>
      </c>
      <c r="B105" s="278">
        <f t="shared" si="48"/>
        <v>36.526375795025992</v>
      </c>
      <c r="C105" s="278">
        <f t="shared" si="48"/>
        <v>25.73078762461833</v>
      </c>
      <c r="D105" s="278">
        <f t="shared" si="48"/>
        <v>52.803944657050351</v>
      </c>
      <c r="E105" s="278">
        <f t="shared" ref="E105:AC107" si="49">E$124*E89</f>
        <v>17.236617700856854</v>
      </c>
      <c r="F105" s="278">
        <f t="shared" si="49"/>
        <v>8.184523809523812</v>
      </c>
      <c r="G105" s="278">
        <f t="shared" si="49"/>
        <v>14.267988487368086</v>
      </c>
      <c r="H105" s="278">
        <f t="shared" si="49"/>
        <v>58.777992277992269</v>
      </c>
      <c r="I105" s="278">
        <f t="shared" si="49"/>
        <v>43.318623986211847</v>
      </c>
      <c r="J105" s="278">
        <f t="shared" si="49"/>
        <v>48.279100565973046</v>
      </c>
      <c r="K105" s="278">
        <f t="shared" si="49"/>
        <v>103.4</v>
      </c>
      <c r="L105" s="278">
        <f t="shared" si="49"/>
        <v>130</v>
      </c>
      <c r="M105" s="278">
        <f t="shared" si="49"/>
        <v>82.806324110671937</v>
      </c>
      <c r="N105" s="278">
        <f t="shared" si="49"/>
        <v>162.1194805194805</v>
      </c>
      <c r="O105" s="278">
        <f t="shared" si="49"/>
        <v>182.34878048780487</v>
      </c>
      <c r="P105" s="278">
        <f t="shared" si="49"/>
        <v>89.484791086350967</v>
      </c>
      <c r="Q105" s="278">
        <f t="shared" si="49"/>
        <v>217.01254275940707</v>
      </c>
      <c r="R105" s="278">
        <f t="shared" si="49"/>
        <v>256.55305164319253</v>
      </c>
      <c r="S105" s="278">
        <f t="shared" si="49"/>
        <v>211.6951124437781</v>
      </c>
      <c r="T105" s="278">
        <f t="shared" si="49"/>
        <v>306.71001006036221</v>
      </c>
      <c r="U105" s="278">
        <f t="shared" si="49"/>
        <v>162.45684442001098</v>
      </c>
      <c r="V105" s="278">
        <f t="shared" si="49"/>
        <v>372.92960706030681</v>
      </c>
      <c r="W105" s="278">
        <f t="shared" si="49"/>
        <v>240.1219236848047</v>
      </c>
      <c r="X105" s="278">
        <f t="shared" si="49"/>
        <v>303.44830339321356</v>
      </c>
      <c r="Y105" s="278">
        <f t="shared" si="49"/>
        <v>311.97701149425291</v>
      </c>
      <c r="Z105" s="276">
        <f t="shared" si="49"/>
        <v>385.16754151646973</v>
      </c>
      <c r="AA105" s="276">
        <f t="shared" si="49"/>
        <v>364.231573697432</v>
      </c>
      <c r="AB105" s="276">
        <f t="shared" si="49"/>
        <v>384.10521635329502</v>
      </c>
      <c r="AC105" s="276">
        <f t="shared" si="49"/>
        <v>366.62362653934395</v>
      </c>
    </row>
    <row r="106" spans="1:29">
      <c r="A106" s="247" t="s">
        <v>36</v>
      </c>
      <c r="B106" s="278">
        <f t="shared" ref="B106:Q107" si="50">B$124*B90</f>
        <v>31.684441768124476</v>
      </c>
      <c r="C106" s="278">
        <f t="shared" si="50"/>
        <v>23.032042085126733</v>
      </c>
      <c r="D106" s="278">
        <f t="shared" si="50"/>
        <v>40.955254636443939</v>
      </c>
      <c r="E106" s="278">
        <f t="shared" si="50"/>
        <v>10.1187648456057</v>
      </c>
      <c r="F106" s="278">
        <f t="shared" si="50"/>
        <v>7.4157303370786529</v>
      </c>
      <c r="G106" s="278">
        <f t="shared" si="50"/>
        <v>8.8709075993735578</v>
      </c>
      <c r="H106" s="278">
        <f t="shared" si="50"/>
        <v>64.139720077220076</v>
      </c>
      <c r="I106" s="278">
        <f t="shared" si="50"/>
        <v>38.825738703866939</v>
      </c>
      <c r="J106" s="278">
        <f t="shared" si="50"/>
        <v>44.542697948767753</v>
      </c>
      <c r="K106" s="278">
        <f t="shared" si="50"/>
        <v>83.7</v>
      </c>
      <c r="L106" s="278">
        <f t="shared" si="50"/>
        <v>106.16666666666666</v>
      </c>
      <c r="M106" s="278">
        <f t="shared" si="50"/>
        <v>67.588932806324124</v>
      </c>
      <c r="N106" s="278">
        <f t="shared" si="50"/>
        <v>166.80727272727273</v>
      </c>
      <c r="O106" s="278">
        <f t="shared" si="50"/>
        <v>164.07439024390246</v>
      </c>
      <c r="P106" s="278">
        <f t="shared" si="50"/>
        <v>112.94005571030638</v>
      </c>
      <c r="Q106" s="278">
        <f t="shared" si="50"/>
        <v>206.93272519954391</v>
      </c>
      <c r="R106" s="278">
        <f t="shared" si="49"/>
        <v>223.74272300469485</v>
      </c>
      <c r="S106" s="278">
        <f t="shared" si="49"/>
        <v>162.77397301349325</v>
      </c>
      <c r="T106" s="278">
        <f t="shared" si="49"/>
        <v>279.92354124748493</v>
      </c>
      <c r="U106" s="278">
        <f t="shared" si="49"/>
        <v>152.87149532710279</v>
      </c>
      <c r="V106" s="278">
        <f t="shared" si="49"/>
        <v>314.35427610842612</v>
      </c>
      <c r="W106" s="278">
        <f t="shared" si="49"/>
        <v>203.62339128471439</v>
      </c>
      <c r="X106" s="278">
        <f t="shared" si="49"/>
        <v>205.49980039920158</v>
      </c>
      <c r="Y106" s="278">
        <f t="shared" si="49"/>
        <v>253.54022988505747</v>
      </c>
      <c r="Z106" s="276">
        <f t="shared" si="49"/>
        <v>321.26316553651293</v>
      </c>
      <c r="AA106" s="276">
        <f t="shared" si="49"/>
        <v>295.80770824290084</v>
      </c>
      <c r="AB106" s="276">
        <f t="shared" si="49"/>
        <v>309.04106511470263</v>
      </c>
      <c r="AC106" s="276">
        <f t="shared" si="49"/>
        <v>292.33007474731625</v>
      </c>
    </row>
    <row r="107" spans="1:29">
      <c r="A107" s="247" t="s">
        <v>37</v>
      </c>
      <c r="B107" s="278">
        <f t="shared" si="50"/>
        <v>14.011510394145891</v>
      </c>
      <c r="C107" s="278">
        <f t="shared" si="50"/>
        <v>10.238752161277271</v>
      </c>
      <c r="D107" s="278">
        <f t="shared" si="50"/>
        <v>10.174418604651166</v>
      </c>
      <c r="E107" s="278">
        <f t="shared" si="50"/>
        <v>11.401425178147266</v>
      </c>
      <c r="F107" s="278">
        <f t="shared" si="50"/>
        <v>7.0681179775280896</v>
      </c>
      <c r="G107" s="278">
        <f t="shared" si="50"/>
        <v>4.3763144156909553</v>
      </c>
      <c r="H107" s="278">
        <f t="shared" si="50"/>
        <v>26.090733590733588</v>
      </c>
      <c r="I107" s="278">
        <f t="shared" si="50"/>
        <v>17.259742518624211</v>
      </c>
      <c r="J107" s="278">
        <f t="shared" si="50"/>
        <v>19.801181467386026</v>
      </c>
      <c r="K107" s="278">
        <f t="shared" si="50"/>
        <v>27.3</v>
      </c>
      <c r="L107" s="278">
        <f t="shared" si="50"/>
        <v>59.090909090909086</v>
      </c>
      <c r="M107" s="278">
        <f t="shared" si="50"/>
        <v>51.383399209486164</v>
      </c>
      <c r="N107" s="278">
        <f t="shared" si="50"/>
        <v>110.94441558441558</v>
      </c>
      <c r="O107" s="278">
        <f t="shared" si="50"/>
        <v>105.00365853658536</v>
      </c>
      <c r="P107" s="278">
        <f t="shared" si="50"/>
        <v>75.884679665738162</v>
      </c>
      <c r="Q107" s="278">
        <f t="shared" si="50"/>
        <v>142.69859369061194</v>
      </c>
      <c r="R107" s="278">
        <f t="shared" si="49"/>
        <v>95.367370892018783</v>
      </c>
      <c r="S107" s="278">
        <f t="shared" si="49"/>
        <v>70.466206896551725</v>
      </c>
      <c r="T107" s="278">
        <f t="shared" si="49"/>
        <v>111.69265593561369</v>
      </c>
      <c r="U107" s="278">
        <f t="shared" si="49"/>
        <v>68.184442001099498</v>
      </c>
      <c r="V107" s="278">
        <f t="shared" si="49"/>
        <v>173.77348182391259</v>
      </c>
      <c r="W107" s="278">
        <f t="shared" si="49"/>
        <v>58.013456762248815</v>
      </c>
      <c r="X107" s="278">
        <f t="shared" si="49"/>
        <v>68.467924151696607</v>
      </c>
      <c r="Y107" s="278">
        <f t="shared" si="49"/>
        <v>195.10344827586206</v>
      </c>
      <c r="Z107" s="276">
        <f t="shared" si="49"/>
        <v>319.01472521342492</v>
      </c>
      <c r="AA107" s="276">
        <f t="shared" si="49"/>
        <v>147.69338099930252</v>
      </c>
      <c r="AB107" s="276">
        <f t="shared" si="49"/>
        <v>193.91375562617733</v>
      </c>
      <c r="AC107" s="276">
        <f t="shared" si="49"/>
        <v>180.20701776088455</v>
      </c>
    </row>
    <row r="108" spans="1:29" ht="15.75" thickBot="1">
      <c r="A108" s="247" t="s">
        <v>138</v>
      </c>
      <c r="B108" s="278">
        <f>SUM(B96:B107)</f>
        <v>835.04526759358589</v>
      </c>
      <c r="C108" s="278">
        <f t="shared" ref="C108:Z108" si="51">SUM(C96:C107)</f>
        <v>570.58011572462715</v>
      </c>
      <c r="D108" s="278">
        <f t="shared" si="51"/>
        <v>875.81363854629421</v>
      </c>
      <c r="E108" s="278">
        <f t="shared" si="51"/>
        <v>480.91249907103179</v>
      </c>
      <c r="F108" s="278">
        <f t="shared" si="51"/>
        <v>467.66200935915742</v>
      </c>
      <c r="G108" s="278">
        <f t="shared" si="51"/>
        <v>549.87861643948679</v>
      </c>
      <c r="H108" s="278">
        <f t="shared" si="51"/>
        <v>866.97040533509971</v>
      </c>
      <c r="I108" s="278">
        <f t="shared" si="51"/>
        <v>961.69822094221172</v>
      </c>
      <c r="J108" s="278">
        <f t="shared" si="51"/>
        <v>860.39168089803798</v>
      </c>
      <c r="K108" s="278">
        <f t="shared" si="51"/>
        <v>1282.9386388657922</v>
      </c>
      <c r="L108" s="278">
        <f t="shared" si="51"/>
        <v>1348.4699604743082</v>
      </c>
      <c r="M108" s="278">
        <f t="shared" si="51"/>
        <v>1110.6540266798418</v>
      </c>
      <c r="N108" s="278">
        <f t="shared" si="51"/>
        <v>1839.8052521391651</v>
      </c>
      <c r="O108" s="278">
        <f t="shared" si="51"/>
        <v>2020.04286545224</v>
      </c>
      <c r="P108" s="278">
        <f t="shared" si="51"/>
        <v>1736.8774083003354</v>
      </c>
      <c r="Q108" s="278">
        <f t="shared" si="51"/>
        <v>2468.3823545132495</v>
      </c>
      <c r="R108" s="278">
        <f t="shared" si="51"/>
        <v>2818.1267013856027</v>
      </c>
      <c r="S108" s="278">
        <f t="shared" si="51"/>
        <v>2917.9637368205913</v>
      </c>
      <c r="T108" s="278">
        <f t="shared" si="51"/>
        <v>3543.8330786072142</v>
      </c>
      <c r="U108" s="278">
        <f t="shared" si="51"/>
        <v>3075.1465910926386</v>
      </c>
      <c r="V108" s="278">
        <f t="shared" si="51"/>
        <v>4134.2461556272865</v>
      </c>
      <c r="W108" s="278">
        <f t="shared" si="51"/>
        <v>3420.5046823570278</v>
      </c>
      <c r="X108" s="278">
        <f t="shared" si="51"/>
        <v>3662.8227218524321</v>
      </c>
      <c r="Y108" s="278">
        <f t="shared" si="51"/>
        <v>4815.9549865785675</v>
      </c>
      <c r="Z108" s="276">
        <f t="shared" si="51"/>
        <v>4955.9999999999991</v>
      </c>
      <c r="AA108" s="273">
        <f>SUM(AA96:AA107)</f>
        <v>5002.1559625749996</v>
      </c>
      <c r="AB108" s="273">
        <f>SUM(AB96:AB107)</f>
        <v>4997.5613237646103</v>
      </c>
      <c r="AC108" s="273">
        <f>SUM(AC96:AC107)</f>
        <v>4993.8224440326376</v>
      </c>
    </row>
    <row r="109" spans="1:29">
      <c r="A109" s="271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1"/>
      <c r="AA109" s="271"/>
      <c r="AB109" s="271"/>
      <c r="AC109" s="277"/>
    </row>
    <row r="110" spans="1:29" ht="15.75" thickBot="1">
      <c r="A110" s="247" t="s">
        <v>391</v>
      </c>
    </row>
    <row r="111" spans="1:29" ht="15.75" thickBot="1">
      <c r="A111" s="263"/>
      <c r="B111" s="235" t="str">
        <f>B$2</f>
        <v xml:space="preserve">93/94 </v>
      </c>
      <c r="C111" s="235" t="str">
        <f t="shared" ref="C111:AC111" si="52">C$2</f>
        <v xml:space="preserve">94/95 </v>
      </c>
      <c r="D111" s="235" t="str">
        <f t="shared" si="52"/>
        <v xml:space="preserve">95/96 </v>
      </c>
      <c r="E111" s="235" t="str">
        <f t="shared" si="52"/>
        <v xml:space="preserve">96/97 </v>
      </c>
      <c r="F111" s="235" t="str">
        <f t="shared" si="52"/>
        <v xml:space="preserve">97/98 </v>
      </c>
      <c r="G111" s="235" t="str">
        <f t="shared" si="52"/>
        <v xml:space="preserve">98/99 </v>
      </c>
      <c r="H111" s="235" t="str">
        <f t="shared" si="52"/>
        <v xml:space="preserve">99/00 </v>
      </c>
      <c r="I111" s="235" t="str">
        <f t="shared" si="52"/>
        <v xml:space="preserve">00/01 </v>
      </c>
      <c r="J111" s="235" t="str">
        <f t="shared" si="52"/>
        <v xml:space="preserve">01/02 </v>
      </c>
      <c r="K111" s="235" t="str">
        <f t="shared" si="52"/>
        <v xml:space="preserve">02/03 </v>
      </c>
      <c r="L111" s="235" t="str">
        <f t="shared" si="52"/>
        <v xml:space="preserve">03/04 </v>
      </c>
      <c r="M111" s="235" t="str">
        <f t="shared" si="52"/>
        <v xml:space="preserve">04/05 </v>
      </c>
      <c r="N111" s="235" t="str">
        <f t="shared" si="52"/>
        <v xml:space="preserve">05/06 </v>
      </c>
      <c r="O111" s="235" t="str">
        <f t="shared" si="52"/>
        <v xml:space="preserve">06/07 </v>
      </c>
      <c r="P111" s="235" t="str">
        <f t="shared" si="52"/>
        <v xml:space="preserve">07/08 </v>
      </c>
      <c r="Q111" s="235" t="str">
        <f t="shared" si="52"/>
        <v xml:space="preserve">08/09 </v>
      </c>
      <c r="R111" s="235" t="str">
        <f t="shared" si="52"/>
        <v xml:space="preserve">09/10 </v>
      </c>
      <c r="S111" s="235" t="str">
        <f t="shared" si="52"/>
        <v xml:space="preserve">10/11 </v>
      </c>
      <c r="T111" s="235" t="str">
        <f t="shared" si="52"/>
        <v xml:space="preserve">11/12 </v>
      </c>
      <c r="U111" s="235" t="str">
        <f t="shared" si="52"/>
        <v xml:space="preserve">12/13 </v>
      </c>
      <c r="V111" s="235" t="str">
        <f t="shared" si="52"/>
        <v xml:space="preserve">13/14 </v>
      </c>
      <c r="W111" s="235" t="str">
        <f t="shared" si="52"/>
        <v xml:space="preserve">14/15 </v>
      </c>
      <c r="X111" s="235" t="str">
        <f t="shared" si="52"/>
        <v xml:space="preserve">15/16 </v>
      </c>
      <c r="Y111" s="235" t="str">
        <f t="shared" si="52"/>
        <v xml:space="preserve">16/17 </v>
      </c>
      <c r="Z111" s="235" t="str">
        <f t="shared" si="52"/>
        <v xml:space="preserve">17/18 </v>
      </c>
      <c r="AA111" s="235" t="str">
        <f t="shared" si="52"/>
        <v xml:space="preserve">18/19 </v>
      </c>
      <c r="AB111" s="235" t="str">
        <f t="shared" si="52"/>
        <v xml:space="preserve">19/20 </v>
      </c>
      <c r="AC111" s="235" t="str">
        <f t="shared" si="52"/>
        <v xml:space="preserve">20/21 </v>
      </c>
    </row>
    <row r="112" spans="1:29">
      <c r="A112" s="247" t="s">
        <v>38</v>
      </c>
      <c r="B112" s="279">
        <f t="shared" ref="B112:AC121" si="53">B96/B80</f>
        <v>0.43123287671232879</v>
      </c>
      <c r="C112" s="279">
        <f t="shared" si="53"/>
        <v>0.4</v>
      </c>
      <c r="D112" s="279">
        <f t="shared" si="53"/>
        <v>0.38043478260869568</v>
      </c>
      <c r="E112" s="279">
        <f t="shared" si="53"/>
        <v>0.44865403788634095</v>
      </c>
      <c r="F112" s="279">
        <f t="shared" si="53"/>
        <v>0.40293040293040294</v>
      </c>
      <c r="G112" s="279">
        <f t="shared" si="53"/>
        <v>0.4</v>
      </c>
      <c r="H112" s="279">
        <f t="shared" si="53"/>
        <v>0.40476190476190477</v>
      </c>
      <c r="I112" s="279">
        <f t="shared" si="53"/>
        <v>0.40772532188841204</v>
      </c>
      <c r="J112" s="279">
        <f t="shared" si="53"/>
        <v>0.40447253281477885</v>
      </c>
      <c r="K112" s="279">
        <f t="shared" si="53"/>
        <v>0.4107142857142857</v>
      </c>
      <c r="L112" s="279">
        <f t="shared" si="53"/>
        <v>0.41269841269841268</v>
      </c>
      <c r="M112" s="279">
        <f t="shared" si="53"/>
        <v>0.41666666666666669</v>
      </c>
      <c r="N112" s="279">
        <f t="shared" si="53"/>
        <v>0.41318681318681311</v>
      </c>
      <c r="O112" s="279">
        <f t="shared" si="53"/>
        <v>0.41778419641015063</v>
      </c>
      <c r="P112" s="279">
        <f t="shared" si="53"/>
        <v>0.41721698113207545</v>
      </c>
      <c r="Q112" s="279">
        <f t="shared" si="53"/>
        <v>0.41800643086816719</v>
      </c>
      <c r="R112" s="279">
        <f t="shared" si="53"/>
        <v>0.41801418439716315</v>
      </c>
      <c r="S112" s="279">
        <f t="shared" si="53"/>
        <v>0.41800887761572614</v>
      </c>
      <c r="T112" s="279">
        <f t="shared" si="53"/>
        <v>0.41808510638297874</v>
      </c>
      <c r="U112" s="279">
        <f t="shared" si="53"/>
        <v>0.4180232558139535</v>
      </c>
      <c r="V112" s="279">
        <f t="shared" si="53"/>
        <v>0.41297777777777783</v>
      </c>
      <c r="W112" s="279">
        <f t="shared" si="53"/>
        <v>0.41300970873786408</v>
      </c>
      <c r="X112" s="279">
        <f t="shared" si="53"/>
        <v>0.41296137339055794</v>
      </c>
      <c r="Y112" s="279">
        <f t="shared" si="53"/>
        <v>0.41</v>
      </c>
      <c r="Z112" s="279">
        <f t="shared" si="53"/>
        <v>0.41299999999999998</v>
      </c>
      <c r="AA112" s="280">
        <f t="shared" si="53"/>
        <v>0.41684633021458339</v>
      </c>
      <c r="AB112" s="280">
        <f t="shared" si="53"/>
        <v>0.4164634436470509</v>
      </c>
      <c r="AC112" s="280">
        <f t="shared" si="53"/>
        <v>0.41615187033605316</v>
      </c>
    </row>
    <row r="113" spans="1:29">
      <c r="A113" s="247" t="s">
        <v>39</v>
      </c>
      <c r="B113" s="279">
        <f t="shared" si="53"/>
        <v>0.43123287671232879</v>
      </c>
      <c r="C113" s="279">
        <f t="shared" si="53"/>
        <v>0.4</v>
      </c>
      <c r="D113" s="279">
        <f t="shared" si="53"/>
        <v>0.38043478260869568</v>
      </c>
      <c r="E113" s="279">
        <f t="shared" si="53"/>
        <v>0.4486540378863409</v>
      </c>
      <c r="F113" s="279">
        <f t="shared" si="53"/>
        <v>0.40293040293040294</v>
      </c>
      <c r="G113" s="279">
        <f t="shared" si="53"/>
        <v>0.4</v>
      </c>
      <c r="H113" s="279">
        <f t="shared" si="53"/>
        <v>0.40476190476190477</v>
      </c>
      <c r="I113" s="279">
        <f t="shared" si="53"/>
        <v>0.40772532188841204</v>
      </c>
      <c r="J113" s="279">
        <f t="shared" si="53"/>
        <v>0.4044725328147788</v>
      </c>
      <c r="K113" s="279">
        <f t="shared" si="53"/>
        <v>0.4107142857142857</v>
      </c>
      <c r="L113" s="279">
        <f t="shared" si="53"/>
        <v>0.41269841269841268</v>
      </c>
      <c r="M113" s="279">
        <f t="shared" si="53"/>
        <v>0.41666666666666669</v>
      </c>
      <c r="N113" s="279">
        <f t="shared" si="53"/>
        <v>0.41318681318681316</v>
      </c>
      <c r="O113" s="279">
        <f t="shared" si="53"/>
        <v>0.41778419641015063</v>
      </c>
      <c r="P113" s="279">
        <f t="shared" si="53"/>
        <v>0.41721698113207539</v>
      </c>
      <c r="Q113" s="279">
        <f t="shared" si="53"/>
        <v>0.41800643086816724</v>
      </c>
      <c r="R113" s="279">
        <f t="shared" si="53"/>
        <v>0.4180141843971632</v>
      </c>
      <c r="S113" s="279">
        <f t="shared" si="53"/>
        <v>0.41800887761572614</v>
      </c>
      <c r="T113" s="279">
        <f t="shared" si="53"/>
        <v>0.41808510638297874</v>
      </c>
      <c r="U113" s="279">
        <f t="shared" si="53"/>
        <v>0.41802325581395355</v>
      </c>
      <c r="V113" s="279">
        <f t="shared" si="53"/>
        <v>0.41297777777777778</v>
      </c>
      <c r="W113" s="279">
        <f t="shared" si="53"/>
        <v>0.41300970873786408</v>
      </c>
      <c r="X113" s="279">
        <f t="shared" si="53"/>
        <v>0.41296137339055794</v>
      </c>
      <c r="Y113" s="279">
        <f t="shared" si="53"/>
        <v>0.41</v>
      </c>
      <c r="Z113" s="279">
        <f t="shared" si="53"/>
        <v>0.41299999999999998</v>
      </c>
      <c r="AA113" s="280">
        <f t="shared" si="53"/>
        <v>0.41684633021458334</v>
      </c>
      <c r="AB113" s="280">
        <f t="shared" si="53"/>
        <v>0.4164634436470509</v>
      </c>
      <c r="AC113" s="280">
        <f t="shared" si="53"/>
        <v>0.41615187033605316</v>
      </c>
    </row>
    <row r="114" spans="1:29">
      <c r="A114" s="247" t="s">
        <v>40</v>
      </c>
      <c r="B114" s="279">
        <f t="shared" si="53"/>
        <v>0.43123287671232879</v>
      </c>
      <c r="C114" s="279">
        <f t="shared" si="53"/>
        <v>0.4</v>
      </c>
      <c r="D114" s="279">
        <f t="shared" si="53"/>
        <v>0.38043478260869568</v>
      </c>
      <c r="E114" s="279">
        <f t="shared" si="53"/>
        <v>0.44865403788634095</v>
      </c>
      <c r="F114" s="279">
        <f t="shared" si="53"/>
        <v>0.40293040293040294</v>
      </c>
      <c r="G114" s="279">
        <f t="shared" si="53"/>
        <v>0.4</v>
      </c>
      <c r="H114" s="279">
        <f t="shared" si="53"/>
        <v>0.40476190476190477</v>
      </c>
      <c r="I114" s="279">
        <f t="shared" si="53"/>
        <v>0.40772532188841204</v>
      </c>
      <c r="J114" s="279">
        <f t="shared" si="53"/>
        <v>0.4044725328147788</v>
      </c>
      <c r="K114" s="279">
        <f t="shared" si="53"/>
        <v>0.41071428571428564</v>
      </c>
      <c r="L114" s="279">
        <f t="shared" si="53"/>
        <v>0.41269841269841268</v>
      </c>
      <c r="M114" s="279">
        <f t="shared" si="53"/>
        <v>0.41666666666666669</v>
      </c>
      <c r="N114" s="279">
        <f t="shared" si="53"/>
        <v>0.41318681318681311</v>
      </c>
      <c r="O114" s="279">
        <f t="shared" si="53"/>
        <v>0.41778419641015063</v>
      </c>
      <c r="P114" s="279">
        <f t="shared" si="53"/>
        <v>0.4172169811320755</v>
      </c>
      <c r="Q114" s="279">
        <f t="shared" si="53"/>
        <v>0.41800643086816719</v>
      </c>
      <c r="R114" s="279">
        <f t="shared" si="53"/>
        <v>0.41801418439716315</v>
      </c>
      <c r="S114" s="279">
        <f t="shared" si="53"/>
        <v>0.41800887761572608</v>
      </c>
      <c r="T114" s="279">
        <f t="shared" si="53"/>
        <v>0.4180851063829788</v>
      </c>
      <c r="U114" s="279">
        <f t="shared" si="53"/>
        <v>0.4180232558139535</v>
      </c>
      <c r="V114" s="279">
        <f t="shared" si="53"/>
        <v>0.41297777777777778</v>
      </c>
      <c r="W114" s="279">
        <f t="shared" si="53"/>
        <v>0.41300970873786408</v>
      </c>
      <c r="X114" s="279">
        <f t="shared" si="53"/>
        <v>0.41296137339055794</v>
      </c>
      <c r="Y114" s="279">
        <f t="shared" si="53"/>
        <v>0.41</v>
      </c>
      <c r="Z114" s="279">
        <f t="shared" si="53"/>
        <v>0.41299999999999998</v>
      </c>
      <c r="AA114" s="280">
        <f t="shared" si="53"/>
        <v>0.41684633021458339</v>
      </c>
      <c r="AB114" s="280">
        <f t="shared" si="53"/>
        <v>0.4164634436470509</v>
      </c>
      <c r="AC114" s="280">
        <f t="shared" si="53"/>
        <v>0.41615187033605316</v>
      </c>
    </row>
    <row r="115" spans="1:29">
      <c r="A115" s="247" t="s">
        <v>30</v>
      </c>
      <c r="B115" s="279">
        <f t="shared" si="53"/>
        <v>0.43123287671232879</v>
      </c>
      <c r="C115" s="279">
        <f t="shared" si="53"/>
        <v>0.4</v>
      </c>
      <c r="D115" s="279">
        <f t="shared" si="53"/>
        <v>0.38043478260869568</v>
      </c>
      <c r="E115" s="279">
        <f t="shared" si="53"/>
        <v>0.44865403788634095</v>
      </c>
      <c r="F115" s="279">
        <f t="shared" si="53"/>
        <v>0.40293040293040294</v>
      </c>
      <c r="G115" s="279">
        <f t="shared" si="53"/>
        <v>0.4</v>
      </c>
      <c r="H115" s="279">
        <f t="shared" si="53"/>
        <v>0.40476190476190477</v>
      </c>
      <c r="I115" s="279">
        <f t="shared" si="53"/>
        <v>0.40772532188841204</v>
      </c>
      <c r="J115" s="279">
        <f t="shared" si="53"/>
        <v>0.4044725328147788</v>
      </c>
      <c r="K115" s="279">
        <f t="shared" si="53"/>
        <v>0.4107142857142857</v>
      </c>
      <c r="L115" s="279">
        <f t="shared" si="53"/>
        <v>0.41269841269841273</v>
      </c>
      <c r="M115" s="279">
        <f t="shared" si="53"/>
        <v>0.41666666666666669</v>
      </c>
      <c r="N115" s="279">
        <f t="shared" si="53"/>
        <v>0.41318681318681311</v>
      </c>
      <c r="O115" s="279">
        <f t="shared" si="53"/>
        <v>0.41778419641015063</v>
      </c>
      <c r="P115" s="279">
        <f t="shared" si="53"/>
        <v>0.41721698113207545</v>
      </c>
      <c r="Q115" s="279">
        <f t="shared" si="53"/>
        <v>0.41800643086816719</v>
      </c>
      <c r="R115" s="279">
        <f t="shared" si="53"/>
        <v>0.41801418439716315</v>
      </c>
      <c r="S115" s="279">
        <f t="shared" si="53"/>
        <v>0.41800887761572608</v>
      </c>
      <c r="T115" s="279">
        <f t="shared" si="53"/>
        <v>0.41808510638297874</v>
      </c>
      <c r="U115" s="279">
        <f t="shared" si="53"/>
        <v>0.4180232558139535</v>
      </c>
      <c r="V115" s="279">
        <f t="shared" si="53"/>
        <v>0.41297777777777778</v>
      </c>
      <c r="W115" s="279">
        <f t="shared" si="53"/>
        <v>0.41300970873786408</v>
      </c>
      <c r="X115" s="279">
        <f t="shared" si="53"/>
        <v>0.41296137339055794</v>
      </c>
      <c r="Y115" s="279">
        <f t="shared" si="53"/>
        <v>0.41</v>
      </c>
      <c r="Z115" s="279">
        <f t="shared" si="53"/>
        <v>0.41300000000000003</v>
      </c>
      <c r="AA115" s="280">
        <f t="shared" si="53"/>
        <v>0.41684633021458334</v>
      </c>
      <c r="AB115" s="280">
        <f t="shared" si="53"/>
        <v>0.4164634436470509</v>
      </c>
      <c r="AC115" s="280">
        <f t="shared" si="53"/>
        <v>0.41615187033605316</v>
      </c>
    </row>
    <row r="116" spans="1:29">
      <c r="A116" s="247" t="s">
        <v>31</v>
      </c>
      <c r="B116" s="279">
        <f t="shared" si="53"/>
        <v>0.43123287671232879</v>
      </c>
      <c r="C116" s="279">
        <f t="shared" si="53"/>
        <v>0.4</v>
      </c>
      <c r="D116" s="279">
        <f t="shared" si="53"/>
        <v>0.38043478260869568</v>
      </c>
      <c r="E116" s="279">
        <f t="shared" si="53"/>
        <v>0.44865403788634101</v>
      </c>
      <c r="F116" s="279">
        <f t="shared" si="53"/>
        <v>0.40293040293040294</v>
      </c>
      <c r="G116" s="279">
        <f t="shared" si="53"/>
        <v>0.4</v>
      </c>
      <c r="H116" s="279">
        <f t="shared" si="53"/>
        <v>0.40476190476190477</v>
      </c>
      <c r="I116" s="279">
        <f t="shared" si="53"/>
        <v>0.40772532188841204</v>
      </c>
      <c r="J116" s="279">
        <f t="shared" si="53"/>
        <v>0.4044725328147788</v>
      </c>
      <c r="K116" s="279">
        <f t="shared" si="53"/>
        <v>0.4107142857142857</v>
      </c>
      <c r="L116" s="279">
        <f t="shared" si="53"/>
        <v>0.41269841269841268</v>
      </c>
      <c r="M116" s="279">
        <f t="shared" si="53"/>
        <v>0.41666666666666669</v>
      </c>
      <c r="N116" s="279">
        <f t="shared" si="53"/>
        <v>0.41318681318681311</v>
      </c>
      <c r="O116" s="279">
        <f t="shared" si="53"/>
        <v>0.41778419641015063</v>
      </c>
      <c r="P116" s="279">
        <f t="shared" si="53"/>
        <v>0.41721698113207545</v>
      </c>
      <c r="Q116" s="279">
        <f t="shared" si="53"/>
        <v>0.41800643086816719</v>
      </c>
      <c r="R116" s="279">
        <f t="shared" si="53"/>
        <v>0.41801418439716315</v>
      </c>
      <c r="S116" s="279">
        <f t="shared" si="53"/>
        <v>0.41800887761572608</v>
      </c>
      <c r="T116" s="279">
        <f t="shared" si="53"/>
        <v>0.41808510638297874</v>
      </c>
      <c r="U116" s="279">
        <f t="shared" si="53"/>
        <v>0.4180232558139535</v>
      </c>
      <c r="V116" s="279">
        <f t="shared" si="53"/>
        <v>0.41297777777777778</v>
      </c>
      <c r="W116" s="279">
        <f t="shared" si="53"/>
        <v>0.41300970873786408</v>
      </c>
      <c r="X116" s="279">
        <f t="shared" si="53"/>
        <v>0.41296137339055794</v>
      </c>
      <c r="Y116" s="279">
        <f t="shared" si="53"/>
        <v>0.41</v>
      </c>
      <c r="Z116" s="279">
        <f t="shared" si="53"/>
        <v>0.41299999999999998</v>
      </c>
      <c r="AA116" s="280">
        <f t="shared" si="53"/>
        <v>0.41684633021458339</v>
      </c>
      <c r="AB116" s="280">
        <f t="shared" si="53"/>
        <v>0.4164634436470509</v>
      </c>
      <c r="AC116" s="280">
        <f t="shared" si="53"/>
        <v>0.41615187033605316</v>
      </c>
    </row>
    <row r="117" spans="1:29">
      <c r="A117" s="247" t="s">
        <v>32</v>
      </c>
      <c r="B117" s="279">
        <f t="shared" si="53"/>
        <v>0.43123287671232879</v>
      </c>
      <c r="C117" s="279">
        <f t="shared" si="53"/>
        <v>0.4</v>
      </c>
      <c r="D117" s="279">
        <f t="shared" si="53"/>
        <v>0.38043478260869568</v>
      </c>
      <c r="E117" s="279">
        <f t="shared" si="53"/>
        <v>0.44865403788634095</v>
      </c>
      <c r="F117" s="279">
        <f t="shared" si="53"/>
        <v>0.40293040293040289</v>
      </c>
      <c r="G117" s="279">
        <f t="shared" si="53"/>
        <v>0.4</v>
      </c>
      <c r="H117" s="279">
        <f t="shared" si="53"/>
        <v>0.40476190476190477</v>
      </c>
      <c r="I117" s="279">
        <f t="shared" si="53"/>
        <v>0.40772532188841204</v>
      </c>
      <c r="J117" s="279">
        <f t="shared" si="53"/>
        <v>0.4044725328147788</v>
      </c>
      <c r="K117" s="279">
        <f t="shared" si="53"/>
        <v>0.4107142857142857</v>
      </c>
      <c r="L117" s="279">
        <f t="shared" si="53"/>
        <v>0.41269841269841268</v>
      </c>
      <c r="M117" s="279">
        <f t="shared" si="53"/>
        <v>0.41666666666666669</v>
      </c>
      <c r="N117" s="279">
        <f t="shared" si="53"/>
        <v>0.41318681318681316</v>
      </c>
      <c r="O117" s="279">
        <f t="shared" si="53"/>
        <v>0.41778419641015069</v>
      </c>
      <c r="P117" s="279">
        <f t="shared" si="53"/>
        <v>0.41721698113207545</v>
      </c>
      <c r="Q117" s="279">
        <f t="shared" si="53"/>
        <v>0.41800643086816719</v>
      </c>
      <c r="R117" s="279">
        <f t="shared" si="53"/>
        <v>0.41801418439716315</v>
      </c>
      <c r="S117" s="279">
        <f t="shared" si="53"/>
        <v>0.41800887761572608</v>
      </c>
      <c r="T117" s="279">
        <f t="shared" si="53"/>
        <v>0.41808510638297874</v>
      </c>
      <c r="U117" s="279">
        <f t="shared" si="53"/>
        <v>0.4180232558139535</v>
      </c>
      <c r="V117" s="279">
        <f t="shared" si="53"/>
        <v>0.41297777777777772</v>
      </c>
      <c r="W117" s="279">
        <f t="shared" si="53"/>
        <v>0.41300970873786413</v>
      </c>
      <c r="X117" s="279">
        <f t="shared" si="53"/>
        <v>0.41296137339055794</v>
      </c>
      <c r="Y117" s="279">
        <f t="shared" si="53"/>
        <v>0.41</v>
      </c>
      <c r="Z117" s="279">
        <f t="shared" si="53"/>
        <v>0.41299999999999998</v>
      </c>
      <c r="AA117" s="280">
        <f t="shared" si="53"/>
        <v>0.41684633021458339</v>
      </c>
      <c r="AB117" s="280">
        <f t="shared" si="53"/>
        <v>0.4164634436470509</v>
      </c>
      <c r="AC117" s="280">
        <f t="shared" si="53"/>
        <v>0.41615187033605316</v>
      </c>
    </row>
    <row r="118" spans="1:29">
      <c r="A118" s="247" t="s">
        <v>33</v>
      </c>
      <c r="B118" s="279">
        <f t="shared" si="53"/>
        <v>0.43123287671232885</v>
      </c>
      <c r="C118" s="279">
        <f t="shared" si="53"/>
        <v>0.4</v>
      </c>
      <c r="D118" s="279">
        <f t="shared" si="53"/>
        <v>0.38043478260869568</v>
      </c>
      <c r="E118" s="279">
        <f t="shared" si="53"/>
        <v>0.44865403788634095</v>
      </c>
      <c r="F118" s="279">
        <f t="shared" si="53"/>
        <v>0.40293040293040294</v>
      </c>
      <c r="G118" s="279">
        <f t="shared" si="53"/>
        <v>0.4</v>
      </c>
      <c r="H118" s="279">
        <f t="shared" si="53"/>
        <v>0.40476190476190477</v>
      </c>
      <c r="I118" s="279">
        <f t="shared" si="53"/>
        <v>0.40772532188841204</v>
      </c>
      <c r="J118" s="279">
        <f t="shared" si="53"/>
        <v>0.4044725328147788</v>
      </c>
      <c r="K118" s="279">
        <f t="shared" si="53"/>
        <v>0.4107142857142857</v>
      </c>
      <c r="L118" s="279">
        <f t="shared" si="53"/>
        <v>0.41269841269841268</v>
      </c>
      <c r="M118" s="279">
        <f t="shared" si="53"/>
        <v>0.41666666666666669</v>
      </c>
      <c r="N118" s="279">
        <f t="shared" si="53"/>
        <v>0.41318681318681316</v>
      </c>
      <c r="O118" s="279">
        <f t="shared" si="53"/>
        <v>0.41778419641015069</v>
      </c>
      <c r="P118" s="279">
        <f t="shared" si="53"/>
        <v>0.41721698113207545</v>
      </c>
      <c r="Q118" s="279">
        <f t="shared" si="53"/>
        <v>0.41800643086816719</v>
      </c>
      <c r="R118" s="279">
        <f t="shared" si="53"/>
        <v>0.41801418439716315</v>
      </c>
      <c r="S118" s="279">
        <f t="shared" si="53"/>
        <v>0.41800887761572608</v>
      </c>
      <c r="T118" s="279">
        <f t="shared" si="53"/>
        <v>0.41808510638297874</v>
      </c>
      <c r="U118" s="279">
        <f t="shared" si="53"/>
        <v>0.4180232558139535</v>
      </c>
      <c r="V118" s="279">
        <f t="shared" si="53"/>
        <v>0.41297777777777778</v>
      </c>
      <c r="W118" s="279">
        <f t="shared" si="53"/>
        <v>0.41300970873786408</v>
      </c>
      <c r="X118" s="279">
        <f t="shared" si="53"/>
        <v>0.41296137339055794</v>
      </c>
      <c r="Y118" s="279">
        <f t="shared" si="53"/>
        <v>0.41</v>
      </c>
      <c r="Z118" s="280">
        <f t="shared" si="53"/>
        <v>0.41299999999999998</v>
      </c>
      <c r="AA118" s="280">
        <f t="shared" si="53"/>
        <v>0.41684633021458339</v>
      </c>
      <c r="AB118" s="280">
        <f t="shared" si="53"/>
        <v>0.4164634436470509</v>
      </c>
      <c r="AC118" s="280">
        <f t="shared" si="53"/>
        <v>0.41615187033605316</v>
      </c>
    </row>
    <row r="119" spans="1:29">
      <c r="A119" s="247" t="s">
        <v>14</v>
      </c>
      <c r="B119" s="279">
        <f t="shared" si="53"/>
        <v>0.43123287671232879</v>
      </c>
      <c r="C119" s="279">
        <f t="shared" si="53"/>
        <v>0.4</v>
      </c>
      <c r="D119" s="279">
        <f t="shared" si="53"/>
        <v>0.38043478260869568</v>
      </c>
      <c r="E119" s="279">
        <f t="shared" si="53"/>
        <v>0.44865403788634095</v>
      </c>
      <c r="F119" s="279">
        <f t="shared" si="53"/>
        <v>0.40293040293040294</v>
      </c>
      <c r="G119" s="279">
        <f t="shared" si="53"/>
        <v>0.40000000000000008</v>
      </c>
      <c r="H119" s="279">
        <f t="shared" si="53"/>
        <v>0.40476190476190477</v>
      </c>
      <c r="I119" s="279">
        <f t="shared" si="53"/>
        <v>0.40772532188841204</v>
      </c>
      <c r="J119" s="279">
        <f t="shared" si="53"/>
        <v>0.40447253281477874</v>
      </c>
      <c r="K119" s="279">
        <f t="shared" si="53"/>
        <v>0.4107142857142857</v>
      </c>
      <c r="L119" s="279">
        <f t="shared" si="53"/>
        <v>0.41269841269841268</v>
      </c>
      <c r="M119" s="279">
        <f t="shared" si="53"/>
        <v>0.41666666666666669</v>
      </c>
      <c r="N119" s="279">
        <f t="shared" si="53"/>
        <v>0.41318681318681316</v>
      </c>
      <c r="O119" s="279">
        <f t="shared" si="53"/>
        <v>0.41778419641015063</v>
      </c>
      <c r="P119" s="279">
        <f t="shared" si="53"/>
        <v>0.41721698113207545</v>
      </c>
      <c r="Q119" s="279">
        <f t="shared" si="53"/>
        <v>0.41800643086816719</v>
      </c>
      <c r="R119" s="279">
        <f t="shared" si="53"/>
        <v>0.41801418439716315</v>
      </c>
      <c r="S119" s="279">
        <f t="shared" si="53"/>
        <v>0.41800887761572603</v>
      </c>
      <c r="T119" s="279">
        <f t="shared" si="53"/>
        <v>0.41808510638297874</v>
      </c>
      <c r="U119" s="279">
        <f t="shared" si="53"/>
        <v>0.4180232558139535</v>
      </c>
      <c r="V119" s="279">
        <f t="shared" si="53"/>
        <v>0.41297777777777778</v>
      </c>
      <c r="W119" s="279">
        <f t="shared" si="53"/>
        <v>0.41300970873786408</v>
      </c>
      <c r="X119" s="279">
        <f t="shared" si="53"/>
        <v>0.41296137339055794</v>
      </c>
      <c r="Y119" s="279">
        <f t="shared" si="53"/>
        <v>0.41</v>
      </c>
      <c r="Z119" s="280">
        <f t="shared" si="53"/>
        <v>0.41299999999999998</v>
      </c>
      <c r="AA119" s="280">
        <f t="shared" si="53"/>
        <v>0.41684633021458339</v>
      </c>
      <c r="AB119" s="280">
        <f t="shared" si="53"/>
        <v>0.4164634436470509</v>
      </c>
      <c r="AC119" s="280">
        <f t="shared" si="53"/>
        <v>0.41615187033605316</v>
      </c>
    </row>
    <row r="120" spans="1:29">
      <c r="A120" s="247" t="s">
        <v>34</v>
      </c>
      <c r="B120" s="279">
        <f t="shared" si="53"/>
        <v>0.43123287671232879</v>
      </c>
      <c r="C120" s="279">
        <f t="shared" si="53"/>
        <v>0.4</v>
      </c>
      <c r="D120" s="279">
        <f t="shared" si="53"/>
        <v>0.38043478260869568</v>
      </c>
      <c r="E120" s="279">
        <f t="shared" si="53"/>
        <v>0.44865403788634095</v>
      </c>
      <c r="F120" s="279">
        <f t="shared" si="53"/>
        <v>0.40293040293040294</v>
      </c>
      <c r="G120" s="279">
        <f t="shared" si="53"/>
        <v>0.4</v>
      </c>
      <c r="H120" s="279">
        <f t="shared" si="53"/>
        <v>0.40476190476190471</v>
      </c>
      <c r="I120" s="279">
        <f t="shared" si="53"/>
        <v>0.40772532188841204</v>
      </c>
      <c r="J120" s="279">
        <f t="shared" si="53"/>
        <v>0.4044725328147788</v>
      </c>
      <c r="K120" s="279">
        <f t="shared" si="53"/>
        <v>0.4107142857142857</v>
      </c>
      <c r="L120" s="279">
        <f t="shared" si="53"/>
        <v>0.41269841269841268</v>
      </c>
      <c r="M120" s="279">
        <f t="shared" si="53"/>
        <v>0.41666666666666669</v>
      </c>
      <c r="N120" s="279">
        <f t="shared" si="53"/>
        <v>0.41318681318681316</v>
      </c>
      <c r="O120" s="279">
        <f t="shared" si="53"/>
        <v>0.41778419641015063</v>
      </c>
      <c r="P120" s="279">
        <f t="shared" si="53"/>
        <v>0.41721698113207545</v>
      </c>
      <c r="Q120" s="279">
        <f t="shared" si="53"/>
        <v>0.41800643086816719</v>
      </c>
      <c r="R120" s="279">
        <f t="shared" si="53"/>
        <v>0.41801418439716309</v>
      </c>
      <c r="S120" s="279">
        <f t="shared" si="53"/>
        <v>0.41800887761572603</v>
      </c>
      <c r="T120" s="279">
        <f t="shared" si="53"/>
        <v>0.41808510638297869</v>
      </c>
      <c r="U120" s="279">
        <f t="shared" si="53"/>
        <v>0.4180232558139535</v>
      </c>
      <c r="V120" s="279">
        <f t="shared" si="53"/>
        <v>0.41297777777777772</v>
      </c>
      <c r="W120" s="279">
        <f t="shared" si="53"/>
        <v>0.41300970873786408</v>
      </c>
      <c r="X120" s="279">
        <f t="shared" si="53"/>
        <v>0.41296137339055794</v>
      </c>
      <c r="Y120" s="279">
        <f t="shared" si="53"/>
        <v>0.41</v>
      </c>
      <c r="Z120" s="280">
        <f t="shared" si="53"/>
        <v>0.41299999999999998</v>
      </c>
      <c r="AA120" s="280">
        <f t="shared" si="53"/>
        <v>0.41684633021458339</v>
      </c>
      <c r="AB120" s="280">
        <f t="shared" si="53"/>
        <v>0.4164634436470509</v>
      </c>
      <c r="AC120" s="280">
        <f t="shared" si="53"/>
        <v>0.41615187033605316</v>
      </c>
    </row>
    <row r="121" spans="1:29">
      <c r="A121" s="247" t="s">
        <v>35</v>
      </c>
      <c r="B121" s="279">
        <f t="shared" si="53"/>
        <v>0.43123287671232879</v>
      </c>
      <c r="C121" s="279">
        <f t="shared" si="53"/>
        <v>0.4</v>
      </c>
      <c r="D121" s="279">
        <f t="shared" si="53"/>
        <v>0.38043478260869568</v>
      </c>
      <c r="E121" s="279">
        <f t="shared" ref="E121:AC123" si="54">E105/E89</f>
        <v>0.44865403788634095</v>
      </c>
      <c r="F121" s="279">
        <f t="shared" si="54"/>
        <v>0.402930402930403</v>
      </c>
      <c r="G121" s="279">
        <f t="shared" si="54"/>
        <v>0.4</v>
      </c>
      <c r="H121" s="279">
        <f t="shared" si="54"/>
        <v>0.40476190476190477</v>
      </c>
      <c r="I121" s="279">
        <f t="shared" si="54"/>
        <v>0.40772532188841204</v>
      </c>
      <c r="J121" s="279">
        <f t="shared" si="54"/>
        <v>0.4044725328147788</v>
      </c>
      <c r="K121" s="279">
        <f t="shared" si="54"/>
        <v>0.4107142857142857</v>
      </c>
      <c r="L121" s="279">
        <f t="shared" si="54"/>
        <v>0.41269841269841268</v>
      </c>
      <c r="M121" s="279">
        <f t="shared" si="54"/>
        <v>0.41666666666666674</v>
      </c>
      <c r="N121" s="279">
        <f t="shared" si="54"/>
        <v>0.41318681318681316</v>
      </c>
      <c r="O121" s="279">
        <f t="shared" si="54"/>
        <v>0.41778419641015058</v>
      </c>
      <c r="P121" s="279">
        <f t="shared" si="54"/>
        <v>0.41721698113207545</v>
      </c>
      <c r="Q121" s="279">
        <f t="shared" si="54"/>
        <v>0.41800643086816719</v>
      </c>
      <c r="R121" s="279">
        <f t="shared" si="54"/>
        <v>0.41801418439716315</v>
      </c>
      <c r="S121" s="279">
        <f t="shared" si="54"/>
        <v>0.41800887761572608</v>
      </c>
      <c r="T121" s="279">
        <f t="shared" si="54"/>
        <v>0.41808510638297874</v>
      </c>
      <c r="U121" s="279">
        <f t="shared" si="54"/>
        <v>0.41802325581395344</v>
      </c>
      <c r="V121" s="279">
        <f t="shared" si="54"/>
        <v>0.41297777777777778</v>
      </c>
      <c r="W121" s="279">
        <f t="shared" si="54"/>
        <v>0.41300970873786408</v>
      </c>
      <c r="X121" s="279">
        <f t="shared" si="54"/>
        <v>0.41296137339055794</v>
      </c>
      <c r="Y121" s="279">
        <f t="shared" si="54"/>
        <v>0.41000000000000003</v>
      </c>
      <c r="Z121" s="280">
        <f t="shared" si="54"/>
        <v>0.41299999999999998</v>
      </c>
      <c r="AA121" s="280">
        <f t="shared" si="54"/>
        <v>0.41684633021458339</v>
      </c>
      <c r="AB121" s="280">
        <f t="shared" si="54"/>
        <v>0.4164634436470509</v>
      </c>
      <c r="AC121" s="280">
        <f t="shared" si="54"/>
        <v>0.41615187033605322</v>
      </c>
    </row>
    <row r="122" spans="1:29">
      <c r="A122" s="247" t="s">
        <v>36</v>
      </c>
      <c r="B122" s="279">
        <f t="shared" ref="B122:Q123" si="55">B106/B90</f>
        <v>0.43123287671232879</v>
      </c>
      <c r="C122" s="279">
        <f t="shared" si="55"/>
        <v>0.4</v>
      </c>
      <c r="D122" s="279">
        <f t="shared" si="55"/>
        <v>0.38043478260869568</v>
      </c>
      <c r="E122" s="279">
        <f t="shared" si="55"/>
        <v>0.44865403788634095</v>
      </c>
      <c r="F122" s="279">
        <f t="shared" si="55"/>
        <v>0.40293040293040294</v>
      </c>
      <c r="G122" s="279">
        <f t="shared" si="55"/>
        <v>0.4</v>
      </c>
      <c r="H122" s="279">
        <f t="shared" si="55"/>
        <v>0.40476190476190477</v>
      </c>
      <c r="I122" s="279">
        <f t="shared" si="55"/>
        <v>0.40772532188841204</v>
      </c>
      <c r="J122" s="279">
        <f t="shared" si="55"/>
        <v>0.40447253281477885</v>
      </c>
      <c r="K122" s="279">
        <f t="shared" si="55"/>
        <v>0.4107142857142857</v>
      </c>
      <c r="L122" s="279">
        <f t="shared" si="55"/>
        <v>0.41269841269841268</v>
      </c>
      <c r="M122" s="279">
        <f t="shared" si="55"/>
        <v>0.41666666666666674</v>
      </c>
      <c r="N122" s="279">
        <f t="shared" si="55"/>
        <v>0.41318681318681316</v>
      </c>
      <c r="O122" s="279">
        <f t="shared" si="55"/>
        <v>0.41778419641015069</v>
      </c>
      <c r="P122" s="279">
        <f t="shared" si="55"/>
        <v>0.41721698113207545</v>
      </c>
      <c r="Q122" s="279">
        <f t="shared" si="55"/>
        <v>0.41800643086816719</v>
      </c>
      <c r="R122" s="279">
        <f t="shared" si="54"/>
        <v>0.41801418439716315</v>
      </c>
      <c r="S122" s="279">
        <f t="shared" si="54"/>
        <v>0.41800887761572608</v>
      </c>
      <c r="T122" s="279">
        <f t="shared" si="54"/>
        <v>0.4180851063829788</v>
      </c>
      <c r="U122" s="279">
        <f t="shared" si="54"/>
        <v>0.4180232558139535</v>
      </c>
      <c r="V122" s="279">
        <f t="shared" si="54"/>
        <v>0.41297777777777778</v>
      </c>
      <c r="W122" s="279">
        <f t="shared" si="54"/>
        <v>0.41300970873786408</v>
      </c>
      <c r="X122" s="279">
        <f t="shared" si="54"/>
        <v>0.41296137339055794</v>
      </c>
      <c r="Y122" s="279">
        <f t="shared" si="54"/>
        <v>0.41</v>
      </c>
      <c r="Z122" s="280">
        <f t="shared" si="54"/>
        <v>0.41299999999999998</v>
      </c>
      <c r="AA122" s="280">
        <f t="shared" si="54"/>
        <v>0.41684633021458339</v>
      </c>
      <c r="AB122" s="280">
        <f t="shared" si="54"/>
        <v>0.4164634436470509</v>
      </c>
      <c r="AC122" s="280">
        <f t="shared" si="54"/>
        <v>0.41615187033605316</v>
      </c>
    </row>
    <row r="123" spans="1:29">
      <c r="A123" s="247" t="s">
        <v>37</v>
      </c>
      <c r="B123" s="279">
        <f t="shared" si="55"/>
        <v>0.43123287671232879</v>
      </c>
      <c r="C123" s="279">
        <f t="shared" si="55"/>
        <v>0.4</v>
      </c>
      <c r="D123" s="279">
        <f t="shared" si="55"/>
        <v>0.38043478260869562</v>
      </c>
      <c r="E123" s="279">
        <f t="shared" si="55"/>
        <v>0.4486540378863409</v>
      </c>
      <c r="F123" s="279">
        <f t="shared" si="55"/>
        <v>0.40293040293040294</v>
      </c>
      <c r="G123" s="279">
        <f t="shared" si="55"/>
        <v>0.4</v>
      </c>
      <c r="H123" s="279">
        <f t="shared" si="55"/>
        <v>0.40476190476190477</v>
      </c>
      <c r="I123" s="279">
        <f t="shared" si="55"/>
        <v>0.40772532188841204</v>
      </c>
      <c r="J123" s="279">
        <f t="shared" si="55"/>
        <v>0.4044725328147788</v>
      </c>
      <c r="K123" s="279">
        <f t="shared" si="55"/>
        <v>0.4107142857142857</v>
      </c>
      <c r="L123" s="279">
        <f t="shared" si="55"/>
        <v>0.41269841269841268</v>
      </c>
      <c r="M123" s="279">
        <f t="shared" si="55"/>
        <v>0.41666666666666663</v>
      </c>
      <c r="N123" s="279">
        <f t="shared" si="55"/>
        <v>0.41318681318681316</v>
      </c>
      <c r="O123" s="279">
        <f t="shared" si="55"/>
        <v>0.41778419641015063</v>
      </c>
      <c r="P123" s="279">
        <f t="shared" si="55"/>
        <v>0.4172169811320755</v>
      </c>
      <c r="Q123" s="279">
        <f t="shared" si="55"/>
        <v>0.41800643086816719</v>
      </c>
      <c r="R123" s="279">
        <f t="shared" si="54"/>
        <v>0.41801418439716309</v>
      </c>
      <c r="S123" s="279">
        <f t="shared" si="54"/>
        <v>0.41800887761572608</v>
      </c>
      <c r="T123" s="279">
        <f t="shared" si="54"/>
        <v>0.41808510638297874</v>
      </c>
      <c r="U123" s="279">
        <f t="shared" si="54"/>
        <v>0.4180232558139535</v>
      </c>
      <c r="V123" s="279">
        <f t="shared" si="54"/>
        <v>0.41297777777777783</v>
      </c>
      <c r="W123" s="279">
        <f t="shared" si="54"/>
        <v>0.41300970873786408</v>
      </c>
      <c r="X123" s="279">
        <f t="shared" si="54"/>
        <v>0.412961373390558</v>
      </c>
      <c r="Y123" s="279">
        <f t="shared" si="54"/>
        <v>0.41</v>
      </c>
      <c r="Z123" s="280">
        <f t="shared" si="54"/>
        <v>0.41299999999999998</v>
      </c>
      <c r="AA123" s="280">
        <f t="shared" si="54"/>
        <v>0.41684633021458339</v>
      </c>
      <c r="AB123" s="280">
        <f t="shared" si="54"/>
        <v>0.4164634436470509</v>
      </c>
      <c r="AC123" s="280">
        <f t="shared" si="54"/>
        <v>0.41615187033605316</v>
      </c>
    </row>
    <row r="124" spans="1:29" ht="15.75" thickBot="1">
      <c r="A124" s="247" t="s">
        <v>338</v>
      </c>
      <c r="B124" s="281">
        <v>0.43123287671232879</v>
      </c>
      <c r="C124" s="281">
        <v>0.4</v>
      </c>
      <c r="D124" s="281">
        <v>0.38043478260869568</v>
      </c>
      <c r="E124" s="281">
        <v>0.44865403788634095</v>
      </c>
      <c r="F124" s="281">
        <v>0.40293040293040294</v>
      </c>
      <c r="G124" s="281">
        <v>0.4</v>
      </c>
      <c r="H124" s="281">
        <v>0.40476190476190477</v>
      </c>
      <c r="I124" s="281">
        <v>0.40772532188841204</v>
      </c>
      <c r="J124" s="281">
        <v>0.4044725328147788</v>
      </c>
      <c r="K124" s="281">
        <v>0.4107142857142857</v>
      </c>
      <c r="L124" s="281">
        <v>0.41269841269841268</v>
      </c>
      <c r="M124" s="281">
        <v>0.41666666666666669</v>
      </c>
      <c r="N124" s="281">
        <v>0.41318681318681316</v>
      </c>
      <c r="O124" s="281">
        <v>0.41778419641015063</v>
      </c>
      <c r="P124" s="281">
        <v>0.41721698113207545</v>
      </c>
      <c r="Q124" s="281">
        <v>0.41800643086816719</v>
      </c>
      <c r="R124" s="281">
        <v>0.41801418439716315</v>
      </c>
      <c r="S124" s="281">
        <v>0.41800887761572608</v>
      </c>
      <c r="T124" s="281">
        <v>0.41808510638297874</v>
      </c>
      <c r="U124" s="281">
        <v>0.4180232558139535</v>
      </c>
      <c r="V124" s="281">
        <v>0.41297777777777778</v>
      </c>
      <c r="W124" s="281">
        <v>0.41300970873786408</v>
      </c>
      <c r="X124" s="281">
        <v>0.41296137339055794</v>
      </c>
      <c r="Y124" s="281">
        <v>0.41</v>
      </c>
      <c r="Z124" s="281">
        <v>0.41299999999999998</v>
      </c>
      <c r="AA124" s="280">
        <f>FORECAST(AA45,H124:Z124,H45:Z45)</f>
        <v>0.41684633021458339</v>
      </c>
      <c r="AB124" s="280">
        <f>FORECAST(AB45,I124:AA124,I45:AA45)</f>
        <v>0.4164634436470509</v>
      </c>
      <c r="AC124" s="280">
        <f>FORECAST(AC45,J124:AB124,J45:AB45)</f>
        <v>0.41615187033605316</v>
      </c>
    </row>
    <row r="125" spans="1:29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</row>
    <row r="126" spans="1:29" ht="15.75" thickBot="1">
      <c r="A126" s="247" t="s">
        <v>392</v>
      </c>
    </row>
    <row r="127" spans="1:29" ht="15.75" thickBot="1">
      <c r="A127" s="263"/>
      <c r="B127" s="235" t="str">
        <f>B$2</f>
        <v xml:space="preserve">93/94 </v>
      </c>
      <c r="C127" s="235" t="str">
        <f t="shared" ref="C127:AC127" si="56">C$2</f>
        <v xml:space="preserve">94/95 </v>
      </c>
      <c r="D127" s="235" t="str">
        <f t="shared" si="56"/>
        <v xml:space="preserve">95/96 </v>
      </c>
      <c r="E127" s="235" t="str">
        <f t="shared" si="56"/>
        <v xml:space="preserve">96/97 </v>
      </c>
      <c r="F127" s="235" t="str">
        <f t="shared" si="56"/>
        <v xml:space="preserve">97/98 </v>
      </c>
      <c r="G127" s="235" t="str">
        <f t="shared" si="56"/>
        <v xml:space="preserve">98/99 </v>
      </c>
      <c r="H127" s="235" t="str">
        <f t="shared" si="56"/>
        <v xml:space="preserve">99/00 </v>
      </c>
      <c r="I127" s="235" t="str">
        <f t="shared" si="56"/>
        <v xml:space="preserve">00/01 </v>
      </c>
      <c r="J127" s="235" t="str">
        <f t="shared" si="56"/>
        <v xml:space="preserve">01/02 </v>
      </c>
      <c r="K127" s="235" t="str">
        <f t="shared" si="56"/>
        <v xml:space="preserve">02/03 </v>
      </c>
      <c r="L127" s="235" t="str">
        <f t="shared" si="56"/>
        <v xml:space="preserve">03/04 </v>
      </c>
      <c r="M127" s="235" t="str">
        <f t="shared" si="56"/>
        <v xml:space="preserve">04/05 </v>
      </c>
      <c r="N127" s="235" t="str">
        <f t="shared" si="56"/>
        <v xml:space="preserve">05/06 </v>
      </c>
      <c r="O127" s="235" t="str">
        <f t="shared" si="56"/>
        <v xml:space="preserve">06/07 </v>
      </c>
      <c r="P127" s="235" t="str">
        <f t="shared" si="56"/>
        <v xml:space="preserve">07/08 </v>
      </c>
      <c r="Q127" s="235" t="str">
        <f t="shared" si="56"/>
        <v xml:space="preserve">08/09 </v>
      </c>
      <c r="R127" s="235" t="str">
        <f t="shared" si="56"/>
        <v xml:space="preserve">09/10 </v>
      </c>
      <c r="S127" s="235" t="str">
        <f t="shared" si="56"/>
        <v xml:space="preserve">10/11 </v>
      </c>
      <c r="T127" s="235" t="str">
        <f t="shared" si="56"/>
        <v xml:space="preserve">11/12 </v>
      </c>
      <c r="U127" s="235" t="str">
        <f t="shared" si="56"/>
        <v xml:space="preserve">12/13 </v>
      </c>
      <c r="V127" s="235" t="str">
        <f t="shared" si="56"/>
        <v xml:space="preserve">13/14 </v>
      </c>
      <c r="W127" s="235" t="str">
        <f t="shared" si="56"/>
        <v xml:space="preserve">14/15 </v>
      </c>
      <c r="X127" s="235" t="str">
        <f t="shared" si="56"/>
        <v xml:space="preserve">15/16 </v>
      </c>
      <c r="Y127" s="235" t="str">
        <f t="shared" si="56"/>
        <v xml:space="preserve">16/17 </v>
      </c>
      <c r="Z127" s="235" t="str">
        <f t="shared" si="56"/>
        <v xml:space="preserve">17/18 </v>
      </c>
      <c r="AA127" s="235" t="str">
        <f t="shared" si="56"/>
        <v xml:space="preserve">18/19 </v>
      </c>
      <c r="AB127" s="235" t="str">
        <f t="shared" si="56"/>
        <v xml:space="preserve">19/20 </v>
      </c>
      <c r="AC127" s="235" t="str">
        <f t="shared" si="56"/>
        <v xml:space="preserve">20/21 </v>
      </c>
    </row>
    <row r="128" spans="1:29">
      <c r="A128" s="247" t="s">
        <v>38</v>
      </c>
      <c r="B128" s="264">
        <f>(SUM(T128:X128)/SUM(T$140:X$140))*B$140</f>
        <v>0</v>
      </c>
      <c r="C128" s="264">
        <f t="shared" ref="C128:C139" si="57">(SUM(L128:P128)/SUM(L$140:P$140))*C$140</f>
        <v>0</v>
      </c>
      <c r="D128" s="264">
        <v>0</v>
      </c>
      <c r="E128" s="265">
        <f>'[5]Indonesia Copra Meal Imports'!BL$290</f>
        <v>0</v>
      </c>
      <c r="F128" s="265">
        <f>'[5]Indonesia Copra Meal Imports'!BX$290</f>
        <v>0</v>
      </c>
      <c r="G128" s="265">
        <f>'[5]Indonesia Copra Meal Imports'!CJ$290</f>
        <v>0</v>
      </c>
      <c r="H128" s="265">
        <f>'[5]Indonesia Copra Meal Imports'!CV$290</f>
        <v>0</v>
      </c>
      <c r="I128" s="265">
        <v>1.4</v>
      </c>
      <c r="J128" s="265">
        <v>0</v>
      </c>
      <c r="K128" s="265">
        <v>0</v>
      </c>
      <c r="L128" s="265">
        <v>0.91900000000000004</v>
      </c>
      <c r="M128" s="265">
        <v>0</v>
      </c>
      <c r="N128" s="265">
        <v>0</v>
      </c>
      <c r="O128" s="265">
        <v>0</v>
      </c>
      <c r="P128" s="265">
        <v>0</v>
      </c>
      <c r="Q128" s="265">
        <v>4.8000000000000001E-2</v>
      </c>
      <c r="R128" s="265">
        <v>0</v>
      </c>
      <c r="S128" s="265">
        <v>0</v>
      </c>
      <c r="T128" s="265">
        <v>0.41699999999999998</v>
      </c>
      <c r="U128" s="265">
        <v>0.83099999999999996</v>
      </c>
      <c r="V128" s="265">
        <v>0</v>
      </c>
      <c r="W128" s="265">
        <v>0</v>
      </c>
      <c r="X128" s="265">
        <v>8.8999999999999996E-2</v>
      </c>
      <c r="Y128" s="265">
        <v>0</v>
      </c>
      <c r="Z128" s="265">
        <v>1.5149999999999999</v>
      </c>
      <c r="AA128" s="266">
        <f t="shared" ref="AA128:AC138" si="58">(SUM(U128:Y128)/SUM(U$140:Y$140))*AA$140</f>
        <v>0.15035955545870558</v>
      </c>
      <c r="AB128" s="266">
        <f t="shared" si="58"/>
        <v>0.16649366825825201</v>
      </c>
      <c r="AC128" s="266">
        <f t="shared" si="58"/>
        <v>0.16545358900899454</v>
      </c>
    </row>
    <row r="129" spans="1:29">
      <c r="A129" s="247" t="s">
        <v>39</v>
      </c>
      <c r="B129" s="264">
        <f t="shared" ref="B129:B139" si="59">(SUM(T129:X129)/SUM(T$140:X$140))*B$140</f>
        <v>0</v>
      </c>
      <c r="C129" s="264">
        <f t="shared" si="57"/>
        <v>0</v>
      </c>
      <c r="D129" s="264">
        <v>0</v>
      </c>
      <c r="E129" s="265">
        <f>'[5]Indonesia Copra Meal Imports'!BM$290</f>
        <v>0</v>
      </c>
      <c r="F129" s="265">
        <f>'[5]Indonesia Copra Meal Imports'!BY$290</f>
        <v>0</v>
      </c>
      <c r="G129" s="265">
        <f>'[5]Indonesia Copra Meal Imports'!CK$290</f>
        <v>0</v>
      </c>
      <c r="H129" s="265">
        <f>'[5]Indonesia Copra Meal Imports'!CW$290</f>
        <v>0</v>
      </c>
      <c r="I129" s="265">
        <v>0.8</v>
      </c>
      <c r="J129" s="265">
        <v>0</v>
      </c>
      <c r="K129" s="265">
        <v>0</v>
      </c>
      <c r="L129" s="265">
        <v>0</v>
      </c>
      <c r="M129" s="265">
        <v>0</v>
      </c>
      <c r="N129" s="265">
        <v>0</v>
      </c>
      <c r="O129" s="265">
        <v>0</v>
      </c>
      <c r="P129" s="265">
        <v>0</v>
      </c>
      <c r="Q129" s="265">
        <v>0</v>
      </c>
      <c r="R129" s="265">
        <v>0.33</v>
      </c>
      <c r="S129" s="265">
        <v>0</v>
      </c>
      <c r="T129" s="265">
        <v>0</v>
      </c>
      <c r="U129" s="265">
        <v>0.70899999999999996</v>
      </c>
      <c r="V129" s="265">
        <v>0</v>
      </c>
      <c r="W129" s="265">
        <v>0</v>
      </c>
      <c r="X129" s="265">
        <v>0</v>
      </c>
      <c r="Y129" s="265">
        <v>0.115</v>
      </c>
      <c r="Z129" s="265">
        <v>1.649</v>
      </c>
      <c r="AA129" s="266">
        <f t="shared" si="58"/>
        <v>0.13466986271518849</v>
      </c>
      <c r="AB129" s="266">
        <f t="shared" si="58"/>
        <v>0.18310151546605771</v>
      </c>
      <c r="AC129" s="266">
        <f t="shared" si="58"/>
        <v>0.17906348909605679</v>
      </c>
    </row>
    <row r="130" spans="1:29">
      <c r="A130" s="247" t="s">
        <v>40</v>
      </c>
      <c r="B130" s="264">
        <f t="shared" si="59"/>
        <v>0</v>
      </c>
      <c r="C130" s="264">
        <f t="shared" si="57"/>
        <v>0</v>
      </c>
      <c r="D130" s="264">
        <v>0</v>
      </c>
      <c r="E130" s="265">
        <f>'[5]Indonesia Copra Meal Imports'!BN$290</f>
        <v>0</v>
      </c>
      <c r="F130" s="265">
        <f>'[5]Indonesia Copra Meal Imports'!BZ$290</f>
        <v>0</v>
      </c>
      <c r="G130" s="265">
        <f>'[5]Indonesia Copra Meal Imports'!CL$290</f>
        <v>0</v>
      </c>
      <c r="H130" s="265">
        <f>'[5]Indonesia Copra Meal Imports'!CX$290</f>
        <v>0</v>
      </c>
      <c r="I130" s="265">
        <v>0.2</v>
      </c>
      <c r="J130" s="265">
        <v>0</v>
      </c>
      <c r="K130" s="265">
        <v>0</v>
      </c>
      <c r="L130" s="265">
        <v>0</v>
      </c>
      <c r="M130" s="265">
        <v>0</v>
      </c>
      <c r="N130" s="265">
        <v>0</v>
      </c>
      <c r="O130" s="265">
        <v>0</v>
      </c>
      <c r="P130" s="265">
        <v>0</v>
      </c>
      <c r="Q130" s="265">
        <v>0</v>
      </c>
      <c r="R130" s="265">
        <v>2.1000000000000001E-2</v>
      </c>
      <c r="S130" s="265">
        <v>0</v>
      </c>
      <c r="T130" s="265">
        <v>0</v>
      </c>
      <c r="U130" s="265">
        <v>0</v>
      </c>
      <c r="V130" s="265">
        <v>4.5999999999999999E-2</v>
      </c>
      <c r="W130" s="265">
        <v>0</v>
      </c>
      <c r="X130" s="265">
        <v>0.313</v>
      </c>
      <c r="Y130" s="265">
        <v>0</v>
      </c>
      <c r="Z130" s="265">
        <v>0.29499999999999998</v>
      </c>
      <c r="AA130" s="266">
        <f t="shared" si="58"/>
        <v>5.8672913488777505E-2</v>
      </c>
      <c r="AB130" s="266">
        <f t="shared" si="58"/>
        <v>6.7884575461905738E-2</v>
      </c>
      <c r="AC130" s="266">
        <f t="shared" si="58"/>
        <v>6.2873899417363488E-2</v>
      </c>
    </row>
    <row r="131" spans="1:29">
      <c r="A131" s="247" t="s">
        <v>30</v>
      </c>
      <c r="B131" s="264">
        <f t="shared" si="59"/>
        <v>0</v>
      </c>
      <c r="C131" s="264">
        <f t="shared" si="57"/>
        <v>0</v>
      </c>
      <c r="D131" s="265">
        <f>'[5]Indonesia Copra Meal Imports'!BC$290</f>
        <v>0</v>
      </c>
      <c r="E131" s="265">
        <f>'[5]Indonesia Copra Meal Imports'!BO$290</f>
        <v>0</v>
      </c>
      <c r="F131" s="265">
        <f>'[5]Indonesia Copra Meal Imports'!CA$290</f>
        <v>0</v>
      </c>
      <c r="G131" s="265">
        <f>'[5]Indonesia Copra Meal Imports'!CM$290</f>
        <v>0</v>
      </c>
      <c r="H131" s="265">
        <v>0.50068000000000001</v>
      </c>
      <c r="I131" s="265">
        <v>2.4</v>
      </c>
      <c r="J131" s="265">
        <v>0</v>
      </c>
      <c r="K131" s="265">
        <v>0</v>
      </c>
      <c r="L131" s="265">
        <v>0</v>
      </c>
      <c r="M131" s="265">
        <v>0.05</v>
      </c>
      <c r="N131" s="265">
        <v>0</v>
      </c>
      <c r="O131" s="265">
        <v>0</v>
      </c>
      <c r="P131" s="265">
        <v>0</v>
      </c>
      <c r="Q131" s="265">
        <v>0</v>
      </c>
      <c r="R131" s="265">
        <v>0</v>
      </c>
      <c r="S131" s="265">
        <v>0</v>
      </c>
      <c r="T131" s="265">
        <v>0</v>
      </c>
      <c r="U131" s="265">
        <v>0</v>
      </c>
      <c r="V131" s="265">
        <v>0</v>
      </c>
      <c r="W131" s="265">
        <v>0.14399999999999999</v>
      </c>
      <c r="X131" s="265">
        <v>0</v>
      </c>
      <c r="Y131" s="265">
        <v>0</v>
      </c>
      <c r="Z131" s="265">
        <v>0.57599999999999996</v>
      </c>
      <c r="AA131" s="266">
        <f t="shared" si="58"/>
        <v>2.3534539115275657E-2</v>
      </c>
      <c r="AB131" s="266">
        <f t="shared" si="58"/>
        <v>7.4735312435125587E-2</v>
      </c>
      <c r="AC131" s="266">
        <f t="shared" si="58"/>
        <v>7.0122716672298871E-2</v>
      </c>
    </row>
    <row r="132" spans="1:29">
      <c r="A132" s="247" t="s">
        <v>31</v>
      </c>
      <c r="B132" s="264">
        <f t="shared" si="59"/>
        <v>0</v>
      </c>
      <c r="C132" s="264">
        <f t="shared" si="57"/>
        <v>0</v>
      </c>
      <c r="D132" s="265">
        <f>'[5]Indonesia Copra Meal Imports'!BD$290</f>
        <v>0</v>
      </c>
      <c r="E132" s="265">
        <f>'[5]Indonesia Copra Meal Imports'!BP$290</f>
        <v>0</v>
      </c>
      <c r="F132" s="265">
        <f>'[5]Indonesia Copra Meal Imports'!CB$290</f>
        <v>0</v>
      </c>
      <c r="G132" s="265">
        <f>'[5]Indonesia Copra Meal Imports'!CN$290</f>
        <v>0</v>
      </c>
      <c r="H132" s="265">
        <v>0</v>
      </c>
      <c r="I132" s="265">
        <v>2.8</v>
      </c>
      <c r="J132" s="265">
        <v>0</v>
      </c>
      <c r="K132" s="265">
        <v>0</v>
      </c>
      <c r="L132" s="265">
        <v>0</v>
      </c>
      <c r="M132" s="265">
        <v>0</v>
      </c>
      <c r="N132" s="265">
        <v>0</v>
      </c>
      <c r="O132" s="265">
        <v>0</v>
      </c>
      <c r="P132" s="265">
        <v>5.3999999999999999E-2</v>
      </c>
      <c r="Q132" s="265">
        <v>0</v>
      </c>
      <c r="R132" s="265">
        <v>0</v>
      </c>
      <c r="S132" s="265">
        <v>0</v>
      </c>
      <c r="T132" s="265">
        <v>0.08</v>
      </c>
      <c r="U132" s="265">
        <v>0</v>
      </c>
      <c r="V132" s="265">
        <v>0</v>
      </c>
      <c r="W132" s="265">
        <v>0</v>
      </c>
      <c r="X132" s="265">
        <v>0</v>
      </c>
      <c r="Y132" s="265">
        <v>0</v>
      </c>
      <c r="Z132" s="265">
        <v>0.129</v>
      </c>
      <c r="AA132" s="266">
        <f t="shared" si="58"/>
        <v>0</v>
      </c>
      <c r="AB132" s="266">
        <f t="shared" si="58"/>
        <v>1.3390076811293335E-2</v>
      </c>
      <c r="AC132" s="266">
        <f t="shared" si="58"/>
        <v>1.2165985539138635E-2</v>
      </c>
    </row>
    <row r="133" spans="1:29">
      <c r="A133" s="247" t="s">
        <v>32</v>
      </c>
      <c r="B133" s="264">
        <f t="shared" si="59"/>
        <v>0</v>
      </c>
      <c r="C133" s="264">
        <f t="shared" si="57"/>
        <v>0</v>
      </c>
      <c r="D133" s="265">
        <f>'[5]Indonesia Copra Meal Imports'!BE$290</f>
        <v>0</v>
      </c>
      <c r="E133" s="265">
        <f>'[5]Indonesia Copra Meal Imports'!BQ$290</f>
        <v>0</v>
      </c>
      <c r="F133" s="265">
        <f>'[5]Indonesia Copra Meal Imports'!CC$290</f>
        <v>0</v>
      </c>
      <c r="G133" s="265">
        <f>'[5]Indonesia Copra Meal Imports'!CO$290</f>
        <v>0</v>
      </c>
      <c r="H133" s="265">
        <v>1.88419</v>
      </c>
      <c r="I133" s="265">
        <v>5.0999999999999996</v>
      </c>
      <c r="J133" s="265">
        <v>0</v>
      </c>
      <c r="K133" s="265">
        <v>0</v>
      </c>
      <c r="L133" s="265">
        <v>0</v>
      </c>
      <c r="M133" s="265">
        <v>0</v>
      </c>
      <c r="N133" s="265">
        <v>0</v>
      </c>
      <c r="O133" s="265">
        <v>0</v>
      </c>
      <c r="P133" s="265">
        <v>0</v>
      </c>
      <c r="Q133" s="265">
        <v>0</v>
      </c>
      <c r="R133" s="265">
        <v>0</v>
      </c>
      <c r="S133" s="265">
        <v>0</v>
      </c>
      <c r="T133" s="265">
        <v>0</v>
      </c>
      <c r="U133" s="265">
        <v>0</v>
      </c>
      <c r="V133" s="265">
        <v>0</v>
      </c>
      <c r="W133" s="265">
        <v>0</v>
      </c>
      <c r="X133" s="265">
        <v>0.35299999999999998</v>
      </c>
      <c r="Y133" s="265">
        <v>0</v>
      </c>
      <c r="Z133" s="266">
        <f t="shared" ref="Z133:Z138" si="60">(SUM(T133:X133)/SUM(T$140:X$140))*Z$140</f>
        <v>0.27449455676516332</v>
      </c>
      <c r="AA133" s="266">
        <f t="shared" si="58"/>
        <v>5.7692307692307682E-2</v>
      </c>
      <c r="AB133" s="266">
        <f t="shared" si="58"/>
        <v>6.5133335765534914E-2</v>
      </c>
      <c r="AC133" s="266">
        <f t="shared" si="58"/>
        <v>6.4619949493002621E-2</v>
      </c>
    </row>
    <row r="134" spans="1:29">
      <c r="A134" s="247" t="s">
        <v>33</v>
      </c>
      <c r="B134" s="264">
        <f t="shared" si="59"/>
        <v>0</v>
      </c>
      <c r="C134" s="264">
        <f t="shared" si="57"/>
        <v>0</v>
      </c>
      <c r="D134" s="265">
        <f>'[5]Indonesia Copra Meal Imports'!BF$290</f>
        <v>0</v>
      </c>
      <c r="E134" s="265">
        <f>'[5]Indonesia Copra Meal Imports'!BR$290</f>
        <v>0</v>
      </c>
      <c r="F134" s="265">
        <f>'[5]Indonesia Copra Meal Imports'!CD$290</f>
        <v>0</v>
      </c>
      <c r="G134" s="265">
        <f>'[5]Indonesia Copra Meal Imports'!CP$290</f>
        <v>0</v>
      </c>
      <c r="H134" s="265">
        <v>0.39002999999999999</v>
      </c>
      <c r="I134" s="265">
        <v>4.2</v>
      </c>
      <c r="J134" s="265">
        <v>0</v>
      </c>
      <c r="K134" s="265">
        <v>0</v>
      </c>
      <c r="L134" s="265">
        <v>0</v>
      </c>
      <c r="M134" s="265">
        <v>0</v>
      </c>
      <c r="N134" s="265">
        <v>0</v>
      </c>
      <c r="O134" s="265">
        <v>0</v>
      </c>
      <c r="P134" s="265">
        <v>0.73899999999999999</v>
      </c>
      <c r="Q134" s="265">
        <v>0</v>
      </c>
      <c r="R134" s="265">
        <v>0</v>
      </c>
      <c r="S134" s="265">
        <v>0</v>
      </c>
      <c r="T134" s="265">
        <v>0</v>
      </c>
      <c r="U134" s="265">
        <v>0</v>
      </c>
      <c r="V134" s="265">
        <v>0</v>
      </c>
      <c r="W134" s="265">
        <v>5.5</v>
      </c>
      <c r="X134" s="265">
        <v>0</v>
      </c>
      <c r="Y134" s="265">
        <v>0</v>
      </c>
      <c r="Z134" s="266">
        <f>(SUM(T134:X134)/SUM(T$140:X$140))*Z$140-2.2</f>
        <v>2.0768273716951784</v>
      </c>
      <c r="AA134" s="266">
        <f t="shared" si="58"/>
        <v>0.89888864676400071</v>
      </c>
      <c r="AB134" s="266">
        <f t="shared" si="58"/>
        <v>0.78646744568145932</v>
      </c>
      <c r="AC134" s="266">
        <f t="shared" si="58"/>
        <v>0.79934448460790752</v>
      </c>
    </row>
    <row r="135" spans="1:29">
      <c r="A135" s="247" t="s">
        <v>14</v>
      </c>
      <c r="B135" s="264">
        <f t="shared" si="59"/>
        <v>0</v>
      </c>
      <c r="C135" s="264">
        <f t="shared" si="57"/>
        <v>0</v>
      </c>
      <c r="D135" s="265">
        <f>'[5]Indonesia Copra Meal Imports'!BG$290</f>
        <v>0</v>
      </c>
      <c r="E135" s="265">
        <f>'[5]Indonesia Copra Meal Imports'!BS$290</f>
        <v>0</v>
      </c>
      <c r="F135" s="265">
        <f>'[5]Indonesia Copra Meal Imports'!CE$290</f>
        <v>0</v>
      </c>
      <c r="G135" s="265">
        <f>'[5]Indonesia Copra Meal Imports'!CQ$290</f>
        <v>0</v>
      </c>
      <c r="H135" s="265">
        <v>0.12594</v>
      </c>
      <c r="I135" s="265">
        <v>0</v>
      </c>
      <c r="J135" s="265">
        <v>0.34599999999999997</v>
      </c>
      <c r="K135" s="265">
        <v>0</v>
      </c>
      <c r="L135" s="265">
        <v>0</v>
      </c>
      <c r="M135" s="265">
        <v>0</v>
      </c>
      <c r="N135" s="265">
        <v>0</v>
      </c>
      <c r="O135" s="265">
        <v>0</v>
      </c>
      <c r="P135" s="265">
        <v>0</v>
      </c>
      <c r="Q135" s="265">
        <v>0</v>
      </c>
      <c r="R135" s="265">
        <v>0</v>
      </c>
      <c r="S135" s="265">
        <v>0</v>
      </c>
      <c r="T135" s="265">
        <v>0</v>
      </c>
      <c r="U135" s="265">
        <v>0</v>
      </c>
      <c r="V135" s="265">
        <v>0</v>
      </c>
      <c r="W135" s="265">
        <v>0</v>
      </c>
      <c r="X135" s="265">
        <v>0</v>
      </c>
      <c r="Y135" s="265">
        <v>0</v>
      </c>
      <c r="Z135" s="266">
        <f t="shared" si="60"/>
        <v>0</v>
      </c>
      <c r="AA135" s="266">
        <f t="shared" si="58"/>
        <v>0</v>
      </c>
      <c r="AB135" s="266">
        <f t="shared" si="58"/>
        <v>0</v>
      </c>
      <c r="AC135" s="266">
        <f t="shared" si="58"/>
        <v>0</v>
      </c>
    </row>
    <row r="136" spans="1:29">
      <c r="A136" s="247" t="s">
        <v>34</v>
      </c>
      <c r="B136" s="264">
        <f t="shared" si="59"/>
        <v>0</v>
      </c>
      <c r="C136" s="264">
        <f t="shared" si="57"/>
        <v>0</v>
      </c>
      <c r="D136" s="265">
        <f>'[5]Indonesia Copra Meal Imports'!BH$290</f>
        <v>0</v>
      </c>
      <c r="E136" s="265">
        <f>'[5]Indonesia Copra Meal Imports'!BT$290</f>
        <v>0</v>
      </c>
      <c r="F136" s="265">
        <f>'[5]Indonesia Copra Meal Imports'!CF$290</f>
        <v>0</v>
      </c>
      <c r="G136" s="265">
        <f>'[5]Indonesia Copra Meal Imports'!CR$290</f>
        <v>0</v>
      </c>
      <c r="H136" s="265">
        <v>4.7479999999999994E-2</v>
      </c>
      <c r="I136" s="265">
        <v>0</v>
      </c>
      <c r="J136" s="265">
        <v>0</v>
      </c>
      <c r="K136" s="265">
        <v>0</v>
      </c>
      <c r="L136" s="265">
        <v>0</v>
      </c>
      <c r="M136" s="265">
        <v>0</v>
      </c>
      <c r="N136" s="265">
        <v>0</v>
      </c>
      <c r="O136" s="265">
        <v>0</v>
      </c>
      <c r="P136" s="265">
        <v>0.27300000000000002</v>
      </c>
      <c r="Q136" s="265">
        <v>0</v>
      </c>
      <c r="R136" s="265">
        <v>0</v>
      </c>
      <c r="S136" s="265">
        <v>0</v>
      </c>
      <c r="T136" s="265">
        <v>0</v>
      </c>
      <c r="U136" s="265">
        <v>0</v>
      </c>
      <c r="V136" s="265">
        <v>0</v>
      </c>
      <c r="W136" s="265">
        <v>0.11899999999999999</v>
      </c>
      <c r="X136" s="265">
        <v>6.6000000000000003E-2</v>
      </c>
      <c r="Y136" s="265">
        <v>0.314</v>
      </c>
      <c r="Z136" s="266">
        <f t="shared" si="60"/>
        <v>0.1438569206842924</v>
      </c>
      <c r="AA136" s="266">
        <f t="shared" si="58"/>
        <v>8.1553715406406616E-2</v>
      </c>
      <c r="AB136" s="266">
        <f t="shared" si="58"/>
        <v>6.6727934470032418E-2</v>
      </c>
      <c r="AC136" s="266">
        <f t="shared" si="58"/>
        <v>6.8319142039361763E-2</v>
      </c>
    </row>
    <row r="137" spans="1:29">
      <c r="A137" s="247" t="s">
        <v>35</v>
      </c>
      <c r="B137" s="264">
        <f t="shared" si="59"/>
        <v>0</v>
      </c>
      <c r="C137" s="264">
        <f t="shared" si="57"/>
        <v>0</v>
      </c>
      <c r="D137" s="265">
        <f>'[5]Indonesia Copra Meal Imports'!BI$290</f>
        <v>0</v>
      </c>
      <c r="E137" s="265">
        <f>'[5]Indonesia Copra Meal Imports'!BU$290</f>
        <v>0</v>
      </c>
      <c r="F137" s="265">
        <f>'[5]Indonesia Copra Meal Imports'!CG$290</f>
        <v>0</v>
      </c>
      <c r="G137" s="265">
        <f>'[5]Indonesia Copra Meal Imports'!CS$290</f>
        <v>0</v>
      </c>
      <c r="H137" s="265">
        <v>0.73968</v>
      </c>
      <c r="I137" s="265">
        <v>0.6</v>
      </c>
      <c r="J137" s="265">
        <v>0</v>
      </c>
      <c r="K137" s="265">
        <v>0</v>
      </c>
      <c r="L137" s="265">
        <v>0</v>
      </c>
      <c r="M137" s="265">
        <v>0</v>
      </c>
      <c r="N137" s="265">
        <v>0</v>
      </c>
      <c r="O137" s="265">
        <v>0</v>
      </c>
      <c r="P137" s="265">
        <v>0.02</v>
      </c>
      <c r="Q137" s="265">
        <v>0</v>
      </c>
      <c r="R137" s="265">
        <v>0</v>
      </c>
      <c r="S137" s="265">
        <v>0</v>
      </c>
      <c r="T137" s="265">
        <v>4.3999999999999997E-2</v>
      </c>
      <c r="U137" s="265">
        <v>0.187</v>
      </c>
      <c r="V137" s="265">
        <v>0</v>
      </c>
      <c r="W137" s="265">
        <v>0.05</v>
      </c>
      <c r="X137" s="265">
        <v>0</v>
      </c>
      <c r="Y137" s="265">
        <v>0.13900000000000001</v>
      </c>
      <c r="Z137" s="266">
        <f t="shared" si="60"/>
        <v>0.21850699844479005</v>
      </c>
      <c r="AA137" s="266">
        <f t="shared" si="58"/>
        <v>6.1451296578775322E-2</v>
      </c>
      <c r="AB137" s="266">
        <f t="shared" si="58"/>
        <v>4.2298837289266145E-2</v>
      </c>
      <c r="AC137" s="266">
        <f t="shared" si="58"/>
        <v>4.4227440586944236E-2</v>
      </c>
    </row>
    <row r="138" spans="1:29">
      <c r="A138" s="247" t="s">
        <v>36</v>
      </c>
      <c r="B138" s="264">
        <f t="shared" si="59"/>
        <v>0</v>
      </c>
      <c r="C138" s="264">
        <f t="shared" si="57"/>
        <v>0</v>
      </c>
      <c r="D138" s="265">
        <f>'[5]Indonesia Copra Meal Imports'!BJ$290</f>
        <v>0</v>
      </c>
      <c r="E138" s="265">
        <f>'[5]Indonesia Copra Meal Imports'!BV$290</f>
        <v>0</v>
      </c>
      <c r="F138" s="265">
        <f>'[5]Indonesia Copra Meal Imports'!CH$290</f>
        <v>0</v>
      </c>
      <c r="G138" s="265">
        <f>'[5]Indonesia Copra Meal Imports'!CT$290</f>
        <v>0</v>
      </c>
      <c r="H138" s="265">
        <v>1.4</v>
      </c>
      <c r="I138" s="265">
        <v>0</v>
      </c>
      <c r="J138" s="265">
        <v>0</v>
      </c>
      <c r="K138" s="265">
        <v>0</v>
      </c>
      <c r="L138" s="265">
        <v>0</v>
      </c>
      <c r="M138" s="265">
        <v>0</v>
      </c>
      <c r="N138" s="265">
        <v>0</v>
      </c>
      <c r="O138" s="265">
        <v>0</v>
      </c>
      <c r="P138" s="265">
        <v>0</v>
      </c>
      <c r="Q138" s="265">
        <v>0</v>
      </c>
      <c r="R138" s="265">
        <v>0</v>
      </c>
      <c r="S138" s="265">
        <v>0.50900000000000001</v>
      </c>
      <c r="T138" s="265">
        <v>5.3999999999999999E-2</v>
      </c>
      <c r="U138" s="265">
        <v>0</v>
      </c>
      <c r="V138" s="265">
        <v>0</v>
      </c>
      <c r="W138" s="265">
        <v>0</v>
      </c>
      <c r="X138" s="265">
        <v>0</v>
      </c>
      <c r="Y138" s="265">
        <v>0.14699999999999999</v>
      </c>
      <c r="Z138" s="266">
        <f t="shared" si="60"/>
        <v>4.1990668740279943E-2</v>
      </c>
      <c r="AA138" s="266">
        <f t="shared" si="58"/>
        <v>2.4024842013510565E-2</v>
      </c>
      <c r="AB138" s="266">
        <f t="shared" si="58"/>
        <v>1.9617050938372422E-2</v>
      </c>
      <c r="AC138" s="266">
        <f t="shared" si="58"/>
        <v>2.0089485453045314E-2</v>
      </c>
    </row>
    <row r="139" spans="1:29">
      <c r="A139" s="247" t="s">
        <v>37</v>
      </c>
      <c r="B139" s="264">
        <f t="shared" si="59"/>
        <v>0</v>
      </c>
      <c r="C139" s="264">
        <f t="shared" si="57"/>
        <v>0</v>
      </c>
      <c r="D139" s="265">
        <f>'[5]Indonesia Copra Meal Imports'!BK$290</f>
        <v>0</v>
      </c>
      <c r="E139" s="265">
        <f>'[5]Indonesia Copra Meal Imports'!BW$290</f>
        <v>0</v>
      </c>
      <c r="F139" s="265">
        <f>'[5]Indonesia Copra Meal Imports'!CI$290</f>
        <v>0</v>
      </c>
      <c r="G139" s="265">
        <f>'[5]Indonesia Copra Meal Imports'!CU$290</f>
        <v>0</v>
      </c>
      <c r="H139" s="265">
        <v>1.4</v>
      </c>
      <c r="I139" s="265">
        <v>0</v>
      </c>
      <c r="J139" s="265">
        <v>0</v>
      </c>
      <c r="K139" s="265">
        <v>0</v>
      </c>
      <c r="L139" s="265">
        <v>0</v>
      </c>
      <c r="M139" s="265">
        <v>0</v>
      </c>
      <c r="N139" s="265">
        <v>0</v>
      </c>
      <c r="O139" s="265">
        <v>0</v>
      </c>
      <c r="P139" s="265">
        <v>0</v>
      </c>
      <c r="Q139" s="265">
        <v>0.14299999999999999</v>
      </c>
      <c r="R139" s="265">
        <v>0</v>
      </c>
      <c r="S139" s="265">
        <v>0</v>
      </c>
      <c r="T139" s="265">
        <v>0</v>
      </c>
      <c r="U139" s="265">
        <v>0</v>
      </c>
      <c r="V139" s="265">
        <v>0</v>
      </c>
      <c r="W139" s="265">
        <v>0</v>
      </c>
      <c r="X139" s="265">
        <v>0</v>
      </c>
      <c r="Y139" s="265">
        <v>5.6000000000000001E-2</v>
      </c>
      <c r="Z139" s="266">
        <f>Z140-SUM(Z128:Z138)</f>
        <v>8.0323483670295737E-2</v>
      </c>
      <c r="AA139" s="266">
        <f>AA140-SUM(AA128:AA138)</f>
        <v>9.1523207670520801E-3</v>
      </c>
      <c r="AB139" s="266">
        <f>AB140-SUM(AB128:AB138)</f>
        <v>1.4150247422700435E-2</v>
      </c>
      <c r="AC139" s="266">
        <f>AC140-SUM(AC128:AC138)</f>
        <v>1.371981808588596E-2</v>
      </c>
    </row>
    <row r="140" spans="1:29" ht="15.75" thickBot="1">
      <c r="A140" s="247" t="s">
        <v>138</v>
      </c>
      <c r="B140" s="265">
        <f>B24</f>
        <v>0</v>
      </c>
      <c r="C140" s="265">
        <f>C24</f>
        <v>0</v>
      </c>
      <c r="D140" s="265">
        <f>D24</f>
        <v>0</v>
      </c>
      <c r="E140" s="265">
        <f t="shared" ref="E140:Y140" si="61">SUM(E128:E139)</f>
        <v>0</v>
      </c>
      <c r="F140" s="265">
        <f t="shared" si="61"/>
        <v>0</v>
      </c>
      <c r="G140" s="265">
        <f t="shared" si="61"/>
        <v>0</v>
      </c>
      <c r="H140" s="265">
        <f t="shared" si="61"/>
        <v>6.4879999999999995</v>
      </c>
      <c r="I140" s="265">
        <f t="shared" si="61"/>
        <v>17.5</v>
      </c>
      <c r="J140" s="265">
        <f t="shared" si="61"/>
        <v>0.34599999999999997</v>
      </c>
      <c r="K140" s="265">
        <f t="shared" si="61"/>
        <v>0</v>
      </c>
      <c r="L140" s="265">
        <f t="shared" si="61"/>
        <v>0.91900000000000004</v>
      </c>
      <c r="M140" s="265">
        <f t="shared" si="61"/>
        <v>0.05</v>
      </c>
      <c r="N140" s="265">
        <f t="shared" si="61"/>
        <v>0</v>
      </c>
      <c r="O140" s="265">
        <f t="shared" si="61"/>
        <v>0</v>
      </c>
      <c r="P140" s="265">
        <f t="shared" si="61"/>
        <v>1.0860000000000001</v>
      </c>
      <c r="Q140" s="265">
        <f t="shared" si="61"/>
        <v>0.191</v>
      </c>
      <c r="R140" s="265">
        <f t="shared" si="61"/>
        <v>0.35100000000000003</v>
      </c>
      <c r="S140" s="265">
        <f t="shared" si="61"/>
        <v>0.50900000000000001</v>
      </c>
      <c r="T140" s="265">
        <f t="shared" si="61"/>
        <v>0.59500000000000008</v>
      </c>
      <c r="U140" s="265">
        <f t="shared" si="61"/>
        <v>1.7270000000000001</v>
      </c>
      <c r="V140" s="265">
        <f t="shared" si="61"/>
        <v>4.5999999999999999E-2</v>
      </c>
      <c r="W140" s="265">
        <f t="shared" si="61"/>
        <v>5.8129999999999997</v>
      </c>
      <c r="X140" s="265">
        <f t="shared" si="61"/>
        <v>0.82099999999999995</v>
      </c>
      <c r="Y140" s="265">
        <f t="shared" si="61"/>
        <v>0.77100000000000013</v>
      </c>
      <c r="Z140" s="266">
        <f>Z24</f>
        <v>7</v>
      </c>
      <c r="AA140" s="266">
        <f>AA24</f>
        <v>1.5</v>
      </c>
      <c r="AB140" s="266">
        <f>AB24</f>
        <v>1.5</v>
      </c>
      <c r="AC140" s="266">
        <f>AC24</f>
        <v>1.5</v>
      </c>
    </row>
    <row r="141" spans="1:29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  <c r="AB141" s="271"/>
      <c r="AC141" s="271"/>
    </row>
    <row r="142" spans="1:29" ht="15.75" thickBot="1">
      <c r="A142" s="247" t="s">
        <v>393</v>
      </c>
    </row>
    <row r="143" spans="1:29" ht="15.75" thickBot="1">
      <c r="A143" s="263"/>
      <c r="B143" s="235" t="str">
        <f>B$2</f>
        <v xml:space="preserve">93/94 </v>
      </c>
      <c r="C143" s="235" t="str">
        <f t="shared" ref="C143:AC143" si="62">C$2</f>
        <v xml:space="preserve">94/95 </v>
      </c>
      <c r="D143" s="235" t="str">
        <f t="shared" si="62"/>
        <v xml:space="preserve">95/96 </v>
      </c>
      <c r="E143" s="235" t="str">
        <f t="shared" si="62"/>
        <v xml:space="preserve">96/97 </v>
      </c>
      <c r="F143" s="235" t="str">
        <f t="shared" si="62"/>
        <v xml:space="preserve">97/98 </v>
      </c>
      <c r="G143" s="235" t="str">
        <f t="shared" si="62"/>
        <v xml:space="preserve">98/99 </v>
      </c>
      <c r="H143" s="235" t="str">
        <f t="shared" si="62"/>
        <v xml:space="preserve">99/00 </v>
      </c>
      <c r="I143" s="235" t="str">
        <f t="shared" si="62"/>
        <v xml:space="preserve">00/01 </v>
      </c>
      <c r="J143" s="235" t="str">
        <f t="shared" si="62"/>
        <v xml:space="preserve">01/02 </v>
      </c>
      <c r="K143" s="235" t="str">
        <f t="shared" si="62"/>
        <v xml:space="preserve">02/03 </v>
      </c>
      <c r="L143" s="235" t="str">
        <f t="shared" si="62"/>
        <v xml:space="preserve">03/04 </v>
      </c>
      <c r="M143" s="235" t="str">
        <f t="shared" si="62"/>
        <v xml:space="preserve">04/05 </v>
      </c>
      <c r="N143" s="235" t="str">
        <f t="shared" si="62"/>
        <v xml:space="preserve">05/06 </v>
      </c>
      <c r="O143" s="235" t="str">
        <f t="shared" si="62"/>
        <v xml:space="preserve">06/07 </v>
      </c>
      <c r="P143" s="235" t="str">
        <f t="shared" si="62"/>
        <v xml:space="preserve">07/08 </v>
      </c>
      <c r="Q143" s="235" t="str">
        <f t="shared" si="62"/>
        <v xml:space="preserve">08/09 </v>
      </c>
      <c r="R143" s="235" t="str">
        <f t="shared" si="62"/>
        <v xml:space="preserve">09/10 </v>
      </c>
      <c r="S143" s="235" t="str">
        <f t="shared" si="62"/>
        <v xml:space="preserve">10/11 </v>
      </c>
      <c r="T143" s="235" t="str">
        <f t="shared" si="62"/>
        <v xml:space="preserve">11/12 </v>
      </c>
      <c r="U143" s="235" t="str">
        <f t="shared" si="62"/>
        <v xml:space="preserve">12/13 </v>
      </c>
      <c r="V143" s="235" t="str">
        <f t="shared" si="62"/>
        <v xml:space="preserve">13/14 </v>
      </c>
      <c r="W143" s="235" t="str">
        <f t="shared" si="62"/>
        <v xml:space="preserve">14/15 </v>
      </c>
      <c r="X143" s="235" t="str">
        <f t="shared" si="62"/>
        <v xml:space="preserve">15/16 </v>
      </c>
      <c r="Y143" s="235" t="str">
        <f t="shared" si="62"/>
        <v xml:space="preserve">16/17 </v>
      </c>
      <c r="Z143" s="235" t="str">
        <f t="shared" si="62"/>
        <v xml:space="preserve">17/18 </v>
      </c>
      <c r="AA143" s="235" t="str">
        <f t="shared" si="62"/>
        <v xml:space="preserve">18/19 </v>
      </c>
      <c r="AB143" s="235" t="str">
        <f t="shared" si="62"/>
        <v xml:space="preserve">19/20 </v>
      </c>
      <c r="AC143" s="235" t="str">
        <f t="shared" si="62"/>
        <v xml:space="preserve">20/21 </v>
      </c>
    </row>
    <row r="144" spans="1:29">
      <c r="A144" s="247" t="s">
        <v>38</v>
      </c>
      <c r="B144" s="278">
        <f t="shared" ref="B144:B155" si="63">(SUM(T144:X144)/SUM(T$156:X$156))*B$156</f>
        <v>0</v>
      </c>
      <c r="C144" s="278">
        <f t="shared" ref="C144:G155" si="64">(SUM(L144:P144)/SUM(L$156:P$156))*C$156</f>
        <v>0</v>
      </c>
      <c r="D144" s="278">
        <f t="shared" si="64"/>
        <v>0</v>
      </c>
      <c r="E144" s="278">
        <f t="shared" si="64"/>
        <v>0.82398852686220325</v>
      </c>
      <c r="F144" s="278">
        <f t="shared" si="64"/>
        <v>12.342120953699899</v>
      </c>
      <c r="G144" s="278">
        <f t="shared" si="64"/>
        <v>14.969877168891642</v>
      </c>
      <c r="H144" s="245">
        <f>'[4]Ukraine Sun Meal Exports'!CV$290</f>
        <v>0</v>
      </c>
      <c r="I144" s="245">
        <f>'[4]Ukraine Sun Meal Exports'!DH$290</f>
        <v>26.2</v>
      </c>
      <c r="J144" s="245">
        <f>'[4]Ukraine Sun Meal Exports'!DT$290</f>
        <v>23.6</v>
      </c>
      <c r="K144" s="245">
        <f>'[4]Ukraine Sun Meal Exports'!EF$290</f>
        <v>45.718000000000004</v>
      </c>
      <c r="L144" s="245">
        <f>'[4]Ukraine Sun Meal Exports'!ER$290</f>
        <v>69.784000000000006</v>
      </c>
      <c r="M144" s="245">
        <f>'[4]Ukraine Sun Meal Exports'!FD$290</f>
        <v>111.67700000000001</v>
      </c>
      <c r="N144" s="245">
        <f>'[4]Ukraine Sun Meal Exports'!FP$290</f>
        <v>76.334000000000003</v>
      </c>
      <c r="O144" s="245">
        <f>'[4]Ukraine Sun Meal Exports'!GB$290</f>
        <v>140.01900000000001</v>
      </c>
      <c r="P144" s="245">
        <f>'[4]Ukraine Sun Meal Exports'!GN$290</f>
        <v>161.99199999999999</v>
      </c>
      <c r="Q144" s="245">
        <f>'[4]Ukraine Sun Meal Exports'!GZ$290</f>
        <v>73.02</v>
      </c>
      <c r="R144" s="245">
        <f>'[4]Ukraine Sun Meal Exports'!HL$290</f>
        <v>225.62899999999999</v>
      </c>
      <c r="S144" s="245">
        <f>'[4]Ukraine Sun Meal Exports'!HX$290</f>
        <v>230.648</v>
      </c>
      <c r="T144" s="245">
        <f>'[4]Ukraine Sun Meal Exports'!IJ$290</f>
        <v>248.203</v>
      </c>
      <c r="U144" s="245">
        <f>'[4]Ukraine Sun Meal Exports'!IV$290</f>
        <v>417.43700000000001</v>
      </c>
      <c r="V144" s="245">
        <f>'[4]Ukraine Sun Meal Exports'!JH$290</f>
        <v>170.297</v>
      </c>
      <c r="W144" s="245">
        <f>'[4]Ukraine Sun Meal Exports'!JT$290</f>
        <v>331.90499999999997</v>
      </c>
      <c r="X144" s="245">
        <f>'[4]Ukraine Sun Meal Exports'!KF$290</f>
        <v>269.48099999999999</v>
      </c>
      <c r="Y144" s="245">
        <f>'[4]Ukraine Sun Meal Exports'!KR$290</f>
        <v>418.36200000000002</v>
      </c>
      <c r="Z144" s="245">
        <f>'[4]Ukraine Sun Meal Exports'!LD$290</f>
        <v>460.78500000000003</v>
      </c>
      <c r="AA144" s="273">
        <f t="shared" ref="AA144:AC154" si="65">(SUM(U144:Y144)/SUM(U$283:Y$283))*AA$283</f>
        <v>371.49391817266167</v>
      </c>
      <c r="AB144" s="273">
        <f t="shared" si="65"/>
        <v>354.14756484023621</v>
      </c>
      <c r="AC144" s="273">
        <f t="shared" si="65"/>
        <v>375.145556850508</v>
      </c>
    </row>
    <row r="145" spans="1:29">
      <c r="A145" s="247" t="s">
        <v>39</v>
      </c>
      <c r="B145" s="278">
        <f t="shared" si="63"/>
        <v>0</v>
      </c>
      <c r="C145" s="278">
        <f t="shared" si="64"/>
        <v>0</v>
      </c>
      <c r="D145" s="278">
        <f t="shared" si="64"/>
        <v>0</v>
      </c>
      <c r="E145" s="278">
        <f t="shared" si="64"/>
        <v>0.71579677901612471</v>
      </c>
      <c r="F145" s="278">
        <f t="shared" si="64"/>
        <v>11.233953764036002</v>
      </c>
      <c r="G145" s="278">
        <f t="shared" si="64"/>
        <v>13.85683860136942</v>
      </c>
      <c r="H145" s="245">
        <f>'[4]Ukraine Sun Meal Exports'!CW$290</f>
        <v>0</v>
      </c>
      <c r="I145" s="245">
        <f>'[4]Ukraine Sun Meal Exports'!DI$290</f>
        <v>25.3</v>
      </c>
      <c r="J145" s="245">
        <f>'[4]Ukraine Sun Meal Exports'!DU$290</f>
        <v>34.299999999999997</v>
      </c>
      <c r="K145" s="245">
        <f>'[4]Ukraine Sun Meal Exports'!EG$290</f>
        <v>34.298999999999999</v>
      </c>
      <c r="L145" s="245">
        <f>'[4]Ukraine Sun Meal Exports'!ES$290</f>
        <v>77.114999999999995</v>
      </c>
      <c r="M145" s="245">
        <f>'[4]Ukraine Sun Meal Exports'!FE$290</f>
        <v>110.794</v>
      </c>
      <c r="N145" s="245">
        <f>'[4]Ukraine Sun Meal Exports'!FQ$290</f>
        <v>72.322000000000003</v>
      </c>
      <c r="O145" s="245">
        <f>'[4]Ukraine Sun Meal Exports'!GC$290</f>
        <v>122.73</v>
      </c>
      <c r="P145" s="245">
        <f>'[4]Ukraine Sun Meal Exports'!GO$290</f>
        <v>112.628</v>
      </c>
      <c r="Q145" s="245">
        <f>'[4]Ukraine Sun Meal Exports'!HA$290</f>
        <v>56.366999999999997</v>
      </c>
      <c r="R145" s="245">
        <f>'[4]Ukraine Sun Meal Exports'!HM$290</f>
        <v>224.05600000000001</v>
      </c>
      <c r="S145" s="245">
        <f>'[4]Ukraine Sun Meal Exports'!HY$290</f>
        <v>240.886</v>
      </c>
      <c r="T145" s="245">
        <f>'[4]Ukraine Sun Meal Exports'!IK$290</f>
        <v>235.702</v>
      </c>
      <c r="U145" s="245">
        <f>'[4]Ukraine Sun Meal Exports'!IW$290</f>
        <v>336.85599999999999</v>
      </c>
      <c r="V145" s="245">
        <f>'[4]Ukraine Sun Meal Exports'!JI$290</f>
        <v>127.88</v>
      </c>
      <c r="W145" s="245">
        <f>'[4]Ukraine Sun Meal Exports'!JU$290</f>
        <v>312.42500000000001</v>
      </c>
      <c r="X145" s="245">
        <f>'[4]Ukraine Sun Meal Exports'!KG$290</f>
        <v>265.31900000000002</v>
      </c>
      <c r="Y145" s="245">
        <f>'[4]Ukraine Sun Meal Exports'!KS$290</f>
        <v>382.44400000000002</v>
      </c>
      <c r="Z145" s="245">
        <f>'[4]Ukraine Sun Meal Exports'!LE$290</f>
        <v>392.00200000000001</v>
      </c>
      <c r="AA145" s="273">
        <f t="shared" si="65"/>
        <v>329.30421607101152</v>
      </c>
      <c r="AB145" s="273">
        <f t="shared" si="65"/>
        <v>317.5149387236047</v>
      </c>
      <c r="AC145" s="273">
        <f t="shared" si="65"/>
        <v>340.60254623688951</v>
      </c>
    </row>
    <row r="146" spans="1:29">
      <c r="A146" s="247" t="s">
        <v>40</v>
      </c>
      <c r="B146" s="278">
        <f t="shared" si="63"/>
        <v>0</v>
      </c>
      <c r="C146" s="278">
        <f t="shared" si="64"/>
        <v>0</v>
      </c>
      <c r="D146" s="278">
        <f t="shared" si="64"/>
        <v>0</v>
      </c>
      <c r="E146" s="278">
        <f t="shared" si="64"/>
        <v>0.67752661524786639</v>
      </c>
      <c r="F146" s="278">
        <f t="shared" si="64"/>
        <v>10.887166218100534</v>
      </c>
      <c r="G146" s="278">
        <f t="shared" si="64"/>
        <v>12.591375271318492</v>
      </c>
      <c r="H146" s="245">
        <f>'[4]Ukraine Sun Meal Exports'!CX$290</f>
        <v>0</v>
      </c>
      <c r="I146" s="245">
        <f>'[4]Ukraine Sun Meal Exports'!DJ$290</f>
        <v>25.8</v>
      </c>
      <c r="J146" s="245">
        <f>'[4]Ukraine Sun Meal Exports'!DV$290</f>
        <v>34.4</v>
      </c>
      <c r="K146" s="245">
        <f>'[4]Ukraine Sun Meal Exports'!EH$290</f>
        <v>34.624000000000002</v>
      </c>
      <c r="L146" s="245">
        <f>'[4]Ukraine Sun Meal Exports'!ET$290</f>
        <v>49.280999999999999</v>
      </c>
      <c r="M146" s="245">
        <f>'[4]Ukraine Sun Meal Exports'!FF$290</f>
        <v>82.754000000000005</v>
      </c>
      <c r="N146" s="245">
        <f>'[4]Ukraine Sun Meal Exports'!FR$290</f>
        <v>48.423000000000002</v>
      </c>
      <c r="O146" s="245">
        <f>'[4]Ukraine Sun Meal Exports'!GD$290</f>
        <v>119.35</v>
      </c>
      <c r="P146" s="245">
        <f>'[4]Ukraine Sun Meal Exports'!GP$290</f>
        <v>107.43600000000001</v>
      </c>
      <c r="Q146" s="245">
        <f>'[4]Ukraine Sun Meal Exports'!HB$290</f>
        <v>82.691999999999993</v>
      </c>
      <c r="R146" s="245">
        <f>'[4]Ukraine Sun Meal Exports'!HN$290</f>
        <v>198.75899999999999</v>
      </c>
      <c r="S146" s="245">
        <f>'[4]Ukraine Sun Meal Exports'!HZ$290</f>
        <v>225.072</v>
      </c>
      <c r="T146" s="245">
        <f>'[4]Ukraine Sun Meal Exports'!IL$290</f>
        <v>176.261</v>
      </c>
      <c r="U146" s="245">
        <f>'[4]Ukraine Sun Meal Exports'!IX$290</f>
        <v>359.67899999999997</v>
      </c>
      <c r="V146" s="245">
        <f>'[4]Ukraine Sun Meal Exports'!JJ$290</f>
        <v>133.761</v>
      </c>
      <c r="W146" s="245">
        <f>'[4]Ukraine Sun Meal Exports'!JV$290</f>
        <v>393.72199999999998</v>
      </c>
      <c r="X146" s="245">
        <f>'[4]Ukraine Sun Meal Exports'!KH$290</f>
        <v>245.35900000000001</v>
      </c>
      <c r="Y146" s="245">
        <f>'[4]Ukraine Sun Meal Exports'!KT$290</f>
        <v>274.42399999999998</v>
      </c>
      <c r="Z146" s="245">
        <f>'[4]Ukraine Sun Meal Exports'!LF$290</f>
        <v>385.94200000000001</v>
      </c>
      <c r="AA146" s="273">
        <f t="shared" si="65"/>
        <v>325.14921517219818</v>
      </c>
      <c r="AB146" s="273">
        <f t="shared" si="65"/>
        <v>307.46177565802975</v>
      </c>
      <c r="AC146" s="273">
        <f t="shared" si="65"/>
        <v>329.07731837901019</v>
      </c>
    </row>
    <row r="147" spans="1:29">
      <c r="A147" s="247" t="s">
        <v>30</v>
      </c>
      <c r="B147" s="278">
        <f t="shared" si="63"/>
        <v>0</v>
      </c>
      <c r="C147" s="278">
        <f t="shared" si="64"/>
        <v>0</v>
      </c>
      <c r="D147" s="278">
        <f t="shared" si="64"/>
        <v>0</v>
      </c>
      <c r="E147" s="278">
        <f t="shared" si="64"/>
        <v>0.52355867367586495</v>
      </c>
      <c r="F147" s="278">
        <f t="shared" si="64"/>
        <v>7.8992822545971091</v>
      </c>
      <c r="G147" s="278">
        <f t="shared" si="64"/>
        <v>8.9035277735706391</v>
      </c>
      <c r="H147" s="245">
        <f>'[4]Ukraine Sun Meal Exports'!CY$290</f>
        <v>0</v>
      </c>
      <c r="I147" s="245">
        <f>'[4]Ukraine Sun Meal Exports'!DK$290</f>
        <v>10.9</v>
      </c>
      <c r="J147" s="245">
        <f>'[4]Ukraine Sun Meal Exports'!DW$290</f>
        <v>20.6</v>
      </c>
      <c r="K147" s="245">
        <f>'[4]Ukraine Sun Meal Exports'!EI$290</f>
        <v>6.585</v>
      </c>
      <c r="L147" s="245">
        <f>'[4]Ukraine Sun Meal Exports'!EU$290</f>
        <v>26.995999999999999</v>
      </c>
      <c r="M147" s="245">
        <f>'[4]Ukraine Sun Meal Exports'!FG$290</f>
        <v>59.771999999999998</v>
      </c>
      <c r="N147" s="245">
        <f>'[4]Ukraine Sun Meal Exports'!FS$290</f>
        <v>32.003999999999998</v>
      </c>
      <c r="O147" s="245">
        <f>'[4]Ukraine Sun Meal Exports'!GE$290</f>
        <v>97.216999999999999</v>
      </c>
      <c r="P147" s="245">
        <f>'[4]Ukraine Sun Meal Exports'!GQ$290</f>
        <v>92.174999999999997</v>
      </c>
      <c r="Q147" s="245">
        <f>'[4]Ukraine Sun Meal Exports'!HC$290</f>
        <v>38.953000000000003</v>
      </c>
      <c r="R147" s="245">
        <f>'[4]Ukraine Sun Meal Exports'!HO$290</f>
        <v>169.81</v>
      </c>
      <c r="S147" s="245">
        <f>'[4]Ukraine Sun Meal Exports'!IA$290</f>
        <v>133.904</v>
      </c>
      <c r="T147" s="245">
        <f>'[4]Ukraine Sun Meal Exports'!IM$290</f>
        <v>123.93300000000001</v>
      </c>
      <c r="U147" s="245">
        <f>'[4]Ukraine Sun Meal Exports'!IY$290</f>
        <v>198.458</v>
      </c>
      <c r="V147" s="245">
        <f>'[4]Ukraine Sun Meal Exports'!JK$290</f>
        <v>31.529</v>
      </c>
      <c r="W147" s="245">
        <f>'[4]Ukraine Sun Meal Exports'!JW$290</f>
        <v>176.90199999999999</v>
      </c>
      <c r="X147" s="245">
        <f>'[4]Ukraine Sun Meal Exports'!KI$290</f>
        <v>100.443</v>
      </c>
      <c r="Y147" s="245">
        <f>'[4]Ukraine Sun Meal Exports'!KU$290</f>
        <v>94.998999999999995</v>
      </c>
      <c r="Z147" s="245">
        <f>'[4]Ukraine Sun Meal Exports'!LG$290</f>
        <v>217.245</v>
      </c>
      <c r="AA147" s="273">
        <f t="shared" si="65"/>
        <v>139.2005031638659</v>
      </c>
      <c r="AB147" s="273">
        <f t="shared" si="65"/>
        <v>133.24656516930139</v>
      </c>
      <c r="AC147" s="273">
        <f t="shared" si="65"/>
        <v>147.62320207579438</v>
      </c>
    </row>
    <row r="148" spans="1:29">
      <c r="A148" s="247" t="s">
        <v>31</v>
      </c>
      <c r="B148" s="278">
        <f t="shared" si="63"/>
        <v>0</v>
      </c>
      <c r="C148" s="278">
        <f t="shared" si="64"/>
        <v>0</v>
      </c>
      <c r="D148" s="278">
        <f t="shared" si="64"/>
        <v>0</v>
      </c>
      <c r="E148" s="278">
        <f t="shared" si="64"/>
        <v>0.36335781830246883</v>
      </c>
      <c r="F148" s="278">
        <f t="shared" si="64"/>
        <v>5.3553867130990005</v>
      </c>
      <c r="G148" s="278">
        <f t="shared" si="64"/>
        <v>7.3327209640781943</v>
      </c>
      <c r="H148" s="245">
        <f>'[4]Ukraine Sun Meal Exports'!CZ$290</f>
        <v>0</v>
      </c>
      <c r="I148" s="245">
        <f>'[4]Ukraine Sun Meal Exports'!DL$290</f>
        <v>25.8</v>
      </c>
      <c r="J148" s="245">
        <f>'[4]Ukraine Sun Meal Exports'!DX$290</f>
        <v>17</v>
      </c>
      <c r="K148" s="245">
        <f>'[4]Ukraine Sun Meal Exports'!EJ$290</f>
        <v>33.945999999999998</v>
      </c>
      <c r="L148" s="245">
        <f>'[4]Ukraine Sun Meal Exports'!EV$290</f>
        <v>30.8</v>
      </c>
      <c r="M148" s="245">
        <f>'[4]Ukraine Sun Meal Exports'!FH$290</f>
        <v>32.457999999999998</v>
      </c>
      <c r="N148" s="245">
        <f>'[4]Ukraine Sun Meal Exports'!FT$290</f>
        <v>39.463000000000001</v>
      </c>
      <c r="O148" s="245">
        <f>'[4]Ukraine Sun Meal Exports'!GF$290</f>
        <v>44.353999999999999</v>
      </c>
      <c r="P148" s="245">
        <f>'[4]Ukraine Sun Meal Exports'!GR$290</f>
        <v>70.811999999999998</v>
      </c>
      <c r="Q148" s="245">
        <f>'[4]Ukraine Sun Meal Exports'!HD$290</f>
        <v>42.469000000000001</v>
      </c>
      <c r="R148" s="245">
        <f>'[4]Ukraine Sun Meal Exports'!HP$290</f>
        <v>101.43899999999999</v>
      </c>
      <c r="S148" s="245">
        <f>'[4]Ukraine Sun Meal Exports'!IB$290</f>
        <v>101.64</v>
      </c>
      <c r="T148" s="245">
        <f>'[4]Ukraine Sun Meal Exports'!IN$290</f>
        <v>143.833</v>
      </c>
      <c r="U148" s="245">
        <f>'[4]Ukraine Sun Meal Exports'!IZ$290</f>
        <v>230.517</v>
      </c>
      <c r="V148" s="245">
        <f>'[4]Ukraine Sun Meal Exports'!JL$290</f>
        <v>149.22999999999999</v>
      </c>
      <c r="W148" s="245">
        <f>'[4]Ukraine Sun Meal Exports'!JX$290</f>
        <v>189.21</v>
      </c>
      <c r="X148" s="245">
        <f>'[4]Ukraine Sun Meal Exports'!KJ$290</f>
        <v>146.95099999999999</v>
      </c>
      <c r="Y148" s="245">
        <f>'[4]Ukraine Sun Meal Exports'!KV$290</f>
        <v>175.172</v>
      </c>
      <c r="Z148" s="245">
        <f>'[4]Ukraine Sun Meal Exports'!LH$290</f>
        <v>194.803</v>
      </c>
      <c r="AA148" s="273">
        <f t="shared" si="65"/>
        <v>205.93126430360988</v>
      </c>
      <c r="AB148" s="273">
        <f t="shared" si="65"/>
        <v>183.49907982477509</v>
      </c>
      <c r="AC148" s="273">
        <f t="shared" si="65"/>
        <v>184.74784485848292</v>
      </c>
    </row>
    <row r="149" spans="1:29">
      <c r="A149" s="247" t="s">
        <v>32</v>
      </c>
      <c r="B149" s="278">
        <f t="shared" si="63"/>
        <v>0</v>
      </c>
      <c r="C149" s="278">
        <f t="shared" si="64"/>
        <v>0</v>
      </c>
      <c r="D149" s="278">
        <f t="shared" si="64"/>
        <v>0</v>
      </c>
      <c r="E149" s="278">
        <f t="shared" si="64"/>
        <v>0.817014381952617</v>
      </c>
      <c r="F149" s="278">
        <f t="shared" si="64"/>
        <v>12.039902986191446</v>
      </c>
      <c r="G149" s="278">
        <f t="shared" si="64"/>
        <v>15.563339460380414</v>
      </c>
      <c r="H149" s="245">
        <f>'[4]Ukraine Sun Meal Exports'!DA$290</f>
        <v>41.308477000000025</v>
      </c>
      <c r="I149" s="245">
        <f>'[4]Ukraine Sun Meal Exports'!DM$290</f>
        <v>38.5</v>
      </c>
      <c r="J149" s="245">
        <f>'[4]Ukraine Sun Meal Exports'!DY$290</f>
        <v>64.900000000000006</v>
      </c>
      <c r="K149" s="245">
        <f>'[4]Ukraine Sun Meal Exports'!EK$290</f>
        <v>80.094999999999999</v>
      </c>
      <c r="L149" s="245">
        <f>'[4]Ukraine Sun Meal Exports'!EW$290</f>
        <v>93.688999999999993</v>
      </c>
      <c r="M149" s="245">
        <f>'[4]Ukraine Sun Meal Exports'!FI$290</f>
        <v>71.594999999999999</v>
      </c>
      <c r="N149" s="245">
        <f>'[4]Ukraine Sun Meal Exports'!FU$290</f>
        <v>99.289000000000001</v>
      </c>
      <c r="O149" s="245">
        <f>'[4]Ukraine Sun Meal Exports'!GG$290</f>
        <v>122.80200000000001</v>
      </c>
      <c r="P149" s="245">
        <f>'[4]Ukraine Sun Meal Exports'!GS$290</f>
        <v>111.518</v>
      </c>
      <c r="Q149" s="245">
        <f>'[4]Ukraine Sun Meal Exports'!HE$290</f>
        <v>142.434</v>
      </c>
      <c r="R149" s="245">
        <f>'[4]Ukraine Sun Meal Exports'!HQ$290</f>
        <v>195.221</v>
      </c>
      <c r="S149" s="245">
        <f>'[4]Ukraine Sun Meal Exports'!IC$290</f>
        <v>238.977</v>
      </c>
      <c r="T149" s="245">
        <f>'[4]Ukraine Sun Meal Exports'!IO$290</f>
        <v>288.58699999999999</v>
      </c>
      <c r="U149" s="245">
        <f>'[4]Ukraine Sun Meal Exports'!JA$290</f>
        <v>383.065</v>
      </c>
      <c r="V149" s="245">
        <f>'[4]Ukraine Sun Meal Exports'!JM$290</f>
        <v>288.18099999999998</v>
      </c>
      <c r="W149" s="245">
        <f>'[4]Ukraine Sun Meal Exports'!JY$290</f>
        <v>294.57600000000002</v>
      </c>
      <c r="X149" s="245">
        <f>'[4]Ukraine Sun Meal Exports'!KK$290</f>
        <v>359.68</v>
      </c>
      <c r="Y149" s="245">
        <f>'[4]Ukraine Sun Meal Exports'!KW$290</f>
        <v>353.87</v>
      </c>
      <c r="Z149" s="273">
        <f t="shared" ref="Z149:Z154" si="66">(SUM(T149:X149)/SUM(T$283:X$283))*Z$283</f>
        <v>448.30435867520487</v>
      </c>
      <c r="AA149" s="273">
        <f t="shared" si="65"/>
        <v>388.10791308982567</v>
      </c>
      <c r="AB149" s="273">
        <f t="shared" si="65"/>
        <v>374.26619595442276</v>
      </c>
      <c r="AC149" s="273">
        <f t="shared" si="65"/>
        <v>373.62866074112571</v>
      </c>
    </row>
    <row r="150" spans="1:29">
      <c r="A150" s="247" t="s">
        <v>33</v>
      </c>
      <c r="B150" s="278">
        <f t="shared" si="63"/>
        <v>0</v>
      </c>
      <c r="C150" s="278">
        <f t="shared" si="64"/>
        <v>0</v>
      </c>
      <c r="D150" s="278">
        <f t="shared" si="64"/>
        <v>0</v>
      </c>
      <c r="E150" s="278">
        <f t="shared" si="64"/>
        <v>1.0559269216720761</v>
      </c>
      <c r="F150" s="278">
        <f t="shared" si="64"/>
        <v>15.950979996246772</v>
      </c>
      <c r="G150" s="278">
        <f t="shared" si="64"/>
        <v>20.054595796875891</v>
      </c>
      <c r="H150" s="245">
        <f>'[4]Ukraine Sun Meal Exports'!DB$290</f>
        <v>34.590372999999985</v>
      </c>
      <c r="I150" s="245">
        <f>'[4]Ukraine Sun Meal Exports'!DN$290</f>
        <v>50</v>
      </c>
      <c r="J150" s="245">
        <f>'[4]Ukraine Sun Meal Exports'!DZ$290</f>
        <v>80.7</v>
      </c>
      <c r="K150" s="245">
        <f>'[4]Ukraine Sun Meal Exports'!EL$290</f>
        <v>72.256</v>
      </c>
      <c r="L150" s="245">
        <f>'[4]Ukraine Sun Meal Exports'!EX$290</f>
        <v>98.819000000000003</v>
      </c>
      <c r="M150" s="245">
        <f>'[4]Ukraine Sun Meal Exports'!FJ$290</f>
        <v>95.685000000000002</v>
      </c>
      <c r="N150" s="245">
        <f>'[4]Ukraine Sun Meal Exports'!FV$290</f>
        <v>118.006</v>
      </c>
      <c r="O150" s="245">
        <f>'[4]Ukraine Sun Meal Exports'!GH$290</f>
        <v>139.35</v>
      </c>
      <c r="P150" s="245">
        <f>'[4]Ukraine Sun Meal Exports'!GT$290</f>
        <v>182.636</v>
      </c>
      <c r="Q150" s="245">
        <f>'[4]Ukraine Sun Meal Exports'!HF$290</f>
        <v>171.18299999999999</v>
      </c>
      <c r="R150" s="245">
        <f>'[4]Ukraine Sun Meal Exports'!HR$290</f>
        <v>256.38099999999997</v>
      </c>
      <c r="S150" s="245">
        <f>'[4]Ukraine Sun Meal Exports'!ID$290</f>
        <v>324.834</v>
      </c>
      <c r="T150" s="245">
        <f>'[4]Ukraine Sun Meal Exports'!IP$290</f>
        <v>323.56900000000002</v>
      </c>
      <c r="U150" s="245">
        <f>'[4]Ukraine Sun Meal Exports'!JB$290</f>
        <v>373.536</v>
      </c>
      <c r="V150" s="245">
        <f>'[4]Ukraine Sun Meal Exports'!JN$290</f>
        <v>306.40100000000001</v>
      </c>
      <c r="W150" s="245">
        <f>'[4]Ukraine Sun Meal Exports'!JZ$290</f>
        <v>334.06200000000001</v>
      </c>
      <c r="X150" s="245">
        <f>'[4]Ukraine Sun Meal Exports'!KL$290</f>
        <v>386.79500000000002</v>
      </c>
      <c r="Y150" s="245">
        <f>'[4]Ukraine Sun Meal Exports'!KX$290</f>
        <v>514.78200000000004</v>
      </c>
      <c r="Z150" s="273">
        <f t="shared" si="66"/>
        <v>478.93235678965181</v>
      </c>
      <c r="AA150" s="273">
        <f t="shared" si="65"/>
        <v>442.69536691391539</v>
      </c>
      <c r="AB150" s="273">
        <f t="shared" si="65"/>
        <v>433.55308467043136</v>
      </c>
      <c r="AC150" s="273">
        <f t="shared" si="65"/>
        <v>436.97476445825441</v>
      </c>
    </row>
    <row r="151" spans="1:29">
      <c r="A151" s="247" t="s">
        <v>14</v>
      </c>
      <c r="B151" s="278">
        <f t="shared" si="63"/>
        <v>0</v>
      </c>
      <c r="C151" s="278">
        <f t="shared" si="64"/>
        <v>0</v>
      </c>
      <c r="D151" s="278">
        <f t="shared" si="64"/>
        <v>0</v>
      </c>
      <c r="E151" s="278">
        <f t="shared" si="64"/>
        <v>1.0075083425013518</v>
      </c>
      <c r="F151" s="278">
        <f t="shared" si="64"/>
        <v>14.51553373035197</v>
      </c>
      <c r="G151" s="278">
        <f t="shared" si="64"/>
        <v>18.812890079299386</v>
      </c>
      <c r="H151" s="245">
        <f>'[4]Ukraine Sun Meal Exports'!DC$290</f>
        <v>40.042587000000005</v>
      </c>
      <c r="I151" s="245">
        <f>'[4]Ukraine Sun Meal Exports'!DO$290</f>
        <v>50.9</v>
      </c>
      <c r="J151" s="245">
        <f>'[4]Ukraine Sun Meal Exports'!EA$290</f>
        <v>73.2</v>
      </c>
      <c r="K151" s="245">
        <f>'[4]Ukraine Sun Meal Exports'!EM$290</f>
        <v>82.638999999999996</v>
      </c>
      <c r="L151" s="245">
        <f>'[4]Ukraine Sun Meal Exports'!EY$290</f>
        <v>116.747</v>
      </c>
      <c r="M151" s="245">
        <f>'[4]Ukraine Sun Meal Exports'!FK$290</f>
        <v>91.024000000000001</v>
      </c>
      <c r="N151" s="245">
        <f>'[4]Ukraine Sun Meal Exports'!FW$290</f>
        <v>119.764</v>
      </c>
      <c r="O151" s="245">
        <f>'[4]Ukraine Sun Meal Exports'!GI$290</f>
        <v>133.578</v>
      </c>
      <c r="P151" s="245">
        <f>'[4]Ukraine Sun Meal Exports'!GU$290</f>
        <v>147.23500000000001</v>
      </c>
      <c r="Q151" s="245">
        <f>'[4]Ukraine Sun Meal Exports'!HG$290</f>
        <v>178.923</v>
      </c>
      <c r="R151" s="245">
        <f>'[4]Ukraine Sun Meal Exports'!HS$290</f>
        <v>248.27500000000001</v>
      </c>
      <c r="S151" s="245">
        <f>'[4]Ukraine Sun Meal Exports'!IE$290</f>
        <v>269.68799999999999</v>
      </c>
      <c r="T151" s="245">
        <f>'[4]Ukraine Sun Meal Exports'!IQ$290</f>
        <v>336.55399999999997</v>
      </c>
      <c r="U151" s="245">
        <f>'[4]Ukraine Sun Meal Exports'!JC$290</f>
        <v>365.339</v>
      </c>
      <c r="V151" s="245">
        <f>'[4]Ukraine Sun Meal Exports'!JO$290</f>
        <v>354.20600000000002</v>
      </c>
      <c r="W151" s="245">
        <f>'[4]Ukraine Sun Meal Exports'!KA$290</f>
        <v>423.58600000000001</v>
      </c>
      <c r="X151" s="245">
        <f>'[4]Ukraine Sun Meal Exports'!KM$290</f>
        <v>450.33600000000001</v>
      </c>
      <c r="Y151" s="245">
        <f>'[4]Ukraine Sun Meal Exports'!KY$290</f>
        <v>466.69099999999997</v>
      </c>
      <c r="Z151" s="273">
        <f t="shared" si="66"/>
        <v>536.05273726211976</v>
      </c>
      <c r="AA151" s="273">
        <f t="shared" si="65"/>
        <v>476.10870135700077</v>
      </c>
      <c r="AB151" s="273">
        <f t="shared" si="65"/>
        <v>478.5821636523973</v>
      </c>
      <c r="AC151" s="273">
        <f t="shared" si="65"/>
        <v>476.57669997058048</v>
      </c>
    </row>
    <row r="152" spans="1:29">
      <c r="A152" s="247" t="s">
        <v>34</v>
      </c>
      <c r="B152" s="278">
        <f t="shared" si="63"/>
        <v>0</v>
      </c>
      <c r="C152" s="278">
        <f t="shared" si="64"/>
        <v>0</v>
      </c>
      <c r="D152" s="278">
        <f t="shared" si="64"/>
        <v>0</v>
      </c>
      <c r="E152" s="278">
        <f t="shared" si="64"/>
        <v>0.96772163692552926</v>
      </c>
      <c r="F152" s="278">
        <f t="shared" si="64"/>
        <v>14.601599635129261</v>
      </c>
      <c r="G152" s="278">
        <f t="shared" si="64"/>
        <v>18.951006098701313</v>
      </c>
      <c r="H152" s="245">
        <f>'[4]Ukraine Sun Meal Exports'!DD$290</f>
        <v>26.3</v>
      </c>
      <c r="I152" s="245">
        <f>'[4]Ukraine Sun Meal Exports'!DP$290</f>
        <v>51.7</v>
      </c>
      <c r="J152" s="245">
        <f>'[4]Ukraine Sun Meal Exports'!EB$290</f>
        <v>68.162000000000006</v>
      </c>
      <c r="K152" s="245">
        <f>'[4]Ukraine Sun Meal Exports'!EN$290</f>
        <v>91.063999999999993</v>
      </c>
      <c r="L152" s="245">
        <f>'[4]Ukraine Sun Meal Exports'!EZ$290</f>
        <v>98.156000000000006</v>
      </c>
      <c r="M152" s="245">
        <f>'[4]Ukraine Sun Meal Exports'!FL$290</f>
        <v>85.308999999999997</v>
      </c>
      <c r="N152" s="245">
        <f>'[4]Ukraine Sun Meal Exports'!FX$290</f>
        <v>100.313</v>
      </c>
      <c r="O152" s="245">
        <f>'[4]Ukraine Sun Meal Exports'!GJ$290</f>
        <v>155.35499999999999</v>
      </c>
      <c r="P152" s="245">
        <f>'[4]Ukraine Sun Meal Exports'!GV$290</f>
        <v>149.78899999999999</v>
      </c>
      <c r="Q152" s="245">
        <f>'[4]Ukraine Sun Meal Exports'!HH$290</f>
        <v>192.24</v>
      </c>
      <c r="R152" s="245">
        <f>'[4]Ukraine Sun Meal Exports'!HT$290</f>
        <v>197.38900000000001</v>
      </c>
      <c r="S152" s="245">
        <f>'[4]Ukraine Sun Meal Exports'!IF$290</f>
        <v>288.72300000000001</v>
      </c>
      <c r="T152" s="245">
        <f>'[4]Ukraine Sun Meal Exports'!IR$290</f>
        <v>361.202</v>
      </c>
      <c r="U152" s="245">
        <f>'[4]Ukraine Sun Meal Exports'!JD$290</f>
        <v>370.613</v>
      </c>
      <c r="V152" s="245">
        <f>'[4]Ukraine Sun Meal Exports'!JP$290</f>
        <v>330.30900000000003</v>
      </c>
      <c r="W152" s="245">
        <f>'[4]Ukraine Sun Meal Exports'!KB$290</f>
        <v>302.50200000000001</v>
      </c>
      <c r="X152" s="245">
        <f>'[4]Ukraine Sun Meal Exports'!KN$290</f>
        <v>213.512</v>
      </c>
      <c r="Y152" s="245">
        <f>'[4]Ukraine Sun Meal Exports'!KZ$290</f>
        <v>434.13</v>
      </c>
      <c r="Z152" s="273">
        <f t="shared" si="66"/>
        <v>438.31916579009606</v>
      </c>
      <c r="AA152" s="273">
        <f t="shared" si="65"/>
        <v>381.56631147450724</v>
      </c>
      <c r="AB152" s="273">
        <f t="shared" si="65"/>
        <v>368.72299208867128</v>
      </c>
      <c r="AC152" s="273">
        <f t="shared" si="65"/>
        <v>358.53620018947146</v>
      </c>
    </row>
    <row r="153" spans="1:29">
      <c r="A153" s="247" t="s">
        <v>35</v>
      </c>
      <c r="B153" s="278">
        <f t="shared" si="63"/>
        <v>0</v>
      </c>
      <c r="C153" s="278">
        <f t="shared" si="64"/>
        <v>0</v>
      </c>
      <c r="D153" s="278">
        <f t="shared" si="64"/>
        <v>0</v>
      </c>
      <c r="E153" s="278">
        <f t="shared" si="64"/>
        <v>0.96502691496569959</v>
      </c>
      <c r="F153" s="278">
        <f t="shared" si="64"/>
        <v>14.76483831427818</v>
      </c>
      <c r="G153" s="278">
        <f t="shared" si="64"/>
        <v>19.000210328963558</v>
      </c>
      <c r="H153" s="245">
        <f>'[4]Ukraine Sun Meal Exports'!DE$290</f>
        <v>30.4</v>
      </c>
      <c r="I153" s="245">
        <f>'[4]Ukraine Sun Meal Exports'!DQ$290</f>
        <v>36.299999999999997</v>
      </c>
      <c r="J153" s="245">
        <f>'[4]Ukraine Sun Meal Exports'!EC$290</f>
        <v>63.256999999999998</v>
      </c>
      <c r="K153" s="245">
        <f>'[4]Ukraine Sun Meal Exports'!EO$290</f>
        <v>92.346000000000004</v>
      </c>
      <c r="L153" s="245">
        <f>'[4]Ukraine Sun Meal Exports'!FA$290</f>
        <v>86.289000000000001</v>
      </c>
      <c r="M153" s="245">
        <f>'[4]Ukraine Sun Meal Exports'!FM$290</f>
        <v>71.010999999999996</v>
      </c>
      <c r="N153" s="245">
        <f>'[4]Ukraine Sun Meal Exports'!FY$290</f>
        <v>111.749</v>
      </c>
      <c r="O153" s="245">
        <f>'[4]Ukraine Sun Meal Exports'!GK$290</f>
        <v>130.96199999999999</v>
      </c>
      <c r="P153" s="245">
        <f>'[4]Ukraine Sun Meal Exports'!GW$290</f>
        <v>150.673</v>
      </c>
      <c r="Q153" s="245">
        <f>'[4]Ukraine Sun Meal Exports'!HI$290</f>
        <v>199.19499999999999</v>
      </c>
      <c r="R153" s="245">
        <f>'[4]Ukraine Sun Meal Exports'!HU$290</f>
        <v>200.29300000000001</v>
      </c>
      <c r="S153" s="245">
        <f>'[4]Ukraine Sun Meal Exports'!IG$290</f>
        <v>313.36799999999999</v>
      </c>
      <c r="T153" s="245">
        <f>'[4]Ukraine Sun Meal Exports'!IS$290</f>
        <v>328.90199999999999</v>
      </c>
      <c r="U153" s="245">
        <f>'[4]Ukraine Sun Meal Exports'!JE$290</f>
        <v>318.49</v>
      </c>
      <c r="V153" s="245">
        <f>'[4]Ukraine Sun Meal Exports'!JQ$290</f>
        <v>271.41199999999998</v>
      </c>
      <c r="W153" s="245">
        <f>'[4]Ukraine Sun Meal Exports'!KC$290</f>
        <v>335.04899999999998</v>
      </c>
      <c r="X153" s="245">
        <f>'[4]Ukraine Sun Meal Exports'!KO$290</f>
        <v>376.226</v>
      </c>
      <c r="Y153" s="245">
        <f>'[4]Ukraine Sun Meal Exports'!LA$290</f>
        <v>451.51499999999999</v>
      </c>
      <c r="Z153" s="273">
        <f t="shared" si="66"/>
        <v>452.74549339281742</v>
      </c>
      <c r="AA153" s="273">
        <f t="shared" si="65"/>
        <v>405.05238530190621</v>
      </c>
      <c r="AB153" s="273">
        <f t="shared" si="65"/>
        <v>404.80113625658248</v>
      </c>
      <c r="AC153" s="273">
        <f t="shared" si="65"/>
        <v>409.28917257111391</v>
      </c>
    </row>
    <row r="154" spans="1:29">
      <c r="A154" s="247" t="s">
        <v>36</v>
      </c>
      <c r="B154" s="278">
        <f t="shared" si="63"/>
        <v>0</v>
      </c>
      <c r="C154" s="278">
        <f t="shared" si="64"/>
        <v>0</v>
      </c>
      <c r="D154" s="278">
        <f t="shared" si="64"/>
        <v>0</v>
      </c>
      <c r="E154" s="278">
        <f t="shared" si="64"/>
        <v>1.079312823991935</v>
      </c>
      <c r="F154" s="278">
        <f t="shared" si="64"/>
        <v>15.959605887341407</v>
      </c>
      <c r="G154" s="278">
        <f t="shared" si="64"/>
        <v>20.586202252264268</v>
      </c>
      <c r="H154" s="245">
        <f>'[4]Ukraine Sun Meal Exports'!DF$290</f>
        <v>34.4</v>
      </c>
      <c r="I154" s="245">
        <f>'[4]Ukraine Sun Meal Exports'!DR$290</f>
        <v>45.8</v>
      </c>
      <c r="J154" s="245">
        <f>'[4]Ukraine Sun Meal Exports'!ED$290</f>
        <v>47.122</v>
      </c>
      <c r="K154" s="245">
        <f>'[4]Ukraine Sun Meal Exports'!EP$290</f>
        <v>100.86799999999999</v>
      </c>
      <c r="L154" s="245">
        <f>'[4]Ukraine Sun Meal Exports'!FB$290</f>
        <v>101.762</v>
      </c>
      <c r="M154" s="245">
        <f>'[4]Ukraine Sun Meal Exports'!FN$290</f>
        <v>98.76</v>
      </c>
      <c r="N154" s="245">
        <f>'[4]Ukraine Sun Meal Exports'!FZ$290</f>
        <v>133.36099999999999</v>
      </c>
      <c r="O154" s="245">
        <f>'[4]Ukraine Sun Meal Exports'!GL$290</f>
        <v>143.76499999999999</v>
      </c>
      <c r="P154" s="245">
        <f>'[4]Ukraine Sun Meal Exports'!GX$290</f>
        <v>111.381</v>
      </c>
      <c r="Q154" s="245">
        <f>'[4]Ukraine Sun Meal Exports'!HJ$290</f>
        <v>230.494</v>
      </c>
      <c r="R154" s="245">
        <f>'[4]Ukraine Sun Meal Exports'!HV$290</f>
        <v>267.76900000000001</v>
      </c>
      <c r="S154" s="245">
        <f>'[4]Ukraine Sun Meal Exports'!IH$290</f>
        <v>321.55599999999998</v>
      </c>
      <c r="T154" s="245">
        <f>'[4]Ukraine Sun Meal Exports'!IT$290</f>
        <v>360.76600000000002</v>
      </c>
      <c r="U154" s="245">
        <f>'[4]Ukraine Sun Meal Exports'!JF$290</f>
        <v>270.64400000000001</v>
      </c>
      <c r="V154" s="245">
        <f>'[4]Ukraine Sun Meal Exports'!JR$290</f>
        <v>359.142</v>
      </c>
      <c r="W154" s="245">
        <f>'[4]Ukraine Sun Meal Exports'!KD$290</f>
        <v>306.25099999999998</v>
      </c>
      <c r="X154" s="245">
        <f>'[4]Ukraine Sun Meal Exports'!KP$290</f>
        <v>384.88200000000001</v>
      </c>
      <c r="Y154" s="245">
        <f>'[4]Ukraine Sun Meal Exports'!LB$290</f>
        <v>484.81</v>
      </c>
      <c r="Z154" s="273">
        <f t="shared" si="66"/>
        <v>467.0787765846319</v>
      </c>
      <c r="AA154" s="273">
        <f t="shared" si="65"/>
        <v>417.30939529525199</v>
      </c>
      <c r="AB154" s="273">
        <f t="shared" si="65"/>
        <v>429.51813686980375</v>
      </c>
      <c r="AC154" s="273">
        <f t="shared" si="65"/>
        <v>417.33955224255561</v>
      </c>
    </row>
    <row r="155" spans="1:29">
      <c r="A155" s="247" t="s">
        <v>37</v>
      </c>
      <c r="B155" s="278">
        <f t="shared" si="63"/>
        <v>0</v>
      </c>
      <c r="C155" s="278">
        <f t="shared" si="64"/>
        <v>0</v>
      </c>
      <c r="D155" s="278">
        <f t="shared" si="64"/>
        <v>0</v>
      </c>
      <c r="E155" s="278">
        <f t="shared" si="64"/>
        <v>1.0032605648862636</v>
      </c>
      <c r="F155" s="278">
        <f t="shared" si="64"/>
        <v>14.44962954692841</v>
      </c>
      <c r="G155" s="278">
        <f t="shared" si="64"/>
        <v>19.377416204286789</v>
      </c>
      <c r="H155" s="245">
        <f>'[4]Ukraine Sun Meal Exports'!DG$290</f>
        <v>25.9</v>
      </c>
      <c r="I155" s="245">
        <f>'[4]Ukraine Sun Meal Exports'!DS$290</f>
        <v>31.6</v>
      </c>
      <c r="J155" s="245">
        <f>'[4]Ukraine Sun Meal Exports'!EE$290</f>
        <v>49.427999999999997</v>
      </c>
      <c r="K155" s="245">
        <f>'[4]Ukraine Sun Meal Exports'!EQ$290</f>
        <v>71.984999999999999</v>
      </c>
      <c r="L155" s="245">
        <f>'[4]Ukraine Sun Meal Exports'!FC$290</f>
        <v>97.906000000000006</v>
      </c>
      <c r="M155" s="245">
        <f>'[4]Ukraine Sun Meal Exports'!FO$290</f>
        <v>86.582999999999998</v>
      </c>
      <c r="N155" s="245">
        <f>'[4]Ukraine Sun Meal Exports'!GA$290</f>
        <v>135.47900000000001</v>
      </c>
      <c r="O155" s="245">
        <f>'[4]Ukraine Sun Meal Exports'!GM$290</f>
        <v>138.78100000000001</v>
      </c>
      <c r="P155" s="245">
        <f>'[4]Ukraine Sun Meal Exports'!GY$290</f>
        <v>97.730999999999995</v>
      </c>
      <c r="Q155" s="245">
        <f>'[4]Ukraine Sun Meal Exports'!HK$290</f>
        <v>234.072</v>
      </c>
      <c r="R155" s="245">
        <f>'[4]Ukraine Sun Meal Exports'!HW$290</f>
        <v>218.22200000000001</v>
      </c>
      <c r="S155" s="245">
        <f>'[4]Ukraine Sun Meal Exports'!II$290</f>
        <v>284.45400000000001</v>
      </c>
      <c r="T155" s="245">
        <f>'[4]Ukraine Sun Meal Exports'!IU$290</f>
        <v>381.625</v>
      </c>
      <c r="U155" s="245">
        <f>'[4]Ukraine Sun Meal Exports'!JG$290</f>
        <v>276.77</v>
      </c>
      <c r="V155" s="245">
        <f>'[4]Ukraine Sun Meal Exports'!JS$290</f>
        <v>374.16399999999999</v>
      </c>
      <c r="W155" s="245">
        <f>'[4]Ukraine Sun Meal Exports'!KE$290</f>
        <v>328.11399999999998</v>
      </c>
      <c r="X155" s="245">
        <f>'[4]Ukraine Sun Meal Exports'!KQ$290</f>
        <v>328.69299999999998</v>
      </c>
      <c r="Y155" s="245">
        <f>'[4]Ukraine Sun Meal Exports'!LC$290</f>
        <v>470.21699999999998</v>
      </c>
      <c r="Z155" s="273">
        <f>Z156-SUM(Z144:Z154)</f>
        <v>627.79011150547831</v>
      </c>
      <c r="AA155" s="273">
        <f>AA156-SUM(AA144:AA154)</f>
        <v>1018.0808096842457</v>
      </c>
      <c r="AB155" s="273">
        <f>AB156-SUM(AB144:AB154)</f>
        <v>1114.686366291744</v>
      </c>
      <c r="AC155" s="273">
        <f>AC156-SUM(AC144:AC154)</f>
        <v>1050.4584814262134</v>
      </c>
    </row>
    <row r="156" spans="1:29" ht="15.75" thickBot="1">
      <c r="A156" s="247" t="s">
        <v>138</v>
      </c>
      <c r="B156" s="245">
        <f t="shared" ref="B156:G156" si="67">B27</f>
        <v>0</v>
      </c>
      <c r="C156" s="245">
        <f t="shared" si="67"/>
        <v>0</v>
      </c>
      <c r="D156" s="245">
        <f t="shared" si="67"/>
        <v>0</v>
      </c>
      <c r="E156" s="245">
        <f t="shared" si="67"/>
        <v>10</v>
      </c>
      <c r="F156" s="245">
        <f t="shared" si="67"/>
        <v>150</v>
      </c>
      <c r="G156" s="245">
        <f t="shared" si="67"/>
        <v>190</v>
      </c>
      <c r="H156" s="265">
        <f t="shared" ref="H156:Y156" si="68">SUM(H144:H155)</f>
        <v>232.94143700000004</v>
      </c>
      <c r="I156" s="265">
        <f t="shared" si="68"/>
        <v>418.80000000000007</v>
      </c>
      <c r="J156" s="265">
        <f t="shared" si="68"/>
        <v>576.66899999999998</v>
      </c>
      <c r="K156" s="265">
        <f t="shared" si="68"/>
        <v>746.42500000000007</v>
      </c>
      <c r="L156" s="265">
        <f t="shared" si="68"/>
        <v>947.34399999999982</v>
      </c>
      <c r="M156" s="265">
        <f t="shared" si="68"/>
        <v>997.42200000000003</v>
      </c>
      <c r="N156" s="265">
        <f t="shared" si="68"/>
        <v>1086.5070000000001</v>
      </c>
      <c r="O156" s="265">
        <f t="shared" si="68"/>
        <v>1488.2629999999999</v>
      </c>
      <c r="P156" s="265">
        <f t="shared" si="68"/>
        <v>1496.0060000000001</v>
      </c>
      <c r="Q156" s="265">
        <f t="shared" si="68"/>
        <v>1642.0419999999999</v>
      </c>
      <c r="R156" s="265">
        <f t="shared" si="68"/>
        <v>2503.2429999999999</v>
      </c>
      <c r="S156" s="265">
        <f t="shared" si="68"/>
        <v>2973.75</v>
      </c>
      <c r="T156" s="265">
        <f t="shared" si="68"/>
        <v>3309.1370000000002</v>
      </c>
      <c r="U156" s="265">
        <f t="shared" si="68"/>
        <v>3901.404</v>
      </c>
      <c r="V156" s="265">
        <f t="shared" si="68"/>
        <v>2896.5119999999997</v>
      </c>
      <c r="W156" s="265">
        <f t="shared" si="68"/>
        <v>3728.3039999999996</v>
      </c>
      <c r="X156" s="265">
        <f t="shared" si="68"/>
        <v>3527.6770000000006</v>
      </c>
      <c r="Y156" s="265">
        <f t="shared" si="68"/>
        <v>4521.4160000000002</v>
      </c>
      <c r="Z156" s="266">
        <f>Z27</f>
        <v>5100</v>
      </c>
      <c r="AA156" s="266">
        <f>AA27</f>
        <v>4900</v>
      </c>
      <c r="AB156" s="266">
        <f>AB27</f>
        <v>4900</v>
      </c>
      <c r="AC156" s="266">
        <f>AC27</f>
        <v>4900</v>
      </c>
    </row>
    <row r="157" spans="1:29">
      <c r="A157" s="271"/>
      <c r="B157" s="271"/>
      <c r="C157" s="271"/>
      <c r="D157" s="271"/>
      <c r="E157" s="271"/>
      <c r="F157" s="282"/>
      <c r="G157" s="282"/>
      <c r="H157" s="282"/>
      <c r="I157" s="282"/>
      <c r="J157" s="282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  <c r="AA157" s="271"/>
      <c r="AB157" s="271"/>
      <c r="AC157" s="271"/>
    </row>
    <row r="158" spans="1:29" ht="15.75" thickBot="1">
      <c r="A158" s="247" t="s">
        <v>394</v>
      </c>
      <c r="D158" s="183"/>
      <c r="E158" s="183"/>
      <c r="F158" s="183"/>
      <c r="G158" s="183"/>
      <c r="H158" s="183"/>
      <c r="I158" s="183"/>
      <c r="J158" s="183"/>
    </row>
    <row r="159" spans="1:29" ht="15.75" thickBot="1">
      <c r="A159" s="263"/>
      <c r="B159" s="235" t="str">
        <f>B$2</f>
        <v xml:space="preserve">93/94 </v>
      </c>
      <c r="C159" s="235" t="str">
        <f t="shared" ref="C159:AC159" si="69">C$2</f>
        <v xml:space="preserve">94/95 </v>
      </c>
      <c r="D159" s="235" t="str">
        <f t="shared" si="69"/>
        <v xml:space="preserve">95/96 </v>
      </c>
      <c r="E159" s="235" t="str">
        <f t="shared" si="69"/>
        <v xml:space="preserve">96/97 </v>
      </c>
      <c r="F159" s="235" t="str">
        <f t="shared" si="69"/>
        <v xml:space="preserve">97/98 </v>
      </c>
      <c r="G159" s="235" t="str">
        <f t="shared" si="69"/>
        <v xml:space="preserve">98/99 </v>
      </c>
      <c r="H159" s="235" t="str">
        <f t="shared" si="69"/>
        <v xml:space="preserve">99/00 </v>
      </c>
      <c r="I159" s="235" t="str">
        <f t="shared" si="69"/>
        <v xml:space="preserve">00/01 </v>
      </c>
      <c r="J159" s="235" t="str">
        <f t="shared" si="69"/>
        <v xml:space="preserve">01/02 </v>
      </c>
      <c r="K159" s="235" t="str">
        <f t="shared" si="69"/>
        <v xml:space="preserve">02/03 </v>
      </c>
      <c r="L159" s="235" t="str">
        <f t="shared" si="69"/>
        <v xml:space="preserve">03/04 </v>
      </c>
      <c r="M159" s="235" t="str">
        <f t="shared" si="69"/>
        <v xml:space="preserve">04/05 </v>
      </c>
      <c r="N159" s="235" t="str">
        <f t="shared" si="69"/>
        <v xml:space="preserve">05/06 </v>
      </c>
      <c r="O159" s="235" t="str">
        <f t="shared" si="69"/>
        <v xml:space="preserve">06/07 </v>
      </c>
      <c r="P159" s="235" t="str">
        <f t="shared" si="69"/>
        <v xml:space="preserve">07/08 </v>
      </c>
      <c r="Q159" s="235" t="str">
        <f t="shared" si="69"/>
        <v xml:space="preserve">08/09 </v>
      </c>
      <c r="R159" s="235" t="str">
        <f t="shared" si="69"/>
        <v xml:space="preserve">09/10 </v>
      </c>
      <c r="S159" s="235" t="str">
        <f t="shared" si="69"/>
        <v xml:space="preserve">10/11 </v>
      </c>
      <c r="T159" s="235" t="str">
        <f t="shared" si="69"/>
        <v xml:space="preserve">11/12 </v>
      </c>
      <c r="U159" s="235" t="str">
        <f t="shared" si="69"/>
        <v xml:space="preserve">12/13 </v>
      </c>
      <c r="V159" s="235" t="str">
        <f t="shared" si="69"/>
        <v xml:space="preserve">13/14 </v>
      </c>
      <c r="W159" s="235" t="str">
        <f t="shared" si="69"/>
        <v xml:space="preserve">14/15 </v>
      </c>
      <c r="X159" s="235" t="str">
        <f t="shared" si="69"/>
        <v xml:space="preserve">15/16 </v>
      </c>
      <c r="Y159" s="235" t="str">
        <f t="shared" si="69"/>
        <v xml:space="preserve">16/17 </v>
      </c>
      <c r="Z159" s="235" t="str">
        <f t="shared" si="69"/>
        <v xml:space="preserve">17/18 </v>
      </c>
      <c r="AA159" s="235" t="str">
        <f t="shared" si="69"/>
        <v xml:space="preserve">18/19 </v>
      </c>
      <c r="AB159" s="235" t="str">
        <f t="shared" si="69"/>
        <v xml:space="preserve">19/20 </v>
      </c>
      <c r="AC159" s="235" t="str">
        <f t="shared" si="69"/>
        <v xml:space="preserve">20/21 </v>
      </c>
    </row>
    <row r="160" spans="1:29">
      <c r="A160" s="247" t="s">
        <v>38</v>
      </c>
      <c r="B160" s="278">
        <f t="shared" ref="B160:Y160" si="70">B22+B96+B131-B144-B176</f>
        <v>101.25014019372412</v>
      </c>
      <c r="C160" s="278">
        <f t="shared" si="70"/>
        <v>49.351406604956793</v>
      </c>
      <c r="D160" s="278">
        <f t="shared" si="70"/>
        <v>36.874869043791755</v>
      </c>
      <c r="E160" s="278">
        <f t="shared" si="70"/>
        <v>41.703712444407103</v>
      </c>
      <c r="F160" s="278">
        <f t="shared" si="70"/>
        <v>6.7288972337078388</v>
      </c>
      <c r="G160" s="278">
        <f t="shared" si="70"/>
        <v>32.076611595153302</v>
      </c>
      <c r="H160" s="278">
        <f t="shared" si="70"/>
        <v>47.503452179966615</v>
      </c>
      <c r="I160" s="278">
        <f t="shared" si="70"/>
        <v>47.379750028998956</v>
      </c>
      <c r="J160" s="278">
        <f t="shared" si="70"/>
        <v>41.236400056706039</v>
      </c>
      <c r="K160" s="278">
        <f t="shared" si="70"/>
        <v>30.266792711945918</v>
      </c>
      <c r="L160" s="278">
        <f t="shared" si="70"/>
        <v>5.1999464882943052</v>
      </c>
      <c r="M160" s="278">
        <f t="shared" si="70"/>
        <v>-66.78325000000001</v>
      </c>
      <c r="N160" s="278">
        <f t="shared" si="70"/>
        <v>-5.0960205881075638</v>
      </c>
      <c r="O160" s="278">
        <f t="shared" si="70"/>
        <v>-83.238329669711362</v>
      </c>
      <c r="P160" s="278">
        <f t="shared" si="70"/>
        <v>-54.842095449396432</v>
      </c>
      <c r="Q160" s="278">
        <f t="shared" si="70"/>
        <v>25.131351384868928</v>
      </c>
      <c r="R160" s="278">
        <f t="shared" si="70"/>
        <v>-92.34224083180456</v>
      </c>
      <c r="S160" s="278">
        <f t="shared" si="70"/>
        <v>-65.412539041477743</v>
      </c>
      <c r="T160" s="278">
        <f t="shared" si="70"/>
        <v>-8.58883100430144</v>
      </c>
      <c r="U160" s="278">
        <f t="shared" si="70"/>
        <v>-149.4035839401345</v>
      </c>
      <c r="V160" s="278">
        <f t="shared" si="70"/>
        <v>94.481720645794852</v>
      </c>
      <c r="W160" s="278">
        <f t="shared" si="70"/>
        <v>-51.749271426600899</v>
      </c>
      <c r="X160" s="278">
        <f t="shared" si="70"/>
        <v>12.284269065698311</v>
      </c>
      <c r="Y160" s="278">
        <f t="shared" si="70"/>
        <v>-39.312406878550632</v>
      </c>
      <c r="Z160" s="273">
        <f>Y187+Z96+Z128-Z144-Z176</f>
        <v>-304.29564102564109</v>
      </c>
      <c r="AA160" s="273">
        <f>AA22+AA96+AA128-AA144-AA176</f>
        <v>23.900616559927698</v>
      </c>
      <c r="AB160" s="273">
        <f>AB22+AB96+AB128-AB144-AB176</f>
        <v>-25.081631456400032</v>
      </c>
      <c r="AC160" s="273">
        <f>AC22+AC96+AC128-AC144-AC176</f>
        <v>-34.85310793740598</v>
      </c>
    </row>
    <row r="161" spans="1:29">
      <c r="A161" s="247" t="s">
        <v>39</v>
      </c>
      <c r="B161" s="278">
        <f t="shared" ref="B161:Y168" si="71">B176+B97+B132-B145-B177</f>
        <v>115.91659583178696</v>
      </c>
      <c r="C161" s="278">
        <f t="shared" si="71"/>
        <v>83.166685060515761</v>
      </c>
      <c r="D161" s="278">
        <f t="shared" si="71"/>
        <v>110.6307035619665</v>
      </c>
      <c r="E161" s="278">
        <f t="shared" si="71"/>
        <v>77.302900512273695</v>
      </c>
      <c r="F161" s="278">
        <f t="shared" si="71"/>
        <v>78.674688655278501</v>
      </c>
      <c r="G161" s="278">
        <f t="shared" si="71"/>
        <v>84.034994380035116</v>
      </c>
      <c r="H161" s="278">
        <f t="shared" si="71"/>
        <v>106.26688013587577</v>
      </c>
      <c r="I161" s="278">
        <f t="shared" si="71"/>
        <v>104.6328372214049</v>
      </c>
      <c r="J161" s="278">
        <f t="shared" si="71"/>
        <v>71.900088737429783</v>
      </c>
      <c r="K161" s="278">
        <f t="shared" si="71"/>
        <v>103.73126656116808</v>
      </c>
      <c r="L161" s="278">
        <f t="shared" si="71"/>
        <v>51.035349650349637</v>
      </c>
      <c r="M161" s="278">
        <f t="shared" si="71"/>
        <v>1.9530355731225342</v>
      </c>
      <c r="N161" s="278">
        <f t="shared" si="71"/>
        <v>81.300857142857126</v>
      </c>
      <c r="O161" s="278">
        <f t="shared" si="71"/>
        <v>60.112682926829265</v>
      </c>
      <c r="P161" s="278">
        <f t="shared" si="71"/>
        <v>79.325014356117407</v>
      </c>
      <c r="Q161" s="278">
        <f t="shared" si="71"/>
        <v>138.61674411601325</v>
      </c>
      <c r="R161" s="278">
        <f t="shared" si="71"/>
        <v>41.66180426146623</v>
      </c>
      <c r="S161" s="278">
        <f t="shared" si="71"/>
        <v>48.489952023988025</v>
      </c>
      <c r="T161" s="278">
        <f t="shared" si="71"/>
        <v>108.65406020739826</v>
      </c>
      <c r="U161" s="278">
        <f t="shared" si="71"/>
        <v>15.243304351503358</v>
      </c>
      <c r="V161" s="278">
        <f t="shared" si="71"/>
        <v>234.81785184347066</v>
      </c>
      <c r="W161" s="278">
        <f t="shared" si="71"/>
        <v>55.167302481893728</v>
      </c>
      <c r="X161" s="278">
        <f t="shared" si="71"/>
        <v>104.76312805158915</v>
      </c>
      <c r="Y161" s="278">
        <f t="shared" si="71"/>
        <v>101.59313527851452</v>
      </c>
      <c r="Z161" s="273">
        <f t="shared" ref="Z161:AC171" si="72">Z176+Z97+Z129-Z145-Z177</f>
        <v>122.55469230769233</v>
      </c>
      <c r="AA161" s="273">
        <f t="shared" si="72"/>
        <v>187.18944837607808</v>
      </c>
      <c r="AB161" s="273">
        <f t="shared" si="72"/>
        <v>186.87047223210061</v>
      </c>
      <c r="AC161" s="273">
        <f t="shared" si="72"/>
        <v>173.33353563546285</v>
      </c>
    </row>
    <row r="162" spans="1:29">
      <c r="A162" s="247" t="s">
        <v>40</v>
      </c>
      <c r="B162" s="278">
        <f t="shared" si="71"/>
        <v>111.10646259456905</v>
      </c>
      <c r="C162" s="278">
        <f t="shared" si="71"/>
        <v>79.870507302358092</v>
      </c>
      <c r="D162" s="278">
        <f t="shared" si="71"/>
        <v>106.63821018545778</v>
      </c>
      <c r="E162" s="278">
        <f t="shared" si="71"/>
        <v>82.283531590422328</v>
      </c>
      <c r="F162" s="278">
        <f t="shared" si="71"/>
        <v>84.902293063860967</v>
      </c>
      <c r="G162" s="278">
        <f t="shared" si="71"/>
        <v>72.010899778065038</v>
      </c>
      <c r="H162" s="278">
        <f t="shared" si="71"/>
        <v>94.952521959161658</v>
      </c>
      <c r="I162" s="278">
        <f t="shared" si="71"/>
        <v>101.39413175808441</v>
      </c>
      <c r="J162" s="278">
        <f t="shared" si="71"/>
        <v>67.591019082243093</v>
      </c>
      <c r="K162" s="278">
        <f t="shared" si="71"/>
        <v>97.929561573701605</v>
      </c>
      <c r="L162" s="278">
        <f t="shared" si="71"/>
        <v>76.013289044289024</v>
      </c>
      <c r="M162" s="278">
        <f t="shared" si="71"/>
        <v>31.277620553359682</v>
      </c>
      <c r="N162" s="278">
        <f t="shared" si="71"/>
        <v>110.47362337662335</v>
      </c>
      <c r="O162" s="278">
        <f t="shared" si="71"/>
        <v>61.615853658536594</v>
      </c>
      <c r="P162" s="278">
        <f t="shared" si="71"/>
        <v>76.874546389543625</v>
      </c>
      <c r="Q162" s="278">
        <f t="shared" si="71"/>
        <v>122.76684863900829</v>
      </c>
      <c r="R162" s="278">
        <f t="shared" si="71"/>
        <v>62.313968580715084</v>
      </c>
      <c r="S162" s="278">
        <f t="shared" si="71"/>
        <v>68.257175412293861</v>
      </c>
      <c r="T162" s="278">
        <f t="shared" si="71"/>
        <v>173.05605618325353</v>
      </c>
      <c r="U162" s="278">
        <f t="shared" si="71"/>
        <v>-30.011388886539486</v>
      </c>
      <c r="V162" s="278">
        <f t="shared" si="71"/>
        <v>213.9025168991547</v>
      </c>
      <c r="W162" s="278">
        <f t="shared" si="71"/>
        <v>-17.485308265453114</v>
      </c>
      <c r="X162" s="278">
        <f t="shared" si="71"/>
        <v>93.386906494702714</v>
      </c>
      <c r="Y162" s="278">
        <f t="shared" si="71"/>
        <v>221.86600884173293</v>
      </c>
      <c r="Z162" s="273">
        <f t="shared" si="72"/>
        <v>139.74673881932011</v>
      </c>
      <c r="AA162" s="273">
        <f t="shared" si="72"/>
        <v>178.72794583664904</v>
      </c>
      <c r="AB162" s="273">
        <f t="shared" si="72"/>
        <v>193.65789640090486</v>
      </c>
      <c r="AC162" s="273">
        <f t="shared" si="72"/>
        <v>182.30947752918701</v>
      </c>
    </row>
    <row r="163" spans="1:29">
      <c r="A163" s="247" t="s">
        <v>30</v>
      </c>
      <c r="B163" s="278">
        <f t="shared" si="71"/>
        <v>105.56903751405731</v>
      </c>
      <c r="C163" s="278">
        <f t="shared" si="71"/>
        <v>75.297060662914319</v>
      </c>
      <c r="D163" s="278">
        <f t="shared" si="71"/>
        <v>116.03988813659113</v>
      </c>
      <c r="E163" s="278">
        <f t="shared" si="71"/>
        <v>69.375545686846237</v>
      </c>
      <c r="F163" s="278">
        <f t="shared" si="71"/>
        <v>64.706187472698375</v>
      </c>
      <c r="G163" s="278">
        <f t="shared" si="71"/>
        <v>71.545760422056347</v>
      </c>
      <c r="H163" s="278">
        <f t="shared" si="71"/>
        <v>100.11708896723364</v>
      </c>
      <c r="I163" s="278">
        <f t="shared" si="71"/>
        <v>108.40292792772723</v>
      </c>
      <c r="J163" s="278">
        <f t="shared" si="71"/>
        <v>75.550934935671506</v>
      </c>
      <c r="K163" s="278">
        <f t="shared" si="71"/>
        <v>118.36963340359183</v>
      </c>
      <c r="L163" s="278">
        <f t="shared" si="71"/>
        <v>104.60131934731933</v>
      </c>
      <c r="M163" s="278">
        <f t="shared" si="71"/>
        <v>49.812980237154143</v>
      </c>
      <c r="N163" s="278">
        <f t="shared" si="71"/>
        <v>131.97106493506493</v>
      </c>
      <c r="O163" s="278">
        <f t="shared" si="71"/>
        <v>90.465926829268298</v>
      </c>
      <c r="P163" s="278">
        <f t="shared" si="71"/>
        <v>104.30652410542106</v>
      </c>
      <c r="Q163" s="278">
        <f t="shared" si="71"/>
        <v>187.85134464813024</v>
      </c>
      <c r="R163" s="278">
        <f t="shared" si="71"/>
        <v>103.71508125677146</v>
      </c>
      <c r="S163" s="278">
        <f t="shared" si="71"/>
        <v>166.54097751124442</v>
      </c>
      <c r="T163" s="278">
        <f t="shared" si="71"/>
        <v>248.90870407057736</v>
      </c>
      <c r="U163" s="278">
        <f t="shared" si="71"/>
        <v>142.17841265276778</v>
      </c>
      <c r="V163" s="278">
        <f t="shared" si="71"/>
        <v>331.65697960140301</v>
      </c>
      <c r="W163" s="278">
        <f t="shared" si="71"/>
        <v>188.50640092397998</v>
      </c>
      <c r="X163" s="278">
        <f t="shared" si="71"/>
        <v>240.83074481805625</v>
      </c>
      <c r="Y163" s="278">
        <f t="shared" si="71"/>
        <v>427.68181343943411</v>
      </c>
      <c r="Z163" s="273">
        <f t="shared" si="72"/>
        <v>335.61776207513424</v>
      </c>
      <c r="AA163" s="273">
        <f t="shared" si="72"/>
        <v>374.98158058387367</v>
      </c>
      <c r="AB163" s="273">
        <f t="shared" si="72"/>
        <v>381.08463526010178</v>
      </c>
      <c r="AC163" s="273">
        <f t="shared" si="72"/>
        <v>375.26284757297503</v>
      </c>
    </row>
    <row r="164" spans="1:29">
      <c r="A164" s="247" t="s">
        <v>31</v>
      </c>
      <c r="B164" s="278">
        <f t="shared" si="71"/>
        <v>77.083647760510416</v>
      </c>
      <c r="C164" s="278">
        <f t="shared" si="71"/>
        <v>54.283927454659164</v>
      </c>
      <c r="D164" s="278">
        <f t="shared" si="71"/>
        <v>89.766705916985615</v>
      </c>
      <c r="E164" s="278">
        <f t="shared" si="71"/>
        <v>40.280079466196803</v>
      </c>
      <c r="F164" s="278">
        <f t="shared" si="71"/>
        <v>51.288089564273271</v>
      </c>
      <c r="G164" s="278">
        <f t="shared" si="71"/>
        <v>50.179005809267885</v>
      </c>
      <c r="H164" s="278">
        <f t="shared" si="71"/>
        <v>74.779489299423545</v>
      </c>
      <c r="I164" s="278">
        <f t="shared" si="71"/>
        <v>83.682974070602953</v>
      </c>
      <c r="J164" s="278">
        <f t="shared" si="71"/>
        <v>70.136182106096584</v>
      </c>
      <c r="K164" s="278">
        <f t="shared" si="71"/>
        <v>90.800153846153862</v>
      </c>
      <c r="L164" s="278">
        <f t="shared" si="71"/>
        <v>90.160955710955719</v>
      </c>
      <c r="M164" s="278">
        <f t="shared" si="71"/>
        <v>78.905636363636361</v>
      </c>
      <c r="N164" s="278">
        <f t="shared" si="71"/>
        <v>126.17232467532466</v>
      </c>
      <c r="O164" s="278">
        <f t="shared" si="71"/>
        <v>154.5899024390244</v>
      </c>
      <c r="P164" s="278">
        <f t="shared" si="71"/>
        <v>136.95381101349901</v>
      </c>
      <c r="Q164" s="278">
        <f t="shared" si="71"/>
        <v>188.58467950179806</v>
      </c>
      <c r="R164" s="278">
        <f t="shared" si="71"/>
        <v>159.23866341639584</v>
      </c>
      <c r="S164" s="278">
        <f t="shared" si="71"/>
        <v>205.52545727136436</v>
      </c>
      <c r="T164" s="278">
        <f t="shared" si="71"/>
        <v>198.5650420987464</v>
      </c>
      <c r="U164" s="278">
        <f t="shared" si="71"/>
        <v>106.56196350488436</v>
      </c>
      <c r="V164" s="278">
        <f t="shared" si="71"/>
        <v>181.25141981993627</v>
      </c>
      <c r="W164" s="278">
        <f t="shared" si="71"/>
        <v>125.55547927123666</v>
      </c>
      <c r="X164" s="278">
        <f t="shared" si="71"/>
        <v>148.22933164440343</v>
      </c>
      <c r="Y164" s="278">
        <f t="shared" si="71"/>
        <v>277.76168700265254</v>
      </c>
      <c r="Z164" s="273">
        <f t="shared" si="72"/>
        <v>286.53834347048297</v>
      </c>
      <c r="AA164" s="273">
        <f t="shared" si="72"/>
        <v>256.46648523256647</v>
      </c>
      <c r="AB164" s="273">
        <f t="shared" si="72"/>
        <v>267.71602330287101</v>
      </c>
      <c r="AC164" s="273">
        <f t="shared" si="72"/>
        <v>273.19564759078253</v>
      </c>
    </row>
    <row r="165" spans="1:29">
      <c r="A165" s="247" t="s">
        <v>32</v>
      </c>
      <c r="B165" s="278">
        <f t="shared" si="71"/>
        <v>70.51391023622962</v>
      </c>
      <c r="C165" s="278">
        <f t="shared" si="71"/>
        <v>50.040098591031168</v>
      </c>
      <c r="D165" s="278">
        <f t="shared" si="71"/>
        <v>76.243744480423928</v>
      </c>
      <c r="E165" s="278">
        <f t="shared" si="71"/>
        <v>46.022068830061791</v>
      </c>
      <c r="F165" s="278">
        <f t="shared" si="71"/>
        <v>27.032535752077582</v>
      </c>
      <c r="G165" s="278">
        <f t="shared" si="71"/>
        <v>33.967685139571834</v>
      </c>
      <c r="H165" s="278">
        <f t="shared" si="71"/>
        <v>40.581250961599594</v>
      </c>
      <c r="I165" s="278">
        <f t="shared" si="71"/>
        <v>62.423773820681049</v>
      </c>
      <c r="J165" s="278">
        <f t="shared" si="71"/>
        <v>15.10506730007917</v>
      </c>
      <c r="K165" s="278">
        <f t="shared" si="71"/>
        <v>28.351153846153831</v>
      </c>
      <c r="L165" s="278">
        <f t="shared" si="71"/>
        <v>18.802258741258747</v>
      </c>
      <c r="M165" s="278">
        <f t="shared" si="71"/>
        <v>25.242944664031626</v>
      </c>
      <c r="N165" s="278">
        <f t="shared" si="71"/>
        <v>58.82632467532467</v>
      </c>
      <c r="O165" s="278">
        <f t="shared" si="71"/>
        <v>51.051658536585379</v>
      </c>
      <c r="P165" s="278">
        <f t="shared" si="71"/>
        <v>56.114682879794287</v>
      </c>
      <c r="Q165" s="278">
        <f t="shared" si="71"/>
        <v>67.867113937373929</v>
      </c>
      <c r="R165" s="278">
        <f t="shared" si="71"/>
        <v>39.465348862405264</v>
      </c>
      <c r="S165" s="278">
        <f t="shared" si="71"/>
        <v>40.318232383808123</v>
      </c>
      <c r="T165" s="278">
        <f t="shared" si="71"/>
        <v>17.041424392508901</v>
      </c>
      <c r="U165" s="278">
        <f t="shared" si="71"/>
        <v>-73.457449359326787</v>
      </c>
      <c r="V165" s="278">
        <f t="shared" si="71"/>
        <v>21.799053986778006</v>
      </c>
      <c r="W165" s="278">
        <f t="shared" si="71"/>
        <v>3.0197007659309065</v>
      </c>
      <c r="X165" s="278">
        <f t="shared" si="71"/>
        <v>-8.7374607707661767</v>
      </c>
      <c r="Y165" s="278">
        <f t="shared" si="71"/>
        <v>66.389181255526069</v>
      </c>
      <c r="Z165" s="273">
        <f t="shared" si="72"/>
        <v>-0.43379971772412773</v>
      </c>
      <c r="AA165" s="273">
        <f t="shared" si="72"/>
        <v>63.231726983826718</v>
      </c>
      <c r="AB165" s="273">
        <f t="shared" si="72"/>
        <v>65.368989447098556</v>
      </c>
      <c r="AC165" s="273">
        <f t="shared" si="72"/>
        <v>75.350485344256754</v>
      </c>
    </row>
    <row r="166" spans="1:29">
      <c r="A166" s="247" t="s">
        <v>33</v>
      </c>
      <c r="B166" s="278">
        <f t="shared" si="71"/>
        <v>64.403053337623561</v>
      </c>
      <c r="C166" s="278">
        <f t="shared" si="71"/>
        <v>45.240039730714052</v>
      </c>
      <c r="D166" s="278">
        <f t="shared" si="71"/>
        <v>85.259052104798386</v>
      </c>
      <c r="E166" s="278">
        <f t="shared" si="71"/>
        <v>34.383167783714484</v>
      </c>
      <c r="F166" s="278">
        <f t="shared" si="71"/>
        <v>15.029533559540514</v>
      </c>
      <c r="G166" s="278">
        <f t="shared" si="71"/>
        <v>23.015860376995622</v>
      </c>
      <c r="H166" s="278">
        <f t="shared" si="71"/>
        <v>37.882447467914545</v>
      </c>
      <c r="I166" s="278">
        <f t="shared" si="71"/>
        <v>41.842736644798521</v>
      </c>
      <c r="J166" s="278">
        <f t="shared" si="71"/>
        <v>-8.3693586698337441</v>
      </c>
      <c r="K166" s="278">
        <f t="shared" si="71"/>
        <v>54.690153846153827</v>
      </c>
      <c r="L166" s="278">
        <f t="shared" si="71"/>
        <v>19.975289044289038</v>
      </c>
      <c r="M166" s="278">
        <f t="shared" si="71"/>
        <v>15.085750988142294</v>
      </c>
      <c r="N166" s="278">
        <f t="shared" si="71"/>
        <v>58.762831168831156</v>
      </c>
      <c r="O166" s="278">
        <f t="shared" si="71"/>
        <v>53.173170731707359</v>
      </c>
      <c r="P166" s="278">
        <f t="shared" si="71"/>
        <v>-16.340383972573392</v>
      </c>
      <c r="Q166" s="278">
        <f t="shared" si="71"/>
        <v>66.096449171125386</v>
      </c>
      <c r="R166" s="278">
        <f t="shared" si="71"/>
        <v>0.24478548212354667</v>
      </c>
      <c r="S166" s="278">
        <f t="shared" si="71"/>
        <v>-26.464464767616221</v>
      </c>
      <c r="T166" s="278">
        <f t="shared" si="71"/>
        <v>9.581794613836891</v>
      </c>
      <c r="U166" s="278">
        <f t="shared" si="71"/>
        <v>-69.966985368122792</v>
      </c>
      <c r="V166" s="278">
        <f t="shared" si="71"/>
        <v>66.05940700211741</v>
      </c>
      <c r="W166" s="278">
        <f t="shared" si="71"/>
        <v>-3.8787176129358159</v>
      </c>
      <c r="X166" s="278">
        <f t="shared" si="71"/>
        <v>-43.600696299708261</v>
      </c>
      <c r="Y166" s="278">
        <f t="shared" si="71"/>
        <v>-29.663335985853394</v>
      </c>
      <c r="Z166" s="273">
        <f t="shared" si="72"/>
        <v>37.012628006014779</v>
      </c>
      <c r="AA166" s="273">
        <f t="shared" si="72"/>
        <v>47.920617937972281</v>
      </c>
      <c r="AB166" s="273">
        <f t="shared" si="72"/>
        <v>58.915077357343591</v>
      </c>
      <c r="AC166" s="273">
        <f t="shared" si="72"/>
        <v>57.275428165802623</v>
      </c>
    </row>
    <row r="167" spans="1:29">
      <c r="A167" s="247" t="s">
        <v>14</v>
      </c>
      <c r="B167" s="278">
        <f t="shared" si="71"/>
        <v>59.327903945406284</v>
      </c>
      <c r="C167" s="278">
        <f t="shared" si="71"/>
        <v>41.222823087959391</v>
      </c>
      <c r="D167" s="278">
        <f t="shared" si="71"/>
        <v>77.016485133941728</v>
      </c>
      <c r="E167" s="278">
        <f t="shared" si="71"/>
        <v>27.446590719230599</v>
      </c>
      <c r="F167" s="278">
        <f t="shared" si="71"/>
        <v>9.5183853928528688</v>
      </c>
      <c r="G167" s="278">
        <f t="shared" si="71"/>
        <v>20.099805795340849</v>
      </c>
      <c r="H167" s="278">
        <f t="shared" si="71"/>
        <v>38.485741878328881</v>
      </c>
      <c r="I167" s="278">
        <f t="shared" si="71"/>
        <v>18.499973255732506</v>
      </c>
      <c r="J167" s="278">
        <f t="shared" si="71"/>
        <v>4.1470618354780271</v>
      </c>
      <c r="K167" s="278">
        <f t="shared" si="71"/>
        <v>35.007153846153855</v>
      </c>
      <c r="L167" s="278">
        <f t="shared" si="71"/>
        <v>-1.2027109557109554</v>
      </c>
      <c r="M167" s="278">
        <f t="shared" si="71"/>
        <v>19.549122529644279</v>
      </c>
      <c r="N167" s="278">
        <f t="shared" si="71"/>
        <v>53.977298701298693</v>
      </c>
      <c r="O167" s="278">
        <f t="shared" si="71"/>
        <v>56.278097560975624</v>
      </c>
      <c r="P167" s="278">
        <f t="shared" si="71"/>
        <v>-24.913367259481472</v>
      </c>
      <c r="Q167" s="278">
        <f t="shared" si="71"/>
        <v>53.711827354325635</v>
      </c>
      <c r="R167" s="278">
        <f t="shared" si="71"/>
        <v>4.3977338389309892</v>
      </c>
      <c r="S167" s="278">
        <f t="shared" si="71"/>
        <v>-6.3317841079424397E-2</v>
      </c>
      <c r="T167" s="278">
        <f t="shared" si="71"/>
        <v>-18.021978021978043</v>
      </c>
      <c r="U167" s="278">
        <f t="shared" si="71"/>
        <v>-125.69461593436803</v>
      </c>
      <c r="V167" s="278">
        <f t="shared" si="71"/>
        <v>-4.1994698627701723</v>
      </c>
      <c r="W167" s="278">
        <f t="shared" si="71"/>
        <v>-140.51661465515747</v>
      </c>
      <c r="X167" s="278">
        <f t="shared" si="71"/>
        <v>-87.936107477353062</v>
      </c>
      <c r="Y167" s="278">
        <f t="shared" si="71"/>
        <v>-40.001117595048584</v>
      </c>
      <c r="Z167" s="273">
        <f t="shared" si="72"/>
        <v>-79.716725317510168</v>
      </c>
      <c r="AA167" s="273">
        <f t="shared" si="72"/>
        <v>-31.458017283926438</v>
      </c>
      <c r="AB167" s="273">
        <f t="shared" si="72"/>
        <v>-26.525605492430827</v>
      </c>
      <c r="AC167" s="273">
        <f t="shared" si="72"/>
        <v>-26.305916347178879</v>
      </c>
    </row>
    <row r="168" spans="1:29">
      <c r="A168" s="247" t="s">
        <v>34</v>
      </c>
      <c r="B168" s="278">
        <f t="shared" si="71"/>
        <v>47.652188222382136</v>
      </c>
      <c r="C168" s="278">
        <f t="shared" si="71"/>
        <v>33.105985358496113</v>
      </c>
      <c r="D168" s="278">
        <f t="shared" si="71"/>
        <v>73.410362084191959</v>
      </c>
      <c r="E168" s="278">
        <f t="shared" si="71"/>
        <v>16.405694617112729</v>
      </c>
      <c r="F168" s="278">
        <f t="shared" si="71"/>
        <v>2.2871002892849503</v>
      </c>
      <c r="G168" s="278">
        <f t="shared" si="71"/>
        <v>4.3966114260828277</v>
      </c>
      <c r="H168" s="278">
        <f t="shared" si="71"/>
        <v>40.255034155034153</v>
      </c>
      <c r="I168" s="278">
        <f t="shared" si="71"/>
        <v>4.0350110054783244</v>
      </c>
      <c r="J168" s="278">
        <f t="shared" si="71"/>
        <v>-6.044694467959431</v>
      </c>
      <c r="K168" s="278">
        <f t="shared" si="71"/>
        <v>26.782153846153836</v>
      </c>
      <c r="L168" s="278">
        <f t="shared" si="71"/>
        <v>26.547379953379949</v>
      </c>
      <c r="M168" s="278">
        <f t="shared" si="71"/>
        <v>12.813529644268769</v>
      </c>
      <c r="N168" s="278">
        <f t="shared" si="71"/>
        <v>77.627779220779203</v>
      </c>
      <c r="O168" s="278">
        <f t="shared" si="71"/>
        <v>49.812073170731708</v>
      </c>
      <c r="P168" s="278">
        <f t="shared" si="71"/>
        <v>-40.96892714806085</v>
      </c>
      <c r="Q168" s="278">
        <f t="shared" si="71"/>
        <v>44.589518726427492</v>
      </c>
      <c r="R168" s="278">
        <f t="shared" si="71"/>
        <v>57.655564824846522</v>
      </c>
      <c r="S168" s="278">
        <f t="shared" si="71"/>
        <v>-18.026028485757195</v>
      </c>
      <c r="T168" s="278">
        <f t="shared" si="71"/>
        <v>-34.124631945519226</v>
      </c>
      <c r="U168" s="278">
        <f t="shared" si="71"/>
        <v>-162.59038613777645</v>
      </c>
      <c r="V168" s="278">
        <f t="shared" si="71"/>
        <v>35.317618391064542</v>
      </c>
      <c r="W168" s="278">
        <f t="shared" si="71"/>
        <v>-38.642368549941864</v>
      </c>
      <c r="X168" s="278">
        <f t="shared" si="71"/>
        <v>122.96034761246739</v>
      </c>
      <c r="Y168" s="278">
        <f t="shared" si="71"/>
        <v>-65.96789920424402</v>
      </c>
      <c r="Z168" s="273">
        <f t="shared" si="72"/>
        <v>3.5733602171260372</v>
      </c>
      <c r="AA168" s="273">
        <f t="shared" si="72"/>
        <v>31.849318768903174</v>
      </c>
      <c r="AB168" s="273">
        <f t="shared" si="72"/>
        <v>58.925002901325456</v>
      </c>
      <c r="AC168" s="273">
        <f t="shared" si="72"/>
        <v>57.602496926968286</v>
      </c>
    </row>
    <row r="169" spans="1:29">
      <c r="A169" s="247" t="s">
        <v>35</v>
      </c>
      <c r="B169" s="278">
        <f t="shared" ref="B169:Y171" si="73">B184+B105+C128-B153-B185</f>
        <v>36.526375795025992</v>
      </c>
      <c r="C169" s="278">
        <f t="shared" si="73"/>
        <v>25.73078762461833</v>
      </c>
      <c r="D169" s="278">
        <f t="shared" si="73"/>
        <v>52.803944657050351</v>
      </c>
      <c r="E169" s="278">
        <f t="shared" si="73"/>
        <v>16.271590785891156</v>
      </c>
      <c r="F169" s="278">
        <f t="shared" si="73"/>
        <v>-6.5803145047543676</v>
      </c>
      <c r="G169" s="278">
        <f t="shared" si="73"/>
        <v>-4.7322218415954715</v>
      </c>
      <c r="H169" s="278">
        <f t="shared" si="73"/>
        <v>29.624146124146115</v>
      </c>
      <c r="I169" s="278">
        <f t="shared" si="73"/>
        <v>7.0186239862118498</v>
      </c>
      <c r="J169" s="278">
        <f t="shared" si="73"/>
        <v>-14.977899434026952</v>
      </c>
      <c r="K169" s="278">
        <f t="shared" si="73"/>
        <v>11.819153846153849</v>
      </c>
      <c r="L169" s="278">
        <f t="shared" si="73"/>
        <v>43.634076923076911</v>
      </c>
      <c r="M169" s="278">
        <f t="shared" si="73"/>
        <v>11.795324110671942</v>
      </c>
      <c r="N169" s="278">
        <f t="shared" si="73"/>
        <v>50.370480519480509</v>
      </c>
      <c r="O169" s="278">
        <f t="shared" si="73"/>
        <v>51.386780487804884</v>
      </c>
      <c r="P169" s="278">
        <f t="shared" si="73"/>
        <v>-61.909439682879807</v>
      </c>
      <c r="Q169" s="278">
        <f t="shared" si="73"/>
        <v>14.663696605560929</v>
      </c>
      <c r="R169" s="278">
        <f t="shared" si="73"/>
        <v>50.798513181654059</v>
      </c>
      <c r="S169" s="278">
        <f t="shared" si="73"/>
        <v>-101.25588755622192</v>
      </c>
      <c r="T169" s="278">
        <f t="shared" si="73"/>
        <v>-11.668682247330054</v>
      </c>
      <c r="U169" s="278">
        <f t="shared" si="73"/>
        <v>-156.41777096460441</v>
      </c>
      <c r="V169" s="278">
        <f t="shared" si="73"/>
        <v>78.594530137229924</v>
      </c>
      <c r="W169" s="278">
        <f t="shared" si="73"/>
        <v>-99.914999392118375</v>
      </c>
      <c r="X169" s="278">
        <f t="shared" si="73"/>
        <v>-80.085388914478699</v>
      </c>
      <c r="Y169" s="278">
        <f t="shared" si="73"/>
        <v>-140.33068081343947</v>
      </c>
      <c r="Z169" s="273">
        <f t="shared" si="72"/>
        <v>-50.051752570210567</v>
      </c>
      <c r="AA169" s="273">
        <f t="shared" si="72"/>
        <v>-41.143975692510764</v>
      </c>
      <c r="AB169" s="273">
        <f t="shared" si="72"/>
        <v>-20.653621065998209</v>
      </c>
      <c r="AC169" s="273">
        <f t="shared" si="72"/>
        <v>-42.621318591183012</v>
      </c>
    </row>
    <row r="170" spans="1:29">
      <c r="A170" s="247" t="s">
        <v>36</v>
      </c>
      <c r="B170" s="278">
        <f t="shared" si="73"/>
        <v>31.684441768124476</v>
      </c>
      <c r="C170" s="278">
        <f t="shared" si="73"/>
        <v>23.032042085126733</v>
      </c>
      <c r="D170" s="278">
        <f t="shared" si="73"/>
        <v>40.955254636443939</v>
      </c>
      <c r="E170" s="278">
        <f t="shared" si="73"/>
        <v>9.0394520216137657</v>
      </c>
      <c r="F170" s="278">
        <f t="shared" si="73"/>
        <v>-8.5438755502627544</v>
      </c>
      <c r="G170" s="278">
        <f t="shared" si="73"/>
        <v>-11.71529465289071</v>
      </c>
      <c r="H170" s="278">
        <f t="shared" si="73"/>
        <v>30.385873923373914</v>
      </c>
      <c r="I170" s="278">
        <f t="shared" si="73"/>
        <v>-6.9742612961330579</v>
      </c>
      <c r="J170" s="278">
        <f t="shared" si="73"/>
        <v>-2.5793020512322471</v>
      </c>
      <c r="K170" s="278">
        <f t="shared" si="73"/>
        <v>-17.321846153846149</v>
      </c>
      <c r="L170" s="278">
        <f t="shared" si="73"/>
        <v>4.3277435897435872</v>
      </c>
      <c r="M170" s="278">
        <f t="shared" si="73"/>
        <v>-31.171067193675881</v>
      </c>
      <c r="N170" s="278">
        <f t="shared" si="73"/>
        <v>33.446272727272742</v>
      </c>
      <c r="O170" s="278">
        <f t="shared" si="73"/>
        <v>20.30939024390247</v>
      </c>
      <c r="P170" s="278">
        <f t="shared" si="73"/>
        <v>0.78982494107560797</v>
      </c>
      <c r="Q170" s="278">
        <f t="shared" si="73"/>
        <v>-26.385120954302245</v>
      </c>
      <c r="R170" s="278">
        <f t="shared" si="73"/>
        <v>-49.487815456843606</v>
      </c>
      <c r="S170" s="278">
        <f t="shared" si="73"/>
        <v>-158.78202698650676</v>
      </c>
      <c r="T170" s="278">
        <f t="shared" si="73"/>
        <v>-70.441151060207417</v>
      </c>
      <c r="U170" s="278">
        <f t="shared" si="73"/>
        <v>-118.1571200575126</v>
      </c>
      <c r="V170" s="278">
        <f t="shared" si="73"/>
        <v>-67.710800814650781</v>
      </c>
      <c r="W170" s="278">
        <f t="shared" si="73"/>
        <v>-107.70453179220863</v>
      </c>
      <c r="X170" s="278">
        <f t="shared" si="73"/>
        <v>-186.57489190849071</v>
      </c>
      <c r="Y170" s="278">
        <f t="shared" si="73"/>
        <v>-231.92846242263488</v>
      </c>
      <c r="Z170" s="273">
        <f>Z185+Z106+Z138-Z154-Z186</f>
        <v>-128.46592807168639</v>
      </c>
      <c r="AA170" s="273">
        <f t="shared" si="72"/>
        <v>-121.86227759495296</v>
      </c>
      <c r="AB170" s="273">
        <f t="shared" si="72"/>
        <v>-120.45745470416279</v>
      </c>
      <c r="AC170" s="273">
        <f t="shared" si="72"/>
        <v>-124.9893880097863</v>
      </c>
    </row>
    <row r="171" spans="1:29">
      <c r="A171" s="247" t="s">
        <v>37</v>
      </c>
      <c r="B171" s="278">
        <f t="shared" si="73"/>
        <v>14.011510394145891</v>
      </c>
      <c r="C171" s="278">
        <f t="shared" si="73"/>
        <v>10.238752161277271</v>
      </c>
      <c r="D171" s="278">
        <f t="shared" si="73"/>
        <v>10.174418604651166</v>
      </c>
      <c r="E171" s="278">
        <f t="shared" si="73"/>
        <v>10.398164613261002</v>
      </c>
      <c r="F171" s="278">
        <f t="shared" si="73"/>
        <v>-7.3815115694003204</v>
      </c>
      <c r="G171" s="278">
        <f t="shared" si="73"/>
        <v>-15.001101788595832</v>
      </c>
      <c r="H171" s="278">
        <f t="shared" si="73"/>
        <v>8.3041283041282554E-2</v>
      </c>
      <c r="I171" s="278">
        <f t="shared" si="73"/>
        <v>-14.34025748137579</v>
      </c>
      <c r="J171" s="278">
        <f t="shared" si="73"/>
        <v>-29.626818532613971</v>
      </c>
      <c r="K171" s="278">
        <f t="shared" si="73"/>
        <v>-44.992692307692309</v>
      </c>
      <c r="L171" s="278">
        <f t="shared" si="73"/>
        <v>-38.968937062937073</v>
      </c>
      <c r="M171" s="278">
        <f t="shared" si="73"/>
        <v>-35.199600790513834</v>
      </c>
      <c r="N171" s="278">
        <f t="shared" si="73"/>
        <v>-24.534584415584433</v>
      </c>
      <c r="O171" s="278">
        <f t="shared" si="73"/>
        <v>-33.777341463414643</v>
      </c>
      <c r="P171" s="278">
        <f t="shared" si="73"/>
        <v>-23.384781872723366</v>
      </c>
      <c r="Q171" s="278">
        <f t="shared" si="73"/>
        <v>-97.660098617080394</v>
      </c>
      <c r="R171" s="278">
        <f t="shared" si="73"/>
        <v>-133.7777060310581</v>
      </c>
      <c r="S171" s="278">
        <f t="shared" si="73"/>
        <v>-213.98779310344827</v>
      </c>
      <c r="T171" s="278">
        <f t="shared" si="73"/>
        <v>-250.54772867977096</v>
      </c>
      <c r="U171" s="278">
        <f t="shared" si="73"/>
        <v>-209.30878876813125</v>
      </c>
      <c r="V171" s="278">
        <f t="shared" si="73"/>
        <v>-246.23667202224124</v>
      </c>
      <c r="W171" s="278">
        <f t="shared" si="73"/>
        <v>-279.94138939159711</v>
      </c>
      <c r="X171" s="278">
        <f t="shared" si="73"/>
        <v>-274.8404604636878</v>
      </c>
      <c r="Y171" s="278">
        <f t="shared" si="73"/>
        <v>-279.43393633952246</v>
      </c>
      <c r="Z171" s="273">
        <f>Z186+Z107+Z139-Z155-Z187</f>
        <v>-274.07967819299859</v>
      </c>
      <c r="AA171" s="273">
        <f t="shared" si="72"/>
        <v>-871.14750713340709</v>
      </c>
      <c r="AB171" s="273">
        <f t="shared" si="72"/>
        <v>-920.75846041814384</v>
      </c>
      <c r="AC171" s="273">
        <f t="shared" si="72"/>
        <v>-870.237743847243</v>
      </c>
    </row>
    <row r="172" spans="1:29" ht="15.75" thickBot="1">
      <c r="A172" s="247" t="s">
        <v>138</v>
      </c>
      <c r="B172" s="245">
        <f>SUM(B160:B171)</f>
        <v>835.04526759358589</v>
      </c>
      <c r="C172" s="245">
        <f t="shared" ref="C172:AC172" si="74">SUM(C160:C171)</f>
        <v>570.58011572462715</v>
      </c>
      <c r="D172" s="245">
        <f t="shared" si="74"/>
        <v>875.81363854629421</v>
      </c>
      <c r="E172" s="245">
        <f t="shared" si="74"/>
        <v>470.91249907103168</v>
      </c>
      <c r="F172" s="245">
        <f t="shared" si="74"/>
        <v>317.66200935915742</v>
      </c>
      <c r="G172" s="245">
        <f t="shared" si="74"/>
        <v>359.87861643948679</v>
      </c>
      <c r="H172" s="245">
        <f t="shared" si="74"/>
        <v>640.9169683350998</v>
      </c>
      <c r="I172" s="245">
        <f t="shared" si="74"/>
        <v>557.99822094221179</v>
      </c>
      <c r="J172" s="245">
        <f t="shared" si="74"/>
        <v>284.06868089803794</v>
      </c>
      <c r="K172" s="245">
        <f t="shared" si="74"/>
        <v>535.432638865792</v>
      </c>
      <c r="L172" s="245">
        <f t="shared" si="74"/>
        <v>400.12596047430821</v>
      </c>
      <c r="M172" s="245">
        <f t="shared" si="74"/>
        <v>113.28202667984186</v>
      </c>
      <c r="N172" s="245">
        <f t="shared" si="74"/>
        <v>753.29825213916513</v>
      </c>
      <c r="O172" s="245">
        <f t="shared" si="74"/>
        <v>531.77986545224007</v>
      </c>
      <c r="P172" s="245">
        <f t="shared" si="74"/>
        <v>232.00540830033572</v>
      </c>
      <c r="Q172" s="245">
        <f t="shared" si="74"/>
        <v>785.83435451324954</v>
      </c>
      <c r="R172" s="245">
        <f t="shared" si="74"/>
        <v>243.88370138560273</v>
      </c>
      <c r="S172" s="245">
        <f t="shared" si="74"/>
        <v>-54.860263179408719</v>
      </c>
      <c r="T172" s="245">
        <f t="shared" si="74"/>
        <v>362.41407860721432</v>
      </c>
      <c r="U172" s="245">
        <f t="shared" si="74"/>
        <v>-831.02440890736079</v>
      </c>
      <c r="V172" s="245">
        <f t="shared" si="74"/>
        <v>939.73415562728724</v>
      </c>
      <c r="W172" s="245">
        <f t="shared" si="74"/>
        <v>-367.584317642972</v>
      </c>
      <c r="X172" s="245">
        <f t="shared" si="74"/>
        <v>40.679721852432408</v>
      </c>
      <c r="Y172" s="245">
        <f t="shared" si="74"/>
        <v>268.6539865785669</v>
      </c>
      <c r="Z172" s="273">
        <f t="shared" si="74"/>
        <v>87.999999999999545</v>
      </c>
      <c r="AA172" s="273">
        <f t="shared" si="74"/>
        <v>98.655962574999876</v>
      </c>
      <c r="AB172" s="273">
        <f t="shared" si="74"/>
        <v>99.061323764610052</v>
      </c>
      <c r="AC172" s="273">
        <f t="shared" si="74"/>
        <v>95.322444032637918</v>
      </c>
    </row>
    <row r="173" spans="1:29">
      <c r="A173" s="271"/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77"/>
      <c r="AB173" s="277"/>
      <c r="AC173" s="277"/>
    </row>
    <row r="174" spans="1:29" ht="15.75" thickBot="1">
      <c r="A174" s="247" t="s">
        <v>395</v>
      </c>
      <c r="Y174" s="245"/>
    </row>
    <row r="175" spans="1:29" ht="15.75" thickBot="1">
      <c r="A175" s="263"/>
      <c r="B175" s="235" t="str">
        <f>B$2</f>
        <v xml:space="preserve">93/94 </v>
      </c>
      <c r="C175" s="235" t="str">
        <f t="shared" ref="C175:AC175" si="75">C$2</f>
        <v xml:space="preserve">94/95 </v>
      </c>
      <c r="D175" s="235" t="str">
        <f t="shared" si="75"/>
        <v xml:space="preserve">95/96 </v>
      </c>
      <c r="E175" s="235" t="str">
        <f t="shared" si="75"/>
        <v xml:space="preserve">96/97 </v>
      </c>
      <c r="F175" s="235" t="str">
        <f t="shared" si="75"/>
        <v xml:space="preserve">97/98 </v>
      </c>
      <c r="G175" s="235" t="str">
        <f t="shared" si="75"/>
        <v xml:space="preserve">98/99 </v>
      </c>
      <c r="H175" s="235" t="str">
        <f t="shared" si="75"/>
        <v xml:space="preserve">99/00 </v>
      </c>
      <c r="I175" s="235" t="str">
        <f t="shared" si="75"/>
        <v xml:space="preserve">00/01 </v>
      </c>
      <c r="J175" s="235" t="str">
        <f t="shared" si="75"/>
        <v xml:space="preserve">01/02 </v>
      </c>
      <c r="K175" s="235" t="str">
        <f t="shared" si="75"/>
        <v xml:space="preserve">02/03 </v>
      </c>
      <c r="L175" s="235" t="str">
        <f t="shared" si="75"/>
        <v xml:space="preserve">03/04 </v>
      </c>
      <c r="M175" s="235" t="str">
        <f t="shared" si="75"/>
        <v xml:space="preserve">04/05 </v>
      </c>
      <c r="N175" s="235" t="str">
        <f t="shared" si="75"/>
        <v xml:space="preserve">05/06 </v>
      </c>
      <c r="O175" s="235" t="str">
        <f t="shared" si="75"/>
        <v xml:space="preserve">06/07 </v>
      </c>
      <c r="P175" s="235" t="str">
        <f t="shared" si="75"/>
        <v xml:space="preserve">07/08 </v>
      </c>
      <c r="Q175" s="235" t="str">
        <f t="shared" si="75"/>
        <v xml:space="preserve">08/09 </v>
      </c>
      <c r="R175" s="235" t="str">
        <f t="shared" si="75"/>
        <v xml:space="preserve">09/10 </v>
      </c>
      <c r="S175" s="235" t="str">
        <f t="shared" si="75"/>
        <v xml:space="preserve">10/11 </v>
      </c>
      <c r="T175" s="235" t="str">
        <f t="shared" si="75"/>
        <v xml:space="preserve">11/12 </v>
      </c>
      <c r="U175" s="235" t="str">
        <f t="shared" si="75"/>
        <v xml:space="preserve">12/13 </v>
      </c>
      <c r="V175" s="235" t="str">
        <f t="shared" si="75"/>
        <v xml:space="preserve">13/14 </v>
      </c>
      <c r="W175" s="235" t="str">
        <f t="shared" si="75"/>
        <v xml:space="preserve">14/15 </v>
      </c>
      <c r="X175" s="235" t="str">
        <f t="shared" si="75"/>
        <v xml:space="preserve">15/16 </v>
      </c>
      <c r="Y175" s="235" t="str">
        <f t="shared" si="75"/>
        <v xml:space="preserve">16/17 </v>
      </c>
      <c r="Z175" s="235" t="str">
        <f t="shared" si="75"/>
        <v xml:space="preserve">17/18 </v>
      </c>
      <c r="AA175" s="235" t="str">
        <f t="shared" si="75"/>
        <v xml:space="preserve">18/19 </v>
      </c>
      <c r="AB175" s="235" t="str">
        <f t="shared" si="75"/>
        <v xml:space="preserve">19/20 </v>
      </c>
      <c r="AC175" s="235" t="str">
        <f t="shared" si="75"/>
        <v xml:space="preserve">20/21 </v>
      </c>
    </row>
    <row r="176" spans="1:29">
      <c r="A176" s="247" t="s">
        <v>38</v>
      </c>
      <c r="B176" s="278">
        <f>(B$187-B$22)/13+B22</f>
        <v>0</v>
      </c>
      <c r="C176" s="278">
        <f>(C$187-B$187)/13+B187</f>
        <v>0</v>
      </c>
      <c r="D176" s="278">
        <f t="shared" ref="D176:AC176" si="76">(D$187-C$187)/13+C187</f>
        <v>0</v>
      </c>
      <c r="E176" s="278">
        <f t="shared" si="76"/>
        <v>0</v>
      </c>
      <c r="F176" s="278">
        <f t="shared" si="76"/>
        <v>0</v>
      </c>
      <c r="G176" s="278">
        <f t="shared" si="76"/>
        <v>0</v>
      </c>
      <c r="H176" s="278">
        <f t="shared" si="76"/>
        <v>0.15384615384615385</v>
      </c>
      <c r="I176" s="278">
        <f t="shared" si="76"/>
        <v>2</v>
      </c>
      <c r="J176" s="278">
        <f t="shared" si="76"/>
        <v>2</v>
      </c>
      <c r="K176" s="278">
        <f t="shared" si="76"/>
        <v>2.1538461538461537</v>
      </c>
      <c r="L176" s="278">
        <f t="shared" si="76"/>
        <v>4.0769230769230766</v>
      </c>
      <c r="M176" s="278">
        <f t="shared" si="76"/>
        <v>5</v>
      </c>
      <c r="N176" s="278">
        <f t="shared" si="76"/>
        <v>5</v>
      </c>
      <c r="O176" s="278">
        <f t="shared" si="76"/>
        <v>5</v>
      </c>
      <c r="P176" s="278">
        <f t="shared" si="76"/>
        <v>5.7692307692307692</v>
      </c>
      <c r="Q176" s="278">
        <f t="shared" si="76"/>
        <v>18.153846153846153</v>
      </c>
      <c r="R176" s="278">
        <f t="shared" si="76"/>
        <v>61.46153846153846</v>
      </c>
      <c r="S176" s="278">
        <f t="shared" si="76"/>
        <v>127</v>
      </c>
      <c r="T176" s="278">
        <f t="shared" si="76"/>
        <v>117.30769230769231</v>
      </c>
      <c r="U176" s="278">
        <f t="shared" si="76"/>
        <v>1.3846153846153846</v>
      </c>
      <c r="V176" s="278">
        <f t="shared" si="76"/>
        <v>28.923076923076923</v>
      </c>
      <c r="W176" s="278">
        <f t="shared" si="76"/>
        <v>309.07692307692309</v>
      </c>
      <c r="X176" s="278">
        <f t="shared" si="76"/>
        <v>377.30769230769232</v>
      </c>
      <c r="Y176" s="278">
        <f t="shared" si="76"/>
        <v>467.30769230769232</v>
      </c>
      <c r="Z176" s="276">
        <f t="shared" si="76"/>
        <v>477.69230769230768</v>
      </c>
      <c r="AA176" s="276">
        <f t="shared" si="76"/>
        <v>270.38461538461536</v>
      </c>
      <c r="AB176" s="276">
        <f t="shared" si="76"/>
        <v>275</v>
      </c>
      <c r="AC176" s="276">
        <f t="shared" si="76"/>
        <v>275</v>
      </c>
    </row>
    <row r="177" spans="1:29">
      <c r="A177" s="247" t="s">
        <v>39</v>
      </c>
      <c r="B177" s="278">
        <f>(B$187-B$22)/13+B176</f>
        <v>0</v>
      </c>
      <c r="C177" s="278">
        <f>(C$187-B$187)/13+C176</f>
        <v>0</v>
      </c>
      <c r="D177" s="278">
        <f t="shared" ref="D177:AC186" si="77">(D$187-C$187)/13+D176</f>
        <v>0</v>
      </c>
      <c r="E177" s="278">
        <f t="shared" si="77"/>
        <v>0</v>
      </c>
      <c r="F177" s="278">
        <f t="shared" si="77"/>
        <v>0</v>
      </c>
      <c r="G177" s="278">
        <f t="shared" si="77"/>
        <v>0</v>
      </c>
      <c r="H177" s="278">
        <f t="shared" si="77"/>
        <v>0.30769230769230771</v>
      </c>
      <c r="I177" s="278">
        <f t="shared" si="77"/>
        <v>2</v>
      </c>
      <c r="J177" s="278">
        <f t="shared" si="77"/>
        <v>2</v>
      </c>
      <c r="K177" s="278">
        <f t="shared" si="77"/>
        <v>2.3076923076923075</v>
      </c>
      <c r="L177" s="278">
        <f t="shared" si="77"/>
        <v>4.1538461538461533</v>
      </c>
      <c r="M177" s="278">
        <f t="shared" si="77"/>
        <v>5</v>
      </c>
      <c r="N177" s="278">
        <f t="shared" si="77"/>
        <v>5</v>
      </c>
      <c r="O177" s="278">
        <f t="shared" si="77"/>
        <v>5</v>
      </c>
      <c r="P177" s="278">
        <f t="shared" si="77"/>
        <v>6.5384615384615383</v>
      </c>
      <c r="Q177" s="278">
        <f t="shared" si="77"/>
        <v>21.307692307692307</v>
      </c>
      <c r="R177" s="278">
        <f t="shared" si="77"/>
        <v>66.92307692307692</v>
      </c>
      <c r="S177" s="278">
        <f t="shared" si="77"/>
        <v>127</v>
      </c>
      <c r="T177" s="278">
        <f t="shared" si="77"/>
        <v>107.61538461538461</v>
      </c>
      <c r="U177" s="278">
        <f t="shared" si="77"/>
        <v>1.7692307692307692</v>
      </c>
      <c r="V177" s="278">
        <f t="shared" si="77"/>
        <v>51.846153846153847</v>
      </c>
      <c r="W177" s="278">
        <f t="shared" si="77"/>
        <v>314.15384615384619</v>
      </c>
      <c r="X177" s="278">
        <f t="shared" si="77"/>
        <v>384.61538461538464</v>
      </c>
      <c r="Y177" s="278">
        <f t="shared" si="77"/>
        <v>469.61538461538464</v>
      </c>
      <c r="Z177" s="276">
        <f t="shared" si="77"/>
        <v>460.38461538461536</v>
      </c>
      <c r="AA177" s="276">
        <f t="shared" si="77"/>
        <v>270.76923076923072</v>
      </c>
      <c r="AB177" s="276">
        <f t="shared" si="77"/>
        <v>275</v>
      </c>
      <c r="AC177" s="276">
        <f t="shared" si="77"/>
        <v>275</v>
      </c>
    </row>
    <row r="178" spans="1:29">
      <c r="A178" s="247" t="s">
        <v>40</v>
      </c>
      <c r="B178" s="278">
        <f t="shared" ref="B178:B186" si="78">(B$187-B$22)/13+B177</f>
        <v>0</v>
      </c>
      <c r="C178" s="278">
        <f t="shared" ref="C178:C186" si="79">(C$187-B$187)/13+C177</f>
        <v>0</v>
      </c>
      <c r="D178" s="278">
        <f t="shared" si="77"/>
        <v>0</v>
      </c>
      <c r="E178" s="278">
        <f t="shared" si="77"/>
        <v>0</v>
      </c>
      <c r="F178" s="278">
        <f t="shared" si="77"/>
        <v>0</v>
      </c>
      <c r="G178" s="278">
        <f t="shared" si="77"/>
        <v>0</v>
      </c>
      <c r="H178" s="278">
        <f t="shared" si="77"/>
        <v>0.46153846153846156</v>
      </c>
      <c r="I178" s="278">
        <f t="shared" si="77"/>
        <v>2</v>
      </c>
      <c r="J178" s="278">
        <f t="shared" si="77"/>
        <v>2</v>
      </c>
      <c r="K178" s="278">
        <f t="shared" si="77"/>
        <v>2.4615384615384612</v>
      </c>
      <c r="L178" s="278">
        <f t="shared" si="77"/>
        <v>4.2307692307692299</v>
      </c>
      <c r="M178" s="278">
        <f t="shared" si="77"/>
        <v>5</v>
      </c>
      <c r="N178" s="278">
        <f t="shared" si="77"/>
        <v>5</v>
      </c>
      <c r="O178" s="278">
        <f t="shared" si="77"/>
        <v>5</v>
      </c>
      <c r="P178" s="278">
        <f t="shared" si="77"/>
        <v>7.3076923076923075</v>
      </c>
      <c r="Q178" s="278">
        <f t="shared" si="77"/>
        <v>24.46153846153846</v>
      </c>
      <c r="R178" s="278">
        <f t="shared" si="77"/>
        <v>72.384615384615387</v>
      </c>
      <c r="S178" s="278">
        <f t="shared" si="77"/>
        <v>127</v>
      </c>
      <c r="T178" s="278">
        <f t="shared" si="77"/>
        <v>97.92307692307692</v>
      </c>
      <c r="U178" s="278">
        <f t="shared" si="77"/>
        <v>2.1538461538461537</v>
      </c>
      <c r="V178" s="278">
        <f t="shared" si="77"/>
        <v>74.769230769230774</v>
      </c>
      <c r="W178" s="278">
        <f t="shared" si="77"/>
        <v>319.23076923076928</v>
      </c>
      <c r="X178" s="278">
        <f t="shared" si="77"/>
        <v>391.92307692307696</v>
      </c>
      <c r="Y178" s="278">
        <f t="shared" si="77"/>
        <v>471.92307692307696</v>
      </c>
      <c r="Z178" s="276">
        <f t="shared" si="77"/>
        <v>443.07692307692304</v>
      </c>
      <c r="AA178" s="276">
        <f t="shared" si="77"/>
        <v>271.15384615384608</v>
      </c>
      <c r="AB178" s="276">
        <f t="shared" si="77"/>
        <v>275</v>
      </c>
      <c r="AC178" s="276">
        <f t="shared" si="77"/>
        <v>275</v>
      </c>
    </row>
    <row r="179" spans="1:29">
      <c r="A179" s="247" t="s">
        <v>30</v>
      </c>
      <c r="B179" s="278">
        <f t="shared" si="78"/>
        <v>0</v>
      </c>
      <c r="C179" s="278">
        <f t="shared" si="79"/>
        <v>0</v>
      </c>
      <c r="D179" s="278">
        <f t="shared" si="77"/>
        <v>0</v>
      </c>
      <c r="E179" s="278">
        <f t="shared" si="77"/>
        <v>0</v>
      </c>
      <c r="F179" s="278">
        <f t="shared" si="77"/>
        <v>0</v>
      </c>
      <c r="G179" s="278">
        <f t="shared" si="77"/>
        <v>0</v>
      </c>
      <c r="H179" s="278">
        <f t="shared" si="77"/>
        <v>0.61538461538461542</v>
      </c>
      <c r="I179" s="278">
        <f t="shared" si="77"/>
        <v>2</v>
      </c>
      <c r="J179" s="278">
        <f t="shared" si="77"/>
        <v>2</v>
      </c>
      <c r="K179" s="278">
        <f t="shared" si="77"/>
        <v>2.615384615384615</v>
      </c>
      <c r="L179" s="278">
        <f t="shared" si="77"/>
        <v>4.3076923076923066</v>
      </c>
      <c r="M179" s="278">
        <f t="shared" si="77"/>
        <v>5</v>
      </c>
      <c r="N179" s="278">
        <f t="shared" si="77"/>
        <v>5</v>
      </c>
      <c r="O179" s="278">
        <f t="shared" si="77"/>
        <v>5</v>
      </c>
      <c r="P179" s="278">
        <f t="shared" si="77"/>
        <v>8.0769230769230766</v>
      </c>
      <c r="Q179" s="278">
        <f t="shared" si="77"/>
        <v>27.615384615384613</v>
      </c>
      <c r="R179" s="278">
        <f t="shared" si="77"/>
        <v>77.846153846153854</v>
      </c>
      <c r="S179" s="278">
        <f t="shared" si="77"/>
        <v>127</v>
      </c>
      <c r="T179" s="278">
        <f t="shared" si="77"/>
        <v>88.230769230769226</v>
      </c>
      <c r="U179" s="278">
        <f t="shared" si="77"/>
        <v>2.5384615384615383</v>
      </c>
      <c r="V179" s="278">
        <f t="shared" si="77"/>
        <v>97.692307692307693</v>
      </c>
      <c r="W179" s="278">
        <f t="shared" si="77"/>
        <v>324.30769230769238</v>
      </c>
      <c r="X179" s="278">
        <f t="shared" si="77"/>
        <v>399.23076923076928</v>
      </c>
      <c r="Y179" s="278">
        <f t="shared" si="77"/>
        <v>474.23076923076928</v>
      </c>
      <c r="Z179" s="276">
        <f t="shared" si="77"/>
        <v>425.76923076923072</v>
      </c>
      <c r="AA179" s="276">
        <f t="shared" si="77"/>
        <v>271.53846153846143</v>
      </c>
      <c r="AB179" s="276">
        <f t="shared" si="77"/>
        <v>275</v>
      </c>
      <c r="AC179" s="276">
        <f t="shared" si="77"/>
        <v>275</v>
      </c>
    </row>
    <row r="180" spans="1:29">
      <c r="A180" s="247" t="s">
        <v>31</v>
      </c>
      <c r="B180" s="278">
        <f t="shared" si="78"/>
        <v>0</v>
      </c>
      <c r="C180" s="278">
        <f t="shared" si="79"/>
        <v>0</v>
      </c>
      <c r="D180" s="278">
        <f t="shared" si="77"/>
        <v>0</v>
      </c>
      <c r="E180" s="278">
        <f t="shared" si="77"/>
        <v>0</v>
      </c>
      <c r="F180" s="278">
        <f t="shared" si="77"/>
        <v>0</v>
      </c>
      <c r="G180" s="278">
        <f t="shared" si="77"/>
        <v>0</v>
      </c>
      <c r="H180" s="278">
        <f t="shared" si="77"/>
        <v>0.76923076923076927</v>
      </c>
      <c r="I180" s="278">
        <f t="shared" si="77"/>
        <v>2</v>
      </c>
      <c r="J180" s="278">
        <f t="shared" si="77"/>
        <v>2</v>
      </c>
      <c r="K180" s="278">
        <f t="shared" si="77"/>
        <v>2.7692307692307687</v>
      </c>
      <c r="L180" s="278">
        <f t="shared" si="77"/>
        <v>4.3846153846153832</v>
      </c>
      <c r="M180" s="278">
        <f t="shared" si="77"/>
        <v>5</v>
      </c>
      <c r="N180" s="278">
        <f t="shared" si="77"/>
        <v>5</v>
      </c>
      <c r="O180" s="278">
        <f t="shared" si="77"/>
        <v>5</v>
      </c>
      <c r="P180" s="278">
        <f t="shared" si="77"/>
        <v>8.8461538461538467</v>
      </c>
      <c r="Q180" s="278">
        <f t="shared" si="77"/>
        <v>30.769230769230766</v>
      </c>
      <c r="R180" s="278">
        <f t="shared" si="77"/>
        <v>83.307692307692321</v>
      </c>
      <c r="S180" s="278">
        <f t="shared" si="77"/>
        <v>127</v>
      </c>
      <c r="T180" s="278">
        <f t="shared" si="77"/>
        <v>78.538461538461533</v>
      </c>
      <c r="U180" s="278">
        <f t="shared" si="77"/>
        <v>2.9230769230769229</v>
      </c>
      <c r="V180" s="278">
        <f t="shared" si="77"/>
        <v>120.61538461538461</v>
      </c>
      <c r="W180" s="278">
        <f t="shared" si="77"/>
        <v>329.38461538461547</v>
      </c>
      <c r="X180" s="278">
        <f t="shared" si="77"/>
        <v>406.5384615384616</v>
      </c>
      <c r="Y180" s="278">
        <f t="shared" si="77"/>
        <v>476.5384615384616</v>
      </c>
      <c r="Z180" s="276">
        <f t="shared" si="77"/>
        <v>408.4615384615384</v>
      </c>
      <c r="AA180" s="276">
        <f t="shared" si="77"/>
        <v>271.92307692307679</v>
      </c>
      <c r="AB180" s="276">
        <f t="shared" si="77"/>
        <v>275</v>
      </c>
      <c r="AC180" s="276">
        <f t="shared" si="77"/>
        <v>275</v>
      </c>
    </row>
    <row r="181" spans="1:29">
      <c r="A181" s="247" t="s">
        <v>32</v>
      </c>
      <c r="B181" s="278">
        <f t="shared" si="78"/>
        <v>0</v>
      </c>
      <c r="C181" s="278">
        <f t="shared" si="79"/>
        <v>0</v>
      </c>
      <c r="D181" s="278">
        <f t="shared" si="77"/>
        <v>0</v>
      </c>
      <c r="E181" s="278">
        <f t="shared" si="77"/>
        <v>0</v>
      </c>
      <c r="F181" s="278">
        <f t="shared" si="77"/>
        <v>0</v>
      </c>
      <c r="G181" s="278">
        <f t="shared" si="77"/>
        <v>0</v>
      </c>
      <c r="H181" s="278">
        <f t="shared" si="77"/>
        <v>0.92307692307692313</v>
      </c>
      <c r="I181" s="278">
        <f t="shared" si="77"/>
        <v>2</v>
      </c>
      <c r="J181" s="278">
        <f t="shared" si="77"/>
        <v>2</v>
      </c>
      <c r="K181" s="278">
        <f t="shared" si="77"/>
        <v>2.9230769230769225</v>
      </c>
      <c r="L181" s="278">
        <f t="shared" si="77"/>
        <v>4.4615384615384599</v>
      </c>
      <c r="M181" s="278">
        <f t="shared" si="77"/>
        <v>5</v>
      </c>
      <c r="N181" s="278">
        <f t="shared" si="77"/>
        <v>5</v>
      </c>
      <c r="O181" s="278">
        <f t="shared" si="77"/>
        <v>5</v>
      </c>
      <c r="P181" s="278">
        <f t="shared" si="77"/>
        <v>9.6153846153846168</v>
      </c>
      <c r="Q181" s="278">
        <f t="shared" si="77"/>
        <v>33.92307692307692</v>
      </c>
      <c r="R181" s="278">
        <f t="shared" si="77"/>
        <v>88.769230769230788</v>
      </c>
      <c r="S181" s="278">
        <f t="shared" si="77"/>
        <v>127</v>
      </c>
      <c r="T181" s="278">
        <f t="shared" si="77"/>
        <v>68.84615384615384</v>
      </c>
      <c r="U181" s="278">
        <f t="shared" si="77"/>
        <v>3.3076923076923075</v>
      </c>
      <c r="V181" s="278">
        <f t="shared" si="77"/>
        <v>143.53846153846155</v>
      </c>
      <c r="W181" s="278">
        <f t="shared" si="77"/>
        <v>334.46153846153857</v>
      </c>
      <c r="X181" s="278">
        <f t="shared" si="77"/>
        <v>413.84615384615392</v>
      </c>
      <c r="Y181" s="278">
        <f t="shared" si="77"/>
        <v>478.84615384615392</v>
      </c>
      <c r="Z181" s="276">
        <f t="shared" si="77"/>
        <v>391.15384615384608</v>
      </c>
      <c r="AA181" s="276">
        <f t="shared" si="77"/>
        <v>272.30769230769215</v>
      </c>
      <c r="AB181" s="276">
        <f t="shared" si="77"/>
        <v>275</v>
      </c>
      <c r="AC181" s="276">
        <f t="shared" si="77"/>
        <v>275</v>
      </c>
    </row>
    <row r="182" spans="1:29">
      <c r="A182" s="247" t="s">
        <v>33</v>
      </c>
      <c r="B182" s="278">
        <f t="shared" si="78"/>
        <v>0</v>
      </c>
      <c r="C182" s="278">
        <f t="shared" si="79"/>
        <v>0</v>
      </c>
      <c r="D182" s="278">
        <f t="shared" si="77"/>
        <v>0</v>
      </c>
      <c r="E182" s="278">
        <f t="shared" si="77"/>
        <v>0</v>
      </c>
      <c r="F182" s="278">
        <f t="shared" si="77"/>
        <v>0</v>
      </c>
      <c r="G182" s="278">
        <f t="shared" si="77"/>
        <v>0</v>
      </c>
      <c r="H182" s="278">
        <f t="shared" si="77"/>
        <v>1.0769230769230771</v>
      </c>
      <c r="I182" s="278">
        <f t="shared" si="77"/>
        <v>2</v>
      </c>
      <c r="J182" s="278">
        <f t="shared" si="77"/>
        <v>2</v>
      </c>
      <c r="K182" s="278">
        <f t="shared" si="77"/>
        <v>3.0769230769230762</v>
      </c>
      <c r="L182" s="278">
        <f t="shared" si="77"/>
        <v>4.5384615384615365</v>
      </c>
      <c r="M182" s="278">
        <f t="shared" si="77"/>
        <v>5</v>
      </c>
      <c r="N182" s="278">
        <f t="shared" si="77"/>
        <v>5</v>
      </c>
      <c r="O182" s="278">
        <f t="shared" si="77"/>
        <v>5</v>
      </c>
      <c r="P182" s="278">
        <f t="shared" si="77"/>
        <v>10.384615384615387</v>
      </c>
      <c r="Q182" s="278">
        <f t="shared" si="77"/>
        <v>37.076923076923073</v>
      </c>
      <c r="R182" s="278">
        <f t="shared" si="77"/>
        <v>94.230769230769255</v>
      </c>
      <c r="S182" s="278">
        <f t="shared" si="77"/>
        <v>127</v>
      </c>
      <c r="T182" s="278">
        <f t="shared" si="77"/>
        <v>59.153846153846146</v>
      </c>
      <c r="U182" s="278">
        <f t="shared" si="77"/>
        <v>3.6923076923076921</v>
      </c>
      <c r="V182" s="278">
        <f t="shared" si="77"/>
        <v>166.46153846153848</v>
      </c>
      <c r="W182" s="278">
        <f t="shared" si="77"/>
        <v>339.53846153846166</v>
      </c>
      <c r="X182" s="278">
        <f t="shared" si="77"/>
        <v>421.15384615384625</v>
      </c>
      <c r="Y182" s="278">
        <f t="shared" si="77"/>
        <v>481.15384615384625</v>
      </c>
      <c r="Z182" s="276">
        <f t="shared" si="77"/>
        <v>373.84615384615375</v>
      </c>
      <c r="AA182" s="276">
        <f t="shared" si="77"/>
        <v>272.69230769230751</v>
      </c>
      <c r="AB182" s="276">
        <f t="shared" si="77"/>
        <v>275</v>
      </c>
      <c r="AC182" s="276">
        <f t="shared" si="77"/>
        <v>275</v>
      </c>
    </row>
    <row r="183" spans="1:29">
      <c r="A183" s="247" t="s">
        <v>14</v>
      </c>
      <c r="B183" s="278">
        <f t="shared" si="78"/>
        <v>0</v>
      </c>
      <c r="C183" s="278">
        <f t="shared" si="79"/>
        <v>0</v>
      </c>
      <c r="D183" s="278">
        <f t="shared" si="77"/>
        <v>0</v>
      </c>
      <c r="E183" s="278">
        <f t="shared" si="77"/>
        <v>0</v>
      </c>
      <c r="F183" s="278">
        <f t="shared" si="77"/>
        <v>0</v>
      </c>
      <c r="G183" s="278">
        <f t="shared" si="77"/>
        <v>0</v>
      </c>
      <c r="H183" s="278">
        <f t="shared" si="77"/>
        <v>1.2307692307692308</v>
      </c>
      <c r="I183" s="278">
        <f t="shared" si="77"/>
        <v>2</v>
      </c>
      <c r="J183" s="278">
        <f t="shared" si="77"/>
        <v>2</v>
      </c>
      <c r="K183" s="278">
        <f t="shared" si="77"/>
        <v>3.2307692307692299</v>
      </c>
      <c r="L183" s="278">
        <f t="shared" si="77"/>
        <v>4.6153846153846132</v>
      </c>
      <c r="M183" s="278">
        <f t="shared" si="77"/>
        <v>5</v>
      </c>
      <c r="N183" s="278">
        <f t="shared" si="77"/>
        <v>5</v>
      </c>
      <c r="O183" s="278">
        <f t="shared" si="77"/>
        <v>5</v>
      </c>
      <c r="P183" s="278">
        <f t="shared" si="77"/>
        <v>11.153846153846157</v>
      </c>
      <c r="Q183" s="278">
        <f t="shared" si="77"/>
        <v>40.230769230769226</v>
      </c>
      <c r="R183" s="278">
        <f t="shared" si="77"/>
        <v>99.692307692307722</v>
      </c>
      <c r="S183" s="278">
        <f t="shared" si="77"/>
        <v>127</v>
      </c>
      <c r="T183" s="278">
        <f t="shared" si="77"/>
        <v>49.461538461538453</v>
      </c>
      <c r="U183" s="278">
        <f t="shared" si="77"/>
        <v>4.0769230769230766</v>
      </c>
      <c r="V183" s="278">
        <f t="shared" si="77"/>
        <v>189.38461538461542</v>
      </c>
      <c r="W183" s="278">
        <f t="shared" si="77"/>
        <v>344.61538461538476</v>
      </c>
      <c r="X183" s="278">
        <f t="shared" si="77"/>
        <v>428.46153846153857</v>
      </c>
      <c r="Y183" s="278">
        <f t="shared" si="77"/>
        <v>483.46153846153857</v>
      </c>
      <c r="Z183" s="276">
        <f t="shared" si="77"/>
        <v>356.53846153846143</v>
      </c>
      <c r="AA183" s="276">
        <f t="shared" si="77"/>
        <v>273.07692307692287</v>
      </c>
      <c r="AB183" s="276">
        <f t="shared" si="77"/>
        <v>275</v>
      </c>
      <c r="AC183" s="276">
        <f t="shared" si="77"/>
        <v>275</v>
      </c>
    </row>
    <row r="184" spans="1:29">
      <c r="A184" s="247" t="s">
        <v>34</v>
      </c>
      <c r="B184" s="278">
        <f t="shared" si="78"/>
        <v>0</v>
      </c>
      <c r="C184" s="278">
        <f t="shared" si="79"/>
        <v>0</v>
      </c>
      <c r="D184" s="278">
        <f t="shared" si="77"/>
        <v>0</v>
      </c>
      <c r="E184" s="278">
        <f t="shared" si="77"/>
        <v>0</v>
      </c>
      <c r="F184" s="278">
        <f t="shared" si="77"/>
        <v>0</v>
      </c>
      <c r="G184" s="278">
        <f t="shared" si="77"/>
        <v>0</v>
      </c>
      <c r="H184" s="278">
        <f t="shared" si="77"/>
        <v>1.3846153846153846</v>
      </c>
      <c r="I184" s="278">
        <f t="shared" si="77"/>
        <v>2</v>
      </c>
      <c r="J184" s="278">
        <f t="shared" si="77"/>
        <v>2</v>
      </c>
      <c r="K184" s="278">
        <f t="shared" si="77"/>
        <v>3.3846153846153837</v>
      </c>
      <c r="L184" s="278">
        <f t="shared" si="77"/>
        <v>4.6923076923076898</v>
      </c>
      <c r="M184" s="278">
        <f t="shared" si="77"/>
        <v>5</v>
      </c>
      <c r="N184" s="278">
        <f t="shared" si="77"/>
        <v>5</v>
      </c>
      <c r="O184" s="278">
        <f t="shared" si="77"/>
        <v>5</v>
      </c>
      <c r="P184" s="278">
        <f t="shared" si="77"/>
        <v>11.923076923076927</v>
      </c>
      <c r="Q184" s="278">
        <f t="shared" si="77"/>
        <v>43.38461538461538</v>
      </c>
      <c r="R184" s="278">
        <f t="shared" si="77"/>
        <v>105.15384615384619</v>
      </c>
      <c r="S184" s="278">
        <f t="shared" si="77"/>
        <v>127</v>
      </c>
      <c r="T184" s="278">
        <f t="shared" si="77"/>
        <v>39.769230769230759</v>
      </c>
      <c r="U184" s="278">
        <f t="shared" si="77"/>
        <v>4.4615384615384617</v>
      </c>
      <c r="V184" s="278">
        <f t="shared" si="77"/>
        <v>212.30769230769235</v>
      </c>
      <c r="W184" s="278">
        <f t="shared" si="77"/>
        <v>349.69230769230785</v>
      </c>
      <c r="X184" s="278">
        <f t="shared" si="77"/>
        <v>435.76923076923089</v>
      </c>
      <c r="Y184" s="278">
        <f t="shared" si="77"/>
        <v>485.76923076923089</v>
      </c>
      <c r="Z184" s="276">
        <f t="shared" si="77"/>
        <v>339.23076923076911</v>
      </c>
      <c r="AA184" s="276">
        <f t="shared" si="77"/>
        <v>273.46153846153823</v>
      </c>
      <c r="AB184" s="276">
        <f t="shared" si="77"/>
        <v>275</v>
      </c>
      <c r="AC184" s="276">
        <f t="shared" si="77"/>
        <v>275</v>
      </c>
    </row>
    <row r="185" spans="1:29">
      <c r="A185" s="247" t="s">
        <v>35</v>
      </c>
      <c r="B185" s="278">
        <f t="shared" si="78"/>
        <v>0</v>
      </c>
      <c r="C185" s="278">
        <f t="shared" si="79"/>
        <v>0</v>
      </c>
      <c r="D185" s="278">
        <f t="shared" si="77"/>
        <v>0</v>
      </c>
      <c r="E185" s="278">
        <f t="shared" si="77"/>
        <v>0</v>
      </c>
      <c r="F185" s="278">
        <f t="shared" si="77"/>
        <v>0</v>
      </c>
      <c r="G185" s="278">
        <f t="shared" si="77"/>
        <v>0</v>
      </c>
      <c r="H185" s="278">
        <f t="shared" si="77"/>
        <v>1.5384615384615383</v>
      </c>
      <c r="I185" s="278">
        <f t="shared" si="77"/>
        <v>2</v>
      </c>
      <c r="J185" s="278">
        <f t="shared" si="77"/>
        <v>2</v>
      </c>
      <c r="K185" s="278">
        <f t="shared" si="77"/>
        <v>3.5384615384615374</v>
      </c>
      <c r="L185" s="278">
        <f t="shared" si="77"/>
        <v>4.7692307692307665</v>
      </c>
      <c r="M185" s="278">
        <f t="shared" si="77"/>
        <v>5</v>
      </c>
      <c r="N185" s="278">
        <f t="shared" si="77"/>
        <v>5</v>
      </c>
      <c r="O185" s="278">
        <f t="shared" si="77"/>
        <v>5</v>
      </c>
      <c r="P185" s="278">
        <f t="shared" si="77"/>
        <v>12.692307692307697</v>
      </c>
      <c r="Q185" s="278">
        <f t="shared" si="77"/>
        <v>46.538461538461533</v>
      </c>
      <c r="R185" s="278">
        <f t="shared" si="77"/>
        <v>110.61538461538466</v>
      </c>
      <c r="S185" s="278">
        <f t="shared" si="77"/>
        <v>127</v>
      </c>
      <c r="T185" s="278">
        <f t="shared" si="77"/>
        <v>30.076923076923066</v>
      </c>
      <c r="U185" s="278">
        <f t="shared" si="77"/>
        <v>4.8461538461538467</v>
      </c>
      <c r="V185" s="278">
        <f t="shared" si="77"/>
        <v>235.23076923076928</v>
      </c>
      <c r="W185" s="278">
        <f t="shared" si="77"/>
        <v>354.76923076923094</v>
      </c>
      <c r="X185" s="278">
        <f t="shared" si="77"/>
        <v>443.07692307692321</v>
      </c>
      <c r="Y185" s="278">
        <f t="shared" si="77"/>
        <v>488.07692307692321</v>
      </c>
      <c r="Z185" s="276">
        <f t="shared" si="77"/>
        <v>321.92307692307679</v>
      </c>
      <c r="AA185" s="276">
        <f t="shared" si="77"/>
        <v>273.84615384615358</v>
      </c>
      <c r="AB185" s="276">
        <f t="shared" si="77"/>
        <v>275</v>
      </c>
      <c r="AC185" s="276">
        <f t="shared" si="77"/>
        <v>275</v>
      </c>
    </row>
    <row r="186" spans="1:29">
      <c r="A186" s="247" t="s">
        <v>36</v>
      </c>
      <c r="B186" s="278">
        <f t="shared" si="78"/>
        <v>0</v>
      </c>
      <c r="C186" s="278">
        <f t="shared" si="79"/>
        <v>0</v>
      </c>
      <c r="D186" s="278">
        <f t="shared" si="77"/>
        <v>0</v>
      </c>
      <c r="E186" s="278">
        <f t="shared" si="77"/>
        <v>0</v>
      </c>
      <c r="F186" s="278">
        <f t="shared" si="77"/>
        <v>0</v>
      </c>
      <c r="G186" s="278">
        <f t="shared" si="77"/>
        <v>0</v>
      </c>
      <c r="H186" s="278">
        <f t="shared" si="77"/>
        <v>1.6923076923076921</v>
      </c>
      <c r="I186" s="278">
        <f t="shared" si="77"/>
        <v>2</v>
      </c>
      <c r="J186" s="278">
        <f t="shared" si="77"/>
        <v>2</v>
      </c>
      <c r="K186" s="278">
        <f t="shared" si="77"/>
        <v>3.6923076923076912</v>
      </c>
      <c r="L186" s="278">
        <f t="shared" si="77"/>
        <v>4.8461538461538431</v>
      </c>
      <c r="M186" s="278">
        <f t="shared" si="77"/>
        <v>5</v>
      </c>
      <c r="N186" s="278">
        <f t="shared" si="77"/>
        <v>5</v>
      </c>
      <c r="O186" s="278">
        <f t="shared" si="77"/>
        <v>5</v>
      </c>
      <c r="P186" s="278">
        <f t="shared" si="77"/>
        <v>13.461538461538467</v>
      </c>
      <c r="Q186" s="278">
        <f t="shared" si="77"/>
        <v>49.692307692307686</v>
      </c>
      <c r="R186" s="278">
        <f t="shared" si="77"/>
        <v>116.07692307692312</v>
      </c>
      <c r="S186" s="278">
        <f t="shared" si="77"/>
        <v>127</v>
      </c>
      <c r="T186" s="278">
        <f t="shared" si="77"/>
        <v>20.384615384615373</v>
      </c>
      <c r="U186" s="278">
        <f t="shared" si="77"/>
        <v>5.2307692307692317</v>
      </c>
      <c r="V186" s="278">
        <f t="shared" si="77"/>
        <v>258.15384615384619</v>
      </c>
      <c r="W186" s="278">
        <f t="shared" si="77"/>
        <v>359.84615384615404</v>
      </c>
      <c r="X186" s="278">
        <f t="shared" si="77"/>
        <v>450.38461538461553</v>
      </c>
      <c r="Y186" s="278">
        <f>(Y$187-X$187)/13+Y185</f>
        <v>490.38461538461553</v>
      </c>
      <c r="Z186" s="276">
        <f>(Z$187-Y$187)/13+Z185</f>
        <v>304.61538461538447</v>
      </c>
      <c r="AA186" s="276">
        <f>(AA$187-Z$187)/13+AA185</f>
        <v>274.23076923076894</v>
      </c>
      <c r="AB186" s="276">
        <f>(AB$187-AA$187)/13+AB185</f>
        <v>275</v>
      </c>
      <c r="AC186" s="276">
        <f>(AC$187-AB$187)/13+AC185</f>
        <v>275</v>
      </c>
    </row>
    <row r="187" spans="1:29" ht="15.75" thickBot="1">
      <c r="A187" s="247" t="s">
        <v>37</v>
      </c>
      <c r="B187" s="283">
        <f>B29</f>
        <v>0</v>
      </c>
      <c r="C187" s="283">
        <f t="shared" ref="C187:AC187" si="80">C29</f>
        <v>0</v>
      </c>
      <c r="D187" s="283">
        <f t="shared" si="80"/>
        <v>0</v>
      </c>
      <c r="E187" s="283">
        <f t="shared" si="80"/>
        <v>0</v>
      </c>
      <c r="F187" s="283">
        <f t="shared" si="80"/>
        <v>0</v>
      </c>
      <c r="G187" s="283">
        <f t="shared" si="80"/>
        <v>0</v>
      </c>
      <c r="H187" s="283">
        <f t="shared" si="80"/>
        <v>2</v>
      </c>
      <c r="I187" s="283">
        <f t="shared" si="80"/>
        <v>2</v>
      </c>
      <c r="J187" s="283">
        <f t="shared" si="80"/>
        <v>2</v>
      </c>
      <c r="K187" s="283">
        <f t="shared" si="80"/>
        <v>4</v>
      </c>
      <c r="L187" s="283">
        <f t="shared" si="80"/>
        <v>5</v>
      </c>
      <c r="M187" s="283">
        <f t="shared" si="80"/>
        <v>5</v>
      </c>
      <c r="N187" s="283">
        <f t="shared" si="80"/>
        <v>5</v>
      </c>
      <c r="O187" s="283">
        <f t="shared" si="80"/>
        <v>5</v>
      </c>
      <c r="P187" s="283">
        <f t="shared" si="80"/>
        <v>15</v>
      </c>
      <c r="Q187" s="283">
        <f t="shared" si="80"/>
        <v>56</v>
      </c>
      <c r="R187" s="283">
        <f t="shared" si="80"/>
        <v>127</v>
      </c>
      <c r="S187" s="283">
        <f t="shared" si="80"/>
        <v>127</v>
      </c>
      <c r="T187" s="283">
        <f t="shared" si="80"/>
        <v>1</v>
      </c>
      <c r="U187" s="283">
        <f t="shared" si="80"/>
        <v>6</v>
      </c>
      <c r="V187" s="283">
        <f t="shared" si="80"/>
        <v>304</v>
      </c>
      <c r="W187" s="283">
        <f t="shared" si="80"/>
        <v>370</v>
      </c>
      <c r="X187" s="283">
        <f t="shared" si="80"/>
        <v>465</v>
      </c>
      <c r="Y187" s="283">
        <f t="shared" si="80"/>
        <v>495</v>
      </c>
      <c r="Z187" s="284">
        <f t="shared" si="80"/>
        <v>270</v>
      </c>
      <c r="AA187" s="284">
        <f t="shared" si="80"/>
        <v>275</v>
      </c>
      <c r="AB187" s="284">
        <f t="shared" si="80"/>
        <v>275</v>
      </c>
      <c r="AC187" s="284">
        <f t="shared" si="80"/>
        <v>275</v>
      </c>
    </row>
    <row r="188" spans="1:29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  <c r="AA188" s="271"/>
      <c r="AB188" s="271"/>
      <c r="AC188" s="271"/>
    </row>
    <row r="189" spans="1:29" ht="15.75" thickBot="1">
      <c r="A189" s="247" t="s">
        <v>396</v>
      </c>
    </row>
    <row r="190" spans="1:29" ht="15.75" thickBot="1">
      <c r="A190" s="263"/>
      <c r="B190" s="235" t="str">
        <f>B$2</f>
        <v xml:space="preserve">93/94 </v>
      </c>
      <c r="C190" s="235" t="str">
        <f t="shared" ref="C190:AC190" si="81">C$2</f>
        <v xml:space="preserve">94/95 </v>
      </c>
      <c r="D190" s="235" t="str">
        <f t="shared" si="81"/>
        <v xml:space="preserve">95/96 </v>
      </c>
      <c r="E190" s="235" t="str">
        <f t="shared" si="81"/>
        <v xml:space="preserve">96/97 </v>
      </c>
      <c r="F190" s="235" t="str">
        <f t="shared" si="81"/>
        <v xml:space="preserve">97/98 </v>
      </c>
      <c r="G190" s="235" t="str">
        <f t="shared" si="81"/>
        <v xml:space="preserve">98/99 </v>
      </c>
      <c r="H190" s="235" t="str">
        <f t="shared" si="81"/>
        <v xml:space="preserve">99/00 </v>
      </c>
      <c r="I190" s="235" t="str">
        <f t="shared" si="81"/>
        <v xml:space="preserve">00/01 </v>
      </c>
      <c r="J190" s="235" t="str">
        <f t="shared" si="81"/>
        <v xml:space="preserve">01/02 </v>
      </c>
      <c r="K190" s="235" t="str">
        <f t="shared" si="81"/>
        <v xml:space="preserve">02/03 </v>
      </c>
      <c r="L190" s="235" t="str">
        <f t="shared" si="81"/>
        <v xml:space="preserve">03/04 </v>
      </c>
      <c r="M190" s="235" t="str">
        <f t="shared" si="81"/>
        <v xml:space="preserve">04/05 </v>
      </c>
      <c r="N190" s="235" t="str">
        <f t="shared" si="81"/>
        <v xml:space="preserve">05/06 </v>
      </c>
      <c r="O190" s="235" t="str">
        <f t="shared" si="81"/>
        <v xml:space="preserve">06/07 </v>
      </c>
      <c r="P190" s="235" t="str">
        <f t="shared" si="81"/>
        <v xml:space="preserve">07/08 </v>
      </c>
      <c r="Q190" s="235" t="str">
        <f t="shared" si="81"/>
        <v xml:space="preserve">08/09 </v>
      </c>
      <c r="R190" s="235" t="str">
        <f t="shared" si="81"/>
        <v xml:space="preserve">09/10 </v>
      </c>
      <c r="S190" s="235" t="str">
        <f t="shared" si="81"/>
        <v xml:space="preserve">10/11 </v>
      </c>
      <c r="T190" s="235" t="str">
        <f t="shared" si="81"/>
        <v xml:space="preserve">11/12 </v>
      </c>
      <c r="U190" s="235" t="str">
        <f t="shared" si="81"/>
        <v xml:space="preserve">12/13 </v>
      </c>
      <c r="V190" s="235" t="str">
        <f t="shared" si="81"/>
        <v xml:space="preserve">13/14 </v>
      </c>
      <c r="W190" s="235" t="str">
        <f t="shared" si="81"/>
        <v xml:space="preserve">14/15 </v>
      </c>
      <c r="X190" s="235" t="str">
        <f t="shared" si="81"/>
        <v xml:space="preserve">15/16 </v>
      </c>
      <c r="Y190" s="235" t="str">
        <f t="shared" si="81"/>
        <v xml:space="preserve">16/17 </v>
      </c>
      <c r="Z190" s="235" t="str">
        <f t="shared" si="81"/>
        <v xml:space="preserve">17/18 </v>
      </c>
      <c r="AA190" s="235" t="str">
        <f t="shared" si="81"/>
        <v xml:space="preserve">18/19 </v>
      </c>
      <c r="AB190" s="235" t="str">
        <f t="shared" si="81"/>
        <v xml:space="preserve">19/20 </v>
      </c>
      <c r="AC190" s="235" t="str">
        <f t="shared" si="81"/>
        <v xml:space="preserve">20/21 </v>
      </c>
    </row>
    <row r="191" spans="1:29">
      <c r="A191" s="247" t="s">
        <v>38</v>
      </c>
    </row>
    <row r="192" spans="1:29">
      <c r="A192" s="247" t="s">
        <v>39</v>
      </c>
    </row>
    <row r="193" spans="1:33">
      <c r="A193" s="247" t="s">
        <v>40</v>
      </c>
    </row>
    <row r="194" spans="1:33">
      <c r="A194" s="247" t="s">
        <v>30</v>
      </c>
    </row>
    <row r="195" spans="1:33">
      <c r="A195" s="247" t="s">
        <v>31</v>
      </c>
    </row>
    <row r="196" spans="1:33">
      <c r="A196" s="247" t="s">
        <v>32</v>
      </c>
    </row>
    <row r="197" spans="1:33">
      <c r="A197" s="247" t="s">
        <v>33</v>
      </c>
    </row>
    <row r="198" spans="1:33">
      <c r="A198" s="247" t="s">
        <v>14</v>
      </c>
      <c r="AG198" s="285"/>
    </row>
    <row r="199" spans="1:33">
      <c r="A199" s="247" t="s">
        <v>34</v>
      </c>
      <c r="AG199" s="286"/>
    </row>
    <row r="200" spans="1:33">
      <c r="A200" s="247" t="s">
        <v>35</v>
      </c>
      <c r="AG200" s="285"/>
    </row>
    <row r="201" spans="1:33">
      <c r="A201" s="247" t="s">
        <v>36</v>
      </c>
      <c r="AG201" s="285"/>
    </row>
    <row r="202" spans="1:33">
      <c r="A202" s="247" t="s">
        <v>37</v>
      </c>
      <c r="AG202" s="230"/>
    </row>
    <row r="203" spans="1:33" ht="15.75" thickBot="1">
      <c r="A203" s="247" t="s">
        <v>338</v>
      </c>
      <c r="AG203" s="230"/>
    </row>
    <row r="204" spans="1:33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  <c r="AA204" s="271"/>
      <c r="AB204" s="271"/>
      <c r="AC204" s="271"/>
      <c r="AG204" s="287"/>
    </row>
    <row r="205" spans="1:33" ht="15.75" thickBot="1">
      <c r="A205" s="247" t="s">
        <v>397</v>
      </c>
    </row>
    <row r="206" spans="1:33" ht="15.75" thickBot="1">
      <c r="A206" s="263"/>
      <c r="B206" s="235" t="str">
        <f>B$2</f>
        <v xml:space="preserve">93/94 </v>
      </c>
      <c r="C206" s="235" t="str">
        <f t="shared" ref="C206:AC206" si="82">C$2</f>
        <v xml:space="preserve">94/95 </v>
      </c>
      <c r="D206" s="235" t="str">
        <f t="shared" si="82"/>
        <v xml:space="preserve">95/96 </v>
      </c>
      <c r="E206" s="235" t="str">
        <f t="shared" si="82"/>
        <v xml:space="preserve">96/97 </v>
      </c>
      <c r="F206" s="235" t="str">
        <f t="shared" si="82"/>
        <v xml:space="preserve">97/98 </v>
      </c>
      <c r="G206" s="235" t="str">
        <f t="shared" si="82"/>
        <v xml:space="preserve">98/99 </v>
      </c>
      <c r="H206" s="235" t="str">
        <f t="shared" si="82"/>
        <v xml:space="preserve">99/00 </v>
      </c>
      <c r="I206" s="235" t="str">
        <f t="shared" si="82"/>
        <v xml:space="preserve">00/01 </v>
      </c>
      <c r="J206" s="235" t="str">
        <f t="shared" si="82"/>
        <v xml:space="preserve">01/02 </v>
      </c>
      <c r="K206" s="235" t="str">
        <f t="shared" si="82"/>
        <v xml:space="preserve">02/03 </v>
      </c>
      <c r="L206" s="235" t="str">
        <f t="shared" si="82"/>
        <v xml:space="preserve">03/04 </v>
      </c>
      <c r="M206" s="235" t="str">
        <f t="shared" si="82"/>
        <v xml:space="preserve">04/05 </v>
      </c>
      <c r="N206" s="235" t="str">
        <f t="shared" si="82"/>
        <v xml:space="preserve">05/06 </v>
      </c>
      <c r="O206" s="235" t="str">
        <f t="shared" si="82"/>
        <v xml:space="preserve">06/07 </v>
      </c>
      <c r="P206" s="235" t="str">
        <f t="shared" si="82"/>
        <v xml:space="preserve">07/08 </v>
      </c>
      <c r="Q206" s="235" t="str">
        <f t="shared" si="82"/>
        <v xml:space="preserve">08/09 </v>
      </c>
      <c r="R206" s="235" t="str">
        <f t="shared" si="82"/>
        <v xml:space="preserve">09/10 </v>
      </c>
      <c r="S206" s="235" t="str">
        <f t="shared" si="82"/>
        <v xml:space="preserve">10/11 </v>
      </c>
      <c r="T206" s="235" t="str">
        <f t="shared" si="82"/>
        <v xml:space="preserve">11/12 </v>
      </c>
      <c r="U206" s="235" t="str">
        <f t="shared" si="82"/>
        <v xml:space="preserve">12/13 </v>
      </c>
      <c r="V206" s="235" t="str">
        <f t="shared" si="82"/>
        <v xml:space="preserve">13/14 </v>
      </c>
      <c r="W206" s="235" t="str">
        <f t="shared" si="82"/>
        <v xml:space="preserve">14/15 </v>
      </c>
      <c r="X206" s="235" t="str">
        <f t="shared" si="82"/>
        <v xml:space="preserve">15/16 </v>
      </c>
      <c r="Y206" s="235" t="str">
        <f t="shared" si="82"/>
        <v xml:space="preserve">16/17 </v>
      </c>
      <c r="Z206" s="235" t="str">
        <f t="shared" si="82"/>
        <v xml:space="preserve">17/18 </v>
      </c>
      <c r="AA206" s="235" t="str">
        <f t="shared" si="82"/>
        <v xml:space="preserve">18/19 </v>
      </c>
      <c r="AB206" s="235" t="str">
        <f t="shared" si="82"/>
        <v xml:space="preserve">19/20 </v>
      </c>
      <c r="AC206" s="235" t="str">
        <f t="shared" si="82"/>
        <v xml:space="preserve">20/21 </v>
      </c>
    </row>
    <row r="207" spans="1:33">
      <c r="A207" s="247" t="s">
        <v>38</v>
      </c>
      <c r="B207" s="278">
        <f>(SUM(D207:H207)/SUM(D$219:H$219))*B$219</f>
        <v>112.97081194787879</v>
      </c>
      <c r="C207" s="275">
        <v>87.325019313541546</v>
      </c>
      <c r="D207" s="275">
        <v>119.22828966735359</v>
      </c>
      <c r="E207" s="275">
        <v>72.990825688073386</v>
      </c>
      <c r="F207" s="275">
        <v>91.543345008756575</v>
      </c>
      <c r="G207" s="275">
        <v>99.774368231046921</v>
      </c>
      <c r="H207" s="275">
        <v>105.16871774513696</v>
      </c>
      <c r="I207" s="275">
        <v>129.80931800501338</v>
      </c>
      <c r="J207" s="275">
        <v>107.47653211167774</v>
      </c>
      <c r="K207" s="275">
        <v>138.18411271501424</v>
      </c>
      <c r="L207" s="275">
        <v>130.19999999999999</v>
      </c>
      <c r="M207" s="275">
        <v>114.1</v>
      </c>
      <c r="N207" s="275">
        <v>157.30000000000001</v>
      </c>
      <c r="O207" s="275">
        <v>185.1</v>
      </c>
      <c r="P207" s="275">
        <v>195.5</v>
      </c>
      <c r="Q207" s="275">
        <v>200.5</v>
      </c>
      <c r="R207" s="275">
        <v>274.39999999999998</v>
      </c>
      <c r="S207" s="275">
        <v>292.8</v>
      </c>
      <c r="T207" s="275">
        <v>338.5</v>
      </c>
      <c r="U207" s="275">
        <v>356.7</v>
      </c>
      <c r="V207" s="275">
        <v>395</v>
      </c>
      <c r="W207" s="275">
        <v>388</v>
      </c>
      <c r="X207" s="275">
        <v>393</v>
      </c>
      <c r="Y207" s="275">
        <v>516</v>
      </c>
      <c r="Z207" s="275">
        <v>516</v>
      </c>
      <c r="AA207" s="276">
        <f>AA303-Z314+AA271-AA255+AA287</f>
        <v>451.05538435165943</v>
      </c>
      <c r="AB207" s="276">
        <f>AB303-AA314+AB271-AB255+AB287</f>
        <v>447.7792186926539</v>
      </c>
      <c r="AC207" s="276">
        <f>AC303-AB314+AC271-AC255+AC287</f>
        <v>450.80843751511134</v>
      </c>
      <c r="AE207" s="276"/>
      <c r="AF207" s="247"/>
    </row>
    <row r="208" spans="1:33">
      <c r="A208" s="247" t="s">
        <v>39</v>
      </c>
      <c r="B208" s="278">
        <f t="shared" ref="B208:B218" si="83">(SUM(D208:H208)/SUM(D$219:H$219))*B$219</f>
        <v>108.28291843714672</v>
      </c>
      <c r="C208" s="275">
        <v>83.864032667475996</v>
      </c>
      <c r="D208" s="275">
        <v>114.92552251987048</v>
      </c>
      <c r="E208" s="275">
        <v>77.614678899082563</v>
      </c>
      <c r="F208" s="275">
        <v>97.531085814360793</v>
      </c>
      <c r="G208" s="275">
        <v>86.2292418772563</v>
      </c>
      <c r="H208" s="275">
        <v>92.125446605795958</v>
      </c>
      <c r="I208" s="275">
        <v>124.66453453193881</v>
      </c>
      <c r="J208" s="275">
        <v>103.21687267698159</v>
      </c>
      <c r="K208" s="275">
        <v>132.70740772754775</v>
      </c>
      <c r="L208" s="275">
        <v>127.3</v>
      </c>
      <c r="M208" s="275">
        <v>115.4</v>
      </c>
      <c r="N208" s="275">
        <v>162.69999999999999</v>
      </c>
      <c r="O208" s="275">
        <v>183.2</v>
      </c>
      <c r="P208" s="275">
        <v>187.8</v>
      </c>
      <c r="Q208" s="275">
        <v>211.1</v>
      </c>
      <c r="R208" s="275">
        <v>269.7</v>
      </c>
      <c r="S208" s="275">
        <v>296.8</v>
      </c>
      <c r="T208" s="275">
        <v>343.6</v>
      </c>
      <c r="U208" s="275">
        <v>334</v>
      </c>
      <c r="V208" s="275">
        <v>379.6</v>
      </c>
      <c r="W208" s="275">
        <v>397</v>
      </c>
      <c r="X208" s="275">
        <v>360</v>
      </c>
      <c r="Y208" s="275">
        <v>529</v>
      </c>
      <c r="Z208" s="275">
        <v>529</v>
      </c>
      <c r="AA208" s="276">
        <f t="shared" ref="AA208:AC218" si="84">AA304-AA303+AA272-AA256+AA288</f>
        <v>436.22065802709227</v>
      </c>
      <c r="AB208" s="276">
        <f t="shared" si="84"/>
        <v>455.06962438052869</v>
      </c>
      <c r="AC208" s="276">
        <f t="shared" si="84"/>
        <v>457.55492657898259</v>
      </c>
      <c r="AE208" s="276"/>
      <c r="AF208" s="247"/>
    </row>
    <row r="209" spans="1:32">
      <c r="A209" s="247" t="s">
        <v>40</v>
      </c>
      <c r="B209" s="278">
        <f t="shared" si="83"/>
        <v>102.88621572208635</v>
      </c>
      <c r="C209" s="275">
        <v>79.061913696060031</v>
      </c>
      <c r="D209" s="275">
        <v>125.05784515749191</v>
      </c>
      <c r="E209" s="275">
        <v>65.394495412844023</v>
      </c>
      <c r="F209" s="275">
        <v>73.925569176882675</v>
      </c>
      <c r="G209" s="275">
        <v>81.996389891696737</v>
      </c>
      <c r="H209" s="275">
        <v>98.705835649067083</v>
      </c>
      <c r="I209" s="275">
        <v>117.52614746304779</v>
      </c>
      <c r="J209" s="275">
        <v>97.30659521134065</v>
      </c>
      <c r="K209" s="275">
        <v>125.10847955743797</v>
      </c>
      <c r="L209" s="275">
        <v>133.69999999999999</v>
      </c>
      <c r="M209" s="275">
        <v>110.9</v>
      </c>
      <c r="N209" s="275">
        <v>167.9</v>
      </c>
      <c r="O209" s="275">
        <v>190</v>
      </c>
      <c r="P209" s="275">
        <v>199.4</v>
      </c>
      <c r="Q209" s="275">
        <v>232.7</v>
      </c>
      <c r="R209" s="275">
        <v>282.3</v>
      </c>
      <c r="S209" s="275">
        <v>304</v>
      </c>
      <c r="T209" s="275">
        <v>367.4</v>
      </c>
      <c r="U209" s="275">
        <v>345.1</v>
      </c>
      <c r="V209" s="275">
        <v>395.5</v>
      </c>
      <c r="W209" s="275">
        <v>380</v>
      </c>
      <c r="X209" s="275">
        <v>363</v>
      </c>
      <c r="Y209" s="275">
        <v>557</v>
      </c>
      <c r="Z209" s="275">
        <v>557</v>
      </c>
      <c r="AA209" s="276">
        <f>AA305-AA304+AA273-AA257+AA289</f>
        <v>358.89648593991842</v>
      </c>
      <c r="AB209" s="276">
        <f t="shared" si="84"/>
        <v>393.50490817582693</v>
      </c>
      <c r="AC209" s="276">
        <f t="shared" si="84"/>
        <v>404.68163770643139</v>
      </c>
      <c r="AE209" s="276"/>
      <c r="AF209" s="247"/>
    </row>
    <row r="210" spans="1:32">
      <c r="A210" s="247" t="s">
        <v>30</v>
      </c>
      <c r="B210" s="278">
        <f t="shared" si="83"/>
        <v>75.124724056304302</v>
      </c>
      <c r="C210" s="275">
        <v>56.998123827392114</v>
      </c>
      <c r="D210" s="275">
        <v>96.742861348248482</v>
      </c>
      <c r="E210" s="275">
        <v>38.024193548387096</v>
      </c>
      <c r="F210" s="275">
        <v>57.673357664233578</v>
      </c>
      <c r="G210" s="275">
        <v>58.617721518987338</v>
      </c>
      <c r="H210" s="275">
        <v>73.927308447937122</v>
      </c>
      <c r="I210" s="275">
        <v>111.78787878787878</v>
      </c>
      <c r="J210" s="275">
        <v>87.833333333333329</v>
      </c>
      <c r="K210" s="275">
        <v>124.9</v>
      </c>
      <c r="L210" s="275">
        <v>122.9</v>
      </c>
      <c r="M210" s="275">
        <v>112.7</v>
      </c>
      <c r="N210" s="275">
        <v>169.6</v>
      </c>
      <c r="O210" s="275">
        <v>201.4</v>
      </c>
      <c r="P210" s="275">
        <v>211.6</v>
      </c>
      <c r="Q210" s="275">
        <v>237</v>
      </c>
      <c r="R210" s="275">
        <v>269.3</v>
      </c>
      <c r="S210" s="275">
        <v>310.8</v>
      </c>
      <c r="T210" s="275">
        <v>336.6</v>
      </c>
      <c r="U210" s="275">
        <v>341.5</v>
      </c>
      <c r="V210" s="275">
        <v>362</v>
      </c>
      <c r="W210" s="275">
        <v>333</v>
      </c>
      <c r="X210" s="275">
        <v>315</v>
      </c>
      <c r="Y210" s="275">
        <v>483</v>
      </c>
      <c r="Z210" s="275">
        <v>483</v>
      </c>
      <c r="AA210" s="276">
        <f t="shared" ref="Z210:AA218" si="85">AA306-AA305+AA274-AA258+AA290</f>
        <v>347.17719477940085</v>
      </c>
      <c r="AB210" s="276">
        <f t="shared" si="84"/>
        <v>335.50737729523615</v>
      </c>
      <c r="AC210" s="276">
        <f t="shared" si="84"/>
        <v>339.23218602846413</v>
      </c>
      <c r="AE210" s="276"/>
      <c r="AF210" s="247"/>
    </row>
    <row r="211" spans="1:32">
      <c r="A211" s="247" t="s">
        <v>31</v>
      </c>
      <c r="B211" s="278">
        <f t="shared" si="83"/>
        <v>68.721943012945516</v>
      </c>
      <c r="C211" s="275">
        <v>52.542103520582721</v>
      </c>
      <c r="D211" s="275">
        <v>82.168972622902587</v>
      </c>
      <c r="E211" s="275">
        <v>43.820564516129039</v>
      </c>
      <c r="F211" s="275">
        <v>39.782846715328468</v>
      </c>
      <c r="G211" s="275">
        <v>50.483544303797473</v>
      </c>
      <c r="H211" s="275">
        <v>81.031434184675831</v>
      </c>
      <c r="I211" s="275">
        <v>103.04848484848485</v>
      </c>
      <c r="J211" s="275">
        <v>80.966666666666669</v>
      </c>
      <c r="K211" s="275">
        <v>108.6</v>
      </c>
      <c r="L211" s="275">
        <v>114.3</v>
      </c>
      <c r="M211" s="275">
        <v>98</v>
      </c>
      <c r="N211" s="275">
        <v>161.9</v>
      </c>
      <c r="O211" s="275">
        <v>176</v>
      </c>
      <c r="P211" s="275">
        <v>170.6</v>
      </c>
      <c r="Q211" s="275">
        <v>216</v>
      </c>
      <c r="R211" s="275">
        <v>243</v>
      </c>
      <c r="S211" s="275">
        <v>282.60000000000002</v>
      </c>
      <c r="T211" s="275">
        <v>299.39999999999998</v>
      </c>
      <c r="U211" s="275">
        <v>313.7</v>
      </c>
      <c r="V211" s="275">
        <v>341</v>
      </c>
      <c r="W211" s="275">
        <v>315</v>
      </c>
      <c r="X211" s="275">
        <v>373</v>
      </c>
      <c r="Y211" s="275">
        <v>448</v>
      </c>
      <c r="Z211" s="275">
        <v>448</v>
      </c>
      <c r="AA211" s="276">
        <f t="shared" si="85"/>
        <v>302.63925543265685</v>
      </c>
      <c r="AB211" s="276">
        <f t="shared" si="84"/>
        <v>289.0647201503765</v>
      </c>
      <c r="AC211" s="276">
        <f t="shared" si="84"/>
        <v>300.41281292026935</v>
      </c>
      <c r="AE211" s="276"/>
      <c r="AF211" s="247"/>
    </row>
    <row r="212" spans="1:32">
      <c r="A212" s="247" t="s">
        <v>32</v>
      </c>
      <c r="B212" s="278">
        <f t="shared" si="83"/>
        <v>62.76638107999652</v>
      </c>
      <c r="C212" s="275">
        <v>47.502041717249753</v>
      </c>
      <c r="D212" s="275">
        <v>91.884898439799855</v>
      </c>
      <c r="E212" s="275">
        <v>33.155241935483872</v>
      </c>
      <c r="F212" s="275">
        <v>31.543795620437962</v>
      </c>
      <c r="G212" s="275">
        <v>43.898734177215189</v>
      </c>
      <c r="H212" s="275">
        <v>71.041257367387033</v>
      </c>
      <c r="I212" s="275">
        <v>93.163636363636371</v>
      </c>
      <c r="J212" s="275">
        <v>73.2</v>
      </c>
      <c r="K212" s="275">
        <v>127.1</v>
      </c>
      <c r="L212" s="275">
        <v>120.7</v>
      </c>
      <c r="M212" s="275">
        <v>112.1</v>
      </c>
      <c r="N212" s="275">
        <v>181</v>
      </c>
      <c r="O212" s="275">
        <v>194.9</v>
      </c>
      <c r="P212" s="275">
        <v>169.5</v>
      </c>
      <c r="Q212" s="275">
        <v>243.3</v>
      </c>
      <c r="R212" s="275">
        <v>265.2</v>
      </c>
      <c r="S212" s="275">
        <v>301.89999999999998</v>
      </c>
      <c r="T212" s="275">
        <v>327.2</v>
      </c>
      <c r="U212" s="275">
        <v>307.39999999999998</v>
      </c>
      <c r="V212" s="275">
        <v>405</v>
      </c>
      <c r="W212" s="275">
        <v>349</v>
      </c>
      <c r="X212" s="275">
        <v>365</v>
      </c>
      <c r="Y212" s="275">
        <v>517</v>
      </c>
      <c r="Z212" s="275">
        <v>517</v>
      </c>
      <c r="AA212" s="276">
        <f t="shared" si="85"/>
        <v>493.82232935033159</v>
      </c>
      <c r="AB212" s="276">
        <f t="shared" si="84"/>
        <v>488.59027175539399</v>
      </c>
      <c r="AC212" s="276">
        <f t="shared" si="84"/>
        <v>479.75293997875883</v>
      </c>
      <c r="AE212" s="276"/>
      <c r="AF212" s="247"/>
    </row>
    <row r="213" spans="1:32">
      <c r="A213" s="247" t="s">
        <v>33</v>
      </c>
      <c r="B213" s="278">
        <f t="shared" si="83"/>
        <v>57.820206259373094</v>
      </c>
      <c r="C213" s="275">
        <v>43.283964242357357</v>
      </c>
      <c r="D213" s="275">
        <v>83.001766264350906</v>
      </c>
      <c r="E213" s="275">
        <v>26.620390455531453</v>
      </c>
      <c r="F213" s="275">
        <v>24.470899470899472</v>
      </c>
      <c r="G213" s="275">
        <v>39.66101694915254</v>
      </c>
      <c r="H213" s="275">
        <v>76.372972972972974</v>
      </c>
      <c r="I213" s="275">
        <v>70.861025324274237</v>
      </c>
      <c r="J213" s="275">
        <v>78.276714021000615</v>
      </c>
      <c r="K213" s="275">
        <v>117.8</v>
      </c>
      <c r="L213" s="275">
        <v>117.4</v>
      </c>
      <c r="M213" s="275">
        <v>111.9</v>
      </c>
      <c r="N213" s="275">
        <v>177.9</v>
      </c>
      <c r="O213" s="275">
        <v>192.2</v>
      </c>
      <c r="P213" s="275">
        <v>124.9</v>
      </c>
      <c r="Q213" s="275">
        <v>238.6</v>
      </c>
      <c r="R213" s="275">
        <v>261.2</v>
      </c>
      <c r="S213" s="275">
        <v>272.3</v>
      </c>
      <c r="T213" s="275">
        <v>312.39999999999998</v>
      </c>
      <c r="U213" s="275">
        <v>242.9</v>
      </c>
      <c r="V213" s="275">
        <v>382</v>
      </c>
      <c r="W213" s="275">
        <v>300</v>
      </c>
      <c r="X213" s="275">
        <v>385</v>
      </c>
      <c r="Y213" s="275">
        <v>455</v>
      </c>
      <c r="Z213" s="276">
        <f t="shared" si="85"/>
        <v>483.08650626835151</v>
      </c>
      <c r="AA213" s="276">
        <f t="shared" si="85"/>
        <v>480.95291661536652</v>
      </c>
      <c r="AB213" s="276">
        <f t="shared" si="84"/>
        <v>486.44062630919871</v>
      </c>
      <c r="AC213" s="276">
        <f t="shared" si="84"/>
        <v>483.01138268102972</v>
      </c>
      <c r="AE213" s="276"/>
      <c r="AF213" s="247"/>
    </row>
    <row r="214" spans="1:32">
      <c r="A214" s="247" t="s">
        <v>14</v>
      </c>
      <c r="B214" s="278">
        <f t="shared" si="83"/>
        <v>46.441205040110667</v>
      </c>
      <c r="C214" s="275">
        <v>34.761284626420917</v>
      </c>
      <c r="D214" s="275">
        <v>79.115395937592012</v>
      </c>
      <c r="E214" s="275">
        <v>16.253796095444685</v>
      </c>
      <c r="F214" s="275">
        <v>17.195767195767196</v>
      </c>
      <c r="G214" s="275">
        <v>23.796610169491526</v>
      </c>
      <c r="H214" s="275">
        <v>64.540540540540547</v>
      </c>
      <c r="I214" s="275">
        <v>56.908379658225229</v>
      </c>
      <c r="J214" s="275">
        <v>62.863907761992984</v>
      </c>
      <c r="K214" s="275">
        <v>118</v>
      </c>
      <c r="L214" s="275">
        <v>126.7</v>
      </c>
      <c r="M214" s="275">
        <v>99.3</v>
      </c>
      <c r="N214" s="275">
        <v>182.2</v>
      </c>
      <c r="O214" s="275">
        <v>207.7</v>
      </c>
      <c r="P214" s="275">
        <v>111.2</v>
      </c>
      <c r="Q214" s="275">
        <v>242.7</v>
      </c>
      <c r="R214" s="275">
        <v>263.60000000000002</v>
      </c>
      <c r="S214" s="275">
        <v>273.89999999999998</v>
      </c>
      <c r="T214" s="275">
        <v>321.10000000000002</v>
      </c>
      <c r="U214" s="275">
        <v>210.9</v>
      </c>
      <c r="V214" s="275">
        <v>398</v>
      </c>
      <c r="W214" s="275">
        <v>280</v>
      </c>
      <c r="X214" s="275">
        <v>358</v>
      </c>
      <c r="Y214" s="275">
        <v>393</v>
      </c>
      <c r="Z214" s="276">
        <f t="shared" si="85"/>
        <v>496.86925454103527</v>
      </c>
      <c r="AA214" s="276">
        <f t="shared" si="85"/>
        <v>505.10373337973596</v>
      </c>
      <c r="AB214" s="276">
        <f t="shared" si="84"/>
        <v>508.66884465004892</v>
      </c>
      <c r="AC214" s="276">
        <f t="shared" si="84"/>
        <v>511.75376962434223</v>
      </c>
      <c r="AE214" s="276"/>
      <c r="AF214" s="247"/>
    </row>
    <row r="215" spans="1:32">
      <c r="A215" s="247" t="s">
        <v>34</v>
      </c>
      <c r="B215" s="278">
        <f t="shared" si="83"/>
        <v>35.59813244572419</v>
      </c>
      <c r="C215" s="275">
        <v>27.017327005849243</v>
      </c>
      <c r="D215" s="275">
        <v>56.907565498969689</v>
      </c>
      <c r="E215" s="275">
        <v>16.125813449023859</v>
      </c>
      <c r="F215" s="275">
        <v>8.3333333333333339</v>
      </c>
      <c r="G215" s="275">
        <v>14.542372881355933</v>
      </c>
      <c r="H215" s="275">
        <v>58.086486486486486</v>
      </c>
      <c r="I215" s="275">
        <v>44.230595017500512</v>
      </c>
      <c r="J215" s="275">
        <v>48.85937821700638</v>
      </c>
      <c r="K215" s="275">
        <v>103.4</v>
      </c>
      <c r="L215" s="275">
        <v>132</v>
      </c>
      <c r="M215" s="275">
        <v>83.8</v>
      </c>
      <c r="N215" s="275">
        <v>166</v>
      </c>
      <c r="O215" s="275">
        <v>184.6</v>
      </c>
      <c r="P215" s="275">
        <v>90.8</v>
      </c>
      <c r="Q215" s="275">
        <v>219.6</v>
      </c>
      <c r="R215" s="275">
        <v>259.60000000000002</v>
      </c>
      <c r="S215" s="275">
        <v>214.2</v>
      </c>
      <c r="T215" s="275">
        <v>310.3</v>
      </c>
      <c r="U215" s="275">
        <v>164.4</v>
      </c>
      <c r="V215" s="275">
        <v>382</v>
      </c>
      <c r="W215" s="275">
        <v>250</v>
      </c>
      <c r="X215" s="275">
        <v>316</v>
      </c>
      <c r="Y215" s="275">
        <v>331</v>
      </c>
      <c r="Z215" s="276">
        <f t="shared" si="85"/>
        <v>423.74715212748083</v>
      </c>
      <c r="AA215" s="276">
        <f t="shared" si="85"/>
        <v>425.93296854364615</v>
      </c>
      <c r="AB215" s="276">
        <f t="shared" si="84"/>
        <v>426.45204221532856</v>
      </c>
      <c r="AC215" s="276">
        <f t="shared" si="84"/>
        <v>426.63301646934929</v>
      </c>
      <c r="AE215" s="276"/>
      <c r="AF215" s="247"/>
    </row>
    <row r="216" spans="1:32">
      <c r="A216" s="247" t="s">
        <v>35</v>
      </c>
      <c r="B216" s="278">
        <f t="shared" si="83"/>
        <v>30.879246297524109</v>
      </c>
      <c r="C216" s="275">
        <v>24.183644189383067</v>
      </c>
      <c r="D216" s="275">
        <v>44.13806299676186</v>
      </c>
      <c r="E216" s="275">
        <v>9.4666666666666668</v>
      </c>
      <c r="F216" s="275">
        <v>7.5505617977528097</v>
      </c>
      <c r="G216" s="275">
        <v>9.0415019762845859</v>
      </c>
      <c r="H216" s="275">
        <v>63.385135135135137</v>
      </c>
      <c r="I216" s="275">
        <v>39.643122676579921</v>
      </c>
      <c r="J216" s="275">
        <v>45.078066914498137</v>
      </c>
      <c r="K216" s="275">
        <v>83.7</v>
      </c>
      <c r="L216" s="275">
        <v>107.8</v>
      </c>
      <c r="M216" s="275">
        <v>68.400000000000006</v>
      </c>
      <c r="N216" s="275">
        <v>170.8</v>
      </c>
      <c r="O216" s="275">
        <v>166.1</v>
      </c>
      <c r="P216" s="275">
        <v>114.6</v>
      </c>
      <c r="Q216" s="275">
        <v>209.4</v>
      </c>
      <c r="R216" s="275">
        <v>226.4</v>
      </c>
      <c r="S216" s="275">
        <v>164.7</v>
      </c>
      <c r="T216" s="275">
        <v>283.2</v>
      </c>
      <c r="U216" s="275">
        <v>154.69999999999999</v>
      </c>
      <c r="V216" s="275">
        <v>322</v>
      </c>
      <c r="W216" s="275">
        <v>212</v>
      </c>
      <c r="X216" s="275">
        <v>214</v>
      </c>
      <c r="Y216" s="275">
        <v>269</v>
      </c>
      <c r="Z216" s="276">
        <f t="shared" si="85"/>
        <v>432.56101620839235</v>
      </c>
      <c r="AA216" s="276">
        <f t="shared" si="85"/>
        <v>425.83586522005902</v>
      </c>
      <c r="AB216" s="276">
        <f t="shared" si="84"/>
        <v>427.24902336180094</v>
      </c>
      <c r="AC216" s="276">
        <f t="shared" si="84"/>
        <v>432.89520130268551</v>
      </c>
      <c r="AE216" s="276"/>
      <c r="AF216" s="247"/>
    </row>
    <row r="217" spans="1:32">
      <c r="A217" s="247" t="s">
        <v>36</v>
      </c>
      <c r="B217" s="278">
        <f t="shared" si="83"/>
        <v>13.655436432414101</v>
      </c>
      <c r="C217" s="275">
        <v>10.750689769341133</v>
      </c>
      <c r="D217" s="275">
        <v>10.96511627906977</v>
      </c>
      <c r="E217" s="275">
        <v>10.666666666666666</v>
      </c>
      <c r="F217" s="275">
        <v>7.1966292134831455</v>
      </c>
      <c r="G217" s="275">
        <v>4.4604743083003964</v>
      </c>
      <c r="H217" s="275">
        <v>25.783783783783782</v>
      </c>
      <c r="I217" s="275">
        <v>17.623105519016299</v>
      </c>
      <c r="J217" s="275">
        <v>20.039176436945958</v>
      </c>
      <c r="K217" s="275">
        <v>27.3</v>
      </c>
      <c r="L217" s="275">
        <v>60</v>
      </c>
      <c r="M217" s="275">
        <v>52</v>
      </c>
      <c r="N217" s="275">
        <v>113.6</v>
      </c>
      <c r="O217" s="275">
        <v>106.3</v>
      </c>
      <c r="P217" s="275">
        <v>77</v>
      </c>
      <c r="Q217" s="275">
        <v>144.4</v>
      </c>
      <c r="R217" s="275">
        <v>96.5</v>
      </c>
      <c r="S217" s="275">
        <v>71.3</v>
      </c>
      <c r="T217" s="275">
        <v>113</v>
      </c>
      <c r="U217" s="275">
        <v>69</v>
      </c>
      <c r="V217" s="275">
        <v>178</v>
      </c>
      <c r="W217" s="275">
        <v>60.4</v>
      </c>
      <c r="X217" s="275">
        <v>71.3</v>
      </c>
      <c r="Y217" s="275">
        <v>207</v>
      </c>
      <c r="Z217" s="276">
        <f t="shared" si="85"/>
        <v>490.49484722788105</v>
      </c>
      <c r="AA217" s="276">
        <f t="shared" si="85"/>
        <v>524.22129717975201</v>
      </c>
      <c r="AB217" s="276">
        <f t="shared" si="84"/>
        <v>542.12459103591334</v>
      </c>
      <c r="AC217" s="276">
        <f t="shared" si="84"/>
        <v>538.66766689481301</v>
      </c>
      <c r="AE217" s="276"/>
      <c r="AF217" s="247"/>
    </row>
    <row r="218" spans="1:32">
      <c r="A218" s="247" t="s">
        <v>37</v>
      </c>
      <c r="B218" s="278">
        <f t="shared" si="83"/>
        <v>51.852779268495695</v>
      </c>
      <c r="C218" s="275">
        <v>40.709855424346095</v>
      </c>
      <c r="D218" s="275">
        <v>38.863703267589059</v>
      </c>
      <c r="E218" s="275">
        <v>19.866666666666667</v>
      </c>
      <c r="F218" s="275">
        <v>48.252808988764045</v>
      </c>
      <c r="G218" s="275">
        <v>47.49802371541503</v>
      </c>
      <c r="H218" s="275">
        <v>69.831081081081081</v>
      </c>
      <c r="I218" s="275">
        <v>66.733771804403773</v>
      </c>
      <c r="J218" s="275">
        <v>75.882756648555898</v>
      </c>
      <c r="K218" s="275">
        <v>74.7</v>
      </c>
      <c r="L218" s="275">
        <v>45.1</v>
      </c>
      <c r="M218" s="275">
        <v>72.7</v>
      </c>
      <c r="N218" s="275">
        <v>57.5</v>
      </c>
      <c r="O218" s="275">
        <v>109.4</v>
      </c>
      <c r="P218" s="275">
        <v>102.6</v>
      </c>
      <c r="Q218" s="275">
        <v>140.4</v>
      </c>
      <c r="R218" s="275">
        <v>167.2</v>
      </c>
      <c r="S218" s="275">
        <v>232.6</v>
      </c>
      <c r="T218" s="275">
        <v>271.60000000000002</v>
      </c>
      <c r="U218" s="275">
        <v>294.7</v>
      </c>
      <c r="V218" s="275">
        <v>292</v>
      </c>
      <c r="W218" s="275">
        <v>301</v>
      </c>
      <c r="X218" s="275">
        <v>400</v>
      </c>
      <c r="Y218" s="275">
        <v>145</v>
      </c>
      <c r="Z218" s="276">
        <f t="shared" si="85"/>
        <v>146.08636441503944</v>
      </c>
      <c r="AA218" s="276">
        <f t="shared" si="85"/>
        <v>498.14191118038076</v>
      </c>
      <c r="AB218" s="276">
        <f t="shared" si="84"/>
        <v>449.548751977694</v>
      </c>
      <c r="AC218" s="276">
        <f t="shared" si="84"/>
        <v>424.59602229976269</v>
      </c>
      <c r="AE218" s="276"/>
      <c r="AF218" s="247"/>
    </row>
    <row r="219" spans="1:32" ht="15.75" thickBot="1">
      <c r="A219" s="247" t="s">
        <v>138</v>
      </c>
      <c r="B219" s="245">
        <f>B33</f>
        <v>767</v>
      </c>
      <c r="C219" s="245">
        <f t="shared" ref="C219:AC219" si="86">SUM(C207:C218)</f>
        <v>587.99999999999977</v>
      </c>
      <c r="D219" s="245">
        <f t="shared" si="86"/>
        <v>943.00000000000011</v>
      </c>
      <c r="E219" s="245">
        <f t="shared" si="86"/>
        <v>429.99999999999994</v>
      </c>
      <c r="F219" s="245">
        <f t="shared" si="86"/>
        <v>505.00000000000011</v>
      </c>
      <c r="G219" s="245">
        <f t="shared" si="86"/>
        <v>560</v>
      </c>
      <c r="H219" s="245">
        <f t="shared" si="86"/>
        <v>879.99999999999989</v>
      </c>
      <c r="I219" s="245">
        <f t="shared" si="86"/>
        <v>975.99999999999989</v>
      </c>
      <c r="J219" s="245">
        <f t="shared" si="86"/>
        <v>880.99999999999989</v>
      </c>
      <c r="K219" s="245">
        <f t="shared" si="86"/>
        <v>1281.5</v>
      </c>
      <c r="L219" s="245">
        <f t="shared" si="86"/>
        <v>1338.1</v>
      </c>
      <c r="M219" s="245">
        <f t="shared" si="86"/>
        <v>1151.3</v>
      </c>
      <c r="N219" s="245">
        <f t="shared" si="86"/>
        <v>1868.3999999999999</v>
      </c>
      <c r="O219" s="245">
        <f t="shared" si="86"/>
        <v>2096.8999999999996</v>
      </c>
      <c r="P219" s="245">
        <f t="shared" si="86"/>
        <v>1755.5</v>
      </c>
      <c r="Q219" s="245">
        <f t="shared" si="86"/>
        <v>2535.6999999999998</v>
      </c>
      <c r="R219" s="245">
        <f t="shared" si="86"/>
        <v>2878.3999999999996</v>
      </c>
      <c r="S219" s="245">
        <f t="shared" si="86"/>
        <v>3017.9</v>
      </c>
      <c r="T219" s="245">
        <f t="shared" si="86"/>
        <v>3624.2999999999997</v>
      </c>
      <c r="U219" s="245">
        <f t="shared" si="86"/>
        <v>3135</v>
      </c>
      <c r="V219" s="245">
        <f t="shared" si="86"/>
        <v>4232.1000000000004</v>
      </c>
      <c r="W219" s="245">
        <f t="shared" si="86"/>
        <v>3565.4</v>
      </c>
      <c r="X219" s="245">
        <f t="shared" si="86"/>
        <v>3913.3</v>
      </c>
      <c r="Y219" s="245">
        <f t="shared" si="86"/>
        <v>4850</v>
      </c>
      <c r="Z219" s="273">
        <f t="shared" si="86"/>
        <v>5522.8451407881803</v>
      </c>
      <c r="AA219" s="273">
        <f t="shared" si="86"/>
        <v>5249.9999999999991</v>
      </c>
      <c r="AB219" s="273">
        <f t="shared" si="86"/>
        <v>5250.0000000000009</v>
      </c>
      <c r="AC219" s="273">
        <f t="shared" si="86"/>
        <v>5250</v>
      </c>
      <c r="AF219" s="247"/>
    </row>
    <row r="220" spans="1:32">
      <c r="A220" s="271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77"/>
      <c r="AB220" s="277"/>
      <c r="AC220" s="277"/>
    </row>
    <row r="221" spans="1:32" ht="15.75" thickBot="1">
      <c r="A221" s="247" t="s">
        <v>398</v>
      </c>
    </row>
    <row r="222" spans="1:32" ht="15.75" thickBot="1">
      <c r="A222" s="263"/>
      <c r="B222" s="235" t="str">
        <f>B$2</f>
        <v xml:space="preserve">93/94 </v>
      </c>
      <c r="C222" s="235" t="str">
        <f t="shared" ref="C222:AC222" si="87">C$2</f>
        <v xml:space="preserve">94/95 </v>
      </c>
      <c r="D222" s="235" t="str">
        <f t="shared" si="87"/>
        <v xml:space="preserve">95/96 </v>
      </c>
      <c r="E222" s="235" t="str">
        <f t="shared" si="87"/>
        <v xml:space="preserve">96/97 </v>
      </c>
      <c r="F222" s="235" t="str">
        <f t="shared" si="87"/>
        <v xml:space="preserve">97/98 </v>
      </c>
      <c r="G222" s="235" t="str">
        <f t="shared" si="87"/>
        <v xml:space="preserve">98/99 </v>
      </c>
      <c r="H222" s="235" t="str">
        <f t="shared" si="87"/>
        <v xml:space="preserve">99/00 </v>
      </c>
      <c r="I222" s="235" t="str">
        <f t="shared" si="87"/>
        <v xml:space="preserve">00/01 </v>
      </c>
      <c r="J222" s="235" t="str">
        <f t="shared" si="87"/>
        <v xml:space="preserve">01/02 </v>
      </c>
      <c r="K222" s="235" t="str">
        <f t="shared" si="87"/>
        <v xml:space="preserve">02/03 </v>
      </c>
      <c r="L222" s="235" t="str">
        <f t="shared" si="87"/>
        <v xml:space="preserve">03/04 </v>
      </c>
      <c r="M222" s="235" t="str">
        <f t="shared" si="87"/>
        <v xml:space="preserve">04/05 </v>
      </c>
      <c r="N222" s="235" t="str">
        <f t="shared" si="87"/>
        <v xml:space="preserve">05/06 </v>
      </c>
      <c r="O222" s="235" t="str">
        <f t="shared" si="87"/>
        <v xml:space="preserve">06/07 </v>
      </c>
      <c r="P222" s="235" t="str">
        <f t="shared" si="87"/>
        <v xml:space="preserve">07/08 </v>
      </c>
      <c r="Q222" s="235" t="str">
        <f t="shared" si="87"/>
        <v xml:space="preserve">08/09 </v>
      </c>
      <c r="R222" s="235" t="str">
        <f t="shared" si="87"/>
        <v xml:space="preserve">09/10 </v>
      </c>
      <c r="S222" s="235" t="str">
        <f t="shared" si="87"/>
        <v xml:space="preserve">10/11 </v>
      </c>
      <c r="T222" s="235" t="str">
        <f t="shared" si="87"/>
        <v xml:space="preserve">11/12 </v>
      </c>
      <c r="U222" s="235" t="str">
        <f t="shared" si="87"/>
        <v xml:space="preserve">12/13 </v>
      </c>
      <c r="V222" s="235" t="str">
        <f t="shared" si="87"/>
        <v xml:space="preserve">13/14 </v>
      </c>
      <c r="W222" s="235" t="str">
        <f t="shared" si="87"/>
        <v xml:space="preserve">14/15 </v>
      </c>
      <c r="X222" s="235" t="str">
        <f t="shared" si="87"/>
        <v xml:space="preserve">15/16 </v>
      </c>
      <c r="Y222" s="235" t="str">
        <f t="shared" si="87"/>
        <v xml:space="preserve">16/17 </v>
      </c>
      <c r="Z222" s="235" t="str">
        <f t="shared" si="87"/>
        <v xml:space="preserve">17/18 </v>
      </c>
      <c r="AA222" s="235" t="str">
        <f t="shared" si="87"/>
        <v xml:space="preserve">18/19 </v>
      </c>
      <c r="AB222" s="235" t="str">
        <f t="shared" si="87"/>
        <v xml:space="preserve">19/20 </v>
      </c>
      <c r="AC222" s="235" t="str">
        <f t="shared" si="87"/>
        <v xml:space="preserve">20/21 </v>
      </c>
    </row>
    <row r="223" spans="1:32">
      <c r="A223" s="247" t="s">
        <v>38</v>
      </c>
      <c r="B223" s="279">
        <f t="shared" ref="B223:AC232" si="88">B207/B81</f>
        <v>0.42027397260273974</v>
      </c>
      <c r="C223" s="279">
        <f t="shared" si="88"/>
        <v>0.42</v>
      </c>
      <c r="D223" s="279">
        <f t="shared" si="88"/>
        <v>0.41</v>
      </c>
      <c r="E223" s="279">
        <f t="shared" si="88"/>
        <v>0.41974077766699902</v>
      </c>
      <c r="F223" s="279">
        <f t="shared" si="88"/>
        <v>0.41025641025641024</v>
      </c>
      <c r="G223" s="279">
        <f t="shared" si="88"/>
        <v>0.40769230769230769</v>
      </c>
      <c r="H223" s="279">
        <f t="shared" si="88"/>
        <v>0.4</v>
      </c>
      <c r="I223" s="279">
        <f t="shared" si="88"/>
        <v>0.41630901287553645</v>
      </c>
      <c r="J223" s="279">
        <f t="shared" si="88"/>
        <v>0.40933398152649486</v>
      </c>
      <c r="K223" s="279">
        <f t="shared" si="88"/>
        <v>0.4107142857142857</v>
      </c>
      <c r="L223" s="279">
        <f t="shared" si="88"/>
        <v>0.41904761904761906</v>
      </c>
      <c r="M223" s="279">
        <f t="shared" si="88"/>
        <v>0.42166666666666663</v>
      </c>
      <c r="N223" s="279">
        <f t="shared" si="88"/>
        <v>0.42307692307692307</v>
      </c>
      <c r="O223" s="279">
        <f t="shared" si="88"/>
        <v>0.4229420259954611</v>
      </c>
      <c r="P223" s="279">
        <f t="shared" si="88"/>
        <v>0.42334905660377359</v>
      </c>
      <c r="Q223" s="279">
        <f t="shared" si="88"/>
        <v>0.42299035369774918</v>
      </c>
      <c r="R223" s="279">
        <f t="shared" si="88"/>
        <v>0.4229787234042553</v>
      </c>
      <c r="S223" s="279">
        <f t="shared" si="88"/>
        <v>0.42295497780596075</v>
      </c>
      <c r="T223" s="279">
        <f t="shared" si="88"/>
        <v>0.4229787234042553</v>
      </c>
      <c r="U223" s="279">
        <f t="shared" si="88"/>
        <v>0.4230232558139535</v>
      </c>
      <c r="V223" s="279">
        <f t="shared" si="88"/>
        <v>0.42302222222222224</v>
      </c>
      <c r="W223" s="279">
        <f t="shared" si="88"/>
        <v>0.43</v>
      </c>
      <c r="X223" s="279">
        <f t="shared" si="88"/>
        <v>0.43004291845493564</v>
      </c>
      <c r="Y223" s="279">
        <f t="shared" si="88"/>
        <v>0.435</v>
      </c>
      <c r="Z223" s="279">
        <f t="shared" si="88"/>
        <v>0.43</v>
      </c>
      <c r="AA223" s="279">
        <f t="shared" si="88"/>
        <v>0.36385700386658082</v>
      </c>
      <c r="AB223" s="279">
        <f t="shared" si="88"/>
        <v>0.36985882832897177</v>
      </c>
      <c r="AC223" s="279">
        <f t="shared" si="88"/>
        <v>0.36516245564014183</v>
      </c>
      <c r="AF223" s="247"/>
    </row>
    <row r="224" spans="1:32">
      <c r="A224" s="247" t="s">
        <v>39</v>
      </c>
      <c r="B224" s="279">
        <f t="shared" si="88"/>
        <v>0.42027397260273974</v>
      </c>
      <c r="C224" s="279">
        <f t="shared" si="88"/>
        <v>0.42</v>
      </c>
      <c r="D224" s="279">
        <f t="shared" si="88"/>
        <v>0.41</v>
      </c>
      <c r="E224" s="279">
        <f t="shared" si="88"/>
        <v>0.41974077766699897</v>
      </c>
      <c r="F224" s="279">
        <f t="shared" si="88"/>
        <v>0.41025641025641024</v>
      </c>
      <c r="G224" s="279">
        <f t="shared" si="88"/>
        <v>0.40769230769230769</v>
      </c>
      <c r="H224" s="279">
        <f t="shared" si="88"/>
        <v>0.4</v>
      </c>
      <c r="I224" s="279">
        <f t="shared" si="88"/>
        <v>0.41630901287553651</v>
      </c>
      <c r="J224" s="279">
        <f t="shared" si="88"/>
        <v>0.40933398152649492</v>
      </c>
      <c r="K224" s="279">
        <f t="shared" si="88"/>
        <v>0.41071428571428564</v>
      </c>
      <c r="L224" s="279">
        <f t="shared" si="88"/>
        <v>0.41904761904761906</v>
      </c>
      <c r="M224" s="279">
        <f t="shared" si="88"/>
        <v>0.42166666666666669</v>
      </c>
      <c r="N224" s="279">
        <f t="shared" si="88"/>
        <v>0.42307692307692307</v>
      </c>
      <c r="O224" s="279">
        <f t="shared" si="88"/>
        <v>0.4229420259954611</v>
      </c>
      <c r="P224" s="279">
        <f t="shared" si="88"/>
        <v>0.42334905660377359</v>
      </c>
      <c r="Q224" s="279">
        <f t="shared" si="88"/>
        <v>0.42299035369774918</v>
      </c>
      <c r="R224" s="279">
        <f t="shared" si="88"/>
        <v>0.4229787234042553</v>
      </c>
      <c r="S224" s="279">
        <f t="shared" si="88"/>
        <v>0.4229549778059607</v>
      </c>
      <c r="T224" s="279">
        <f t="shared" si="88"/>
        <v>0.4229787234042553</v>
      </c>
      <c r="U224" s="279">
        <f t="shared" si="88"/>
        <v>0.4230232558139535</v>
      </c>
      <c r="V224" s="279">
        <f t="shared" si="88"/>
        <v>0.42302222222222224</v>
      </c>
      <c r="W224" s="279">
        <f t="shared" si="88"/>
        <v>0.43</v>
      </c>
      <c r="X224" s="279">
        <f t="shared" si="88"/>
        <v>0.43004291845493564</v>
      </c>
      <c r="Y224" s="279">
        <f t="shared" si="88"/>
        <v>0.43499999999999994</v>
      </c>
      <c r="Z224" s="279">
        <f t="shared" si="88"/>
        <v>0.43</v>
      </c>
      <c r="AA224" s="279">
        <f t="shared" si="88"/>
        <v>0.36064232688644376</v>
      </c>
      <c r="AB224" s="279">
        <f t="shared" si="88"/>
        <v>0.378244060999256</v>
      </c>
      <c r="AC224" s="279">
        <f t="shared" si="88"/>
        <v>0.37239082757807979</v>
      </c>
      <c r="AF224" s="247"/>
    </row>
    <row r="225" spans="1:32">
      <c r="A225" s="247" t="s">
        <v>40</v>
      </c>
      <c r="B225" s="279">
        <f t="shared" si="88"/>
        <v>0.42027397260273974</v>
      </c>
      <c r="C225" s="279">
        <f t="shared" si="88"/>
        <v>0.42</v>
      </c>
      <c r="D225" s="279">
        <f t="shared" si="88"/>
        <v>0.41</v>
      </c>
      <c r="E225" s="279">
        <f t="shared" si="88"/>
        <v>0.41974077766699908</v>
      </c>
      <c r="F225" s="279">
        <f t="shared" si="88"/>
        <v>0.41025641025641024</v>
      </c>
      <c r="G225" s="279">
        <f t="shared" si="88"/>
        <v>0.40769230769230769</v>
      </c>
      <c r="H225" s="279">
        <f t="shared" si="88"/>
        <v>0.4</v>
      </c>
      <c r="I225" s="279">
        <f t="shared" si="88"/>
        <v>0.4163090128755364</v>
      </c>
      <c r="J225" s="279">
        <f t="shared" si="88"/>
        <v>0.40933398152649492</v>
      </c>
      <c r="K225" s="279">
        <f t="shared" si="88"/>
        <v>0.4107142857142857</v>
      </c>
      <c r="L225" s="279">
        <f t="shared" si="88"/>
        <v>0.41904761904761906</v>
      </c>
      <c r="M225" s="279">
        <f t="shared" si="88"/>
        <v>0.42166666666666675</v>
      </c>
      <c r="N225" s="279">
        <f t="shared" si="88"/>
        <v>0.42307692307692307</v>
      </c>
      <c r="O225" s="279">
        <f t="shared" si="88"/>
        <v>0.4229420259954611</v>
      </c>
      <c r="P225" s="279">
        <f t="shared" si="88"/>
        <v>0.42334905660377359</v>
      </c>
      <c r="Q225" s="279">
        <f t="shared" si="88"/>
        <v>0.42299035369774923</v>
      </c>
      <c r="R225" s="279">
        <f t="shared" si="88"/>
        <v>0.4229787234042553</v>
      </c>
      <c r="S225" s="279">
        <f t="shared" si="88"/>
        <v>0.42295497780596064</v>
      </c>
      <c r="T225" s="279">
        <f t="shared" si="88"/>
        <v>0.4229787234042553</v>
      </c>
      <c r="U225" s="279">
        <f t="shared" si="88"/>
        <v>0.4230232558139535</v>
      </c>
      <c r="V225" s="279">
        <f t="shared" si="88"/>
        <v>0.42302222222222224</v>
      </c>
      <c r="W225" s="279">
        <f t="shared" si="88"/>
        <v>0.43</v>
      </c>
      <c r="X225" s="279">
        <f t="shared" si="88"/>
        <v>0.43004291845493564</v>
      </c>
      <c r="Y225" s="279">
        <f t="shared" si="88"/>
        <v>0.435</v>
      </c>
      <c r="Z225" s="279">
        <f t="shared" si="88"/>
        <v>0.43000000000000005</v>
      </c>
      <c r="AA225" s="279">
        <f t="shared" si="88"/>
        <v>0.29075244485898744</v>
      </c>
      <c r="AB225" s="279">
        <f t="shared" si="88"/>
        <v>0.31867447522248793</v>
      </c>
      <c r="AC225" s="279">
        <f t="shared" si="88"/>
        <v>0.32211914700154365</v>
      </c>
      <c r="AF225" s="247"/>
    </row>
    <row r="226" spans="1:32">
      <c r="A226" s="247" t="s">
        <v>30</v>
      </c>
      <c r="B226" s="279">
        <f t="shared" si="88"/>
        <v>0.42027397260273974</v>
      </c>
      <c r="C226" s="279">
        <f t="shared" si="88"/>
        <v>0.42</v>
      </c>
      <c r="D226" s="279">
        <f t="shared" si="88"/>
        <v>0.41</v>
      </c>
      <c r="E226" s="279">
        <f t="shared" si="88"/>
        <v>0.41974077766699902</v>
      </c>
      <c r="F226" s="279">
        <f t="shared" si="88"/>
        <v>0.41025641025641024</v>
      </c>
      <c r="G226" s="279">
        <f t="shared" si="88"/>
        <v>0.40769230769230763</v>
      </c>
      <c r="H226" s="279">
        <f t="shared" si="88"/>
        <v>0.4</v>
      </c>
      <c r="I226" s="279">
        <f t="shared" si="88"/>
        <v>0.4163090128755364</v>
      </c>
      <c r="J226" s="279">
        <f t="shared" si="88"/>
        <v>0.40933398152649492</v>
      </c>
      <c r="K226" s="279">
        <f t="shared" si="88"/>
        <v>0.41071428571428564</v>
      </c>
      <c r="L226" s="279">
        <f t="shared" si="88"/>
        <v>0.41904761904761906</v>
      </c>
      <c r="M226" s="279">
        <f t="shared" si="88"/>
        <v>0.42166666666666669</v>
      </c>
      <c r="N226" s="279">
        <f t="shared" si="88"/>
        <v>0.42307692307692307</v>
      </c>
      <c r="O226" s="279">
        <f t="shared" si="88"/>
        <v>0.4229420259954611</v>
      </c>
      <c r="P226" s="279">
        <f t="shared" si="88"/>
        <v>0.42334905660377359</v>
      </c>
      <c r="Q226" s="279">
        <f t="shared" si="88"/>
        <v>0.42299035369774918</v>
      </c>
      <c r="R226" s="279">
        <f t="shared" si="88"/>
        <v>0.42297872340425535</v>
      </c>
      <c r="S226" s="279">
        <f t="shared" si="88"/>
        <v>0.4229549778059607</v>
      </c>
      <c r="T226" s="279">
        <f t="shared" si="88"/>
        <v>0.4229787234042553</v>
      </c>
      <c r="U226" s="279">
        <f t="shared" si="88"/>
        <v>0.4230232558139535</v>
      </c>
      <c r="V226" s="279">
        <f t="shared" si="88"/>
        <v>0.42302222222222224</v>
      </c>
      <c r="W226" s="279">
        <f t="shared" si="88"/>
        <v>0.43</v>
      </c>
      <c r="X226" s="279">
        <f t="shared" si="88"/>
        <v>0.43004291845493564</v>
      </c>
      <c r="Y226" s="279">
        <f t="shared" si="88"/>
        <v>0.43499999999999994</v>
      </c>
      <c r="Z226" s="279">
        <f t="shared" si="88"/>
        <v>0.43000000000000005</v>
      </c>
      <c r="AA226" s="279">
        <f t="shared" si="88"/>
        <v>0.31271619350222346</v>
      </c>
      <c r="AB226" s="279">
        <f t="shared" si="88"/>
        <v>0.30967647878061594</v>
      </c>
      <c r="AC226" s="279">
        <f t="shared" si="88"/>
        <v>0.30828226971084016</v>
      </c>
      <c r="AF226" s="247"/>
    </row>
    <row r="227" spans="1:32">
      <c r="A227" s="247" t="s">
        <v>31</v>
      </c>
      <c r="B227" s="279">
        <f t="shared" si="88"/>
        <v>0.42027397260273974</v>
      </c>
      <c r="C227" s="279">
        <f t="shared" si="88"/>
        <v>0.42</v>
      </c>
      <c r="D227" s="279">
        <f t="shared" si="88"/>
        <v>0.41</v>
      </c>
      <c r="E227" s="279">
        <f t="shared" si="88"/>
        <v>0.41974077766699902</v>
      </c>
      <c r="F227" s="279">
        <f t="shared" si="88"/>
        <v>0.41025641025641024</v>
      </c>
      <c r="G227" s="279">
        <f t="shared" si="88"/>
        <v>0.40769230769230769</v>
      </c>
      <c r="H227" s="279">
        <f t="shared" si="88"/>
        <v>0.4</v>
      </c>
      <c r="I227" s="279">
        <f t="shared" si="88"/>
        <v>0.41630901287553645</v>
      </c>
      <c r="J227" s="279">
        <f t="shared" si="88"/>
        <v>0.40933398152649492</v>
      </c>
      <c r="K227" s="279">
        <f t="shared" si="88"/>
        <v>0.41071428571428575</v>
      </c>
      <c r="L227" s="279">
        <f t="shared" si="88"/>
        <v>0.41904761904761906</v>
      </c>
      <c r="M227" s="279">
        <f t="shared" si="88"/>
        <v>0.42166666666666669</v>
      </c>
      <c r="N227" s="279">
        <f t="shared" si="88"/>
        <v>0.42307692307692307</v>
      </c>
      <c r="O227" s="279">
        <f t="shared" si="88"/>
        <v>0.4229420259954611</v>
      </c>
      <c r="P227" s="279">
        <f t="shared" si="88"/>
        <v>0.42334905660377359</v>
      </c>
      <c r="Q227" s="279">
        <f t="shared" si="88"/>
        <v>0.42299035369774918</v>
      </c>
      <c r="R227" s="279">
        <f t="shared" si="88"/>
        <v>0.4229787234042553</v>
      </c>
      <c r="S227" s="279">
        <f t="shared" si="88"/>
        <v>0.4229549778059607</v>
      </c>
      <c r="T227" s="279">
        <f t="shared" si="88"/>
        <v>0.4229787234042553</v>
      </c>
      <c r="U227" s="279">
        <f t="shared" si="88"/>
        <v>0.4230232558139535</v>
      </c>
      <c r="V227" s="279">
        <f t="shared" si="88"/>
        <v>0.42302222222222224</v>
      </c>
      <c r="W227" s="279">
        <f t="shared" si="88"/>
        <v>0.43</v>
      </c>
      <c r="X227" s="279">
        <f t="shared" si="88"/>
        <v>0.43004291845493564</v>
      </c>
      <c r="Y227" s="279">
        <f t="shared" si="88"/>
        <v>0.435</v>
      </c>
      <c r="Z227" s="279">
        <f t="shared" si="88"/>
        <v>0.43</v>
      </c>
      <c r="AA227" s="279">
        <f t="shared" si="88"/>
        <v>0.27930795258784741</v>
      </c>
      <c r="AB227" s="279">
        <f t="shared" si="88"/>
        <v>0.27386963289457295</v>
      </c>
      <c r="AC227" s="279">
        <f t="shared" si="88"/>
        <v>0.27848810116659345</v>
      </c>
      <c r="AF227" s="247"/>
    </row>
    <row r="228" spans="1:32">
      <c r="A228" s="247" t="s">
        <v>32</v>
      </c>
      <c r="B228" s="279">
        <f t="shared" si="88"/>
        <v>0.42027397260273969</v>
      </c>
      <c r="C228" s="279">
        <f t="shared" si="88"/>
        <v>0.42</v>
      </c>
      <c r="D228" s="279">
        <f t="shared" si="88"/>
        <v>0.41</v>
      </c>
      <c r="E228" s="279">
        <f t="shared" si="88"/>
        <v>0.41974077766699902</v>
      </c>
      <c r="F228" s="279">
        <f t="shared" si="88"/>
        <v>0.41025641025641024</v>
      </c>
      <c r="G228" s="279">
        <f t="shared" si="88"/>
        <v>0.40769230769230769</v>
      </c>
      <c r="H228" s="279">
        <f t="shared" si="88"/>
        <v>0.4</v>
      </c>
      <c r="I228" s="279">
        <f t="shared" si="88"/>
        <v>0.41630901287553645</v>
      </c>
      <c r="J228" s="279">
        <f t="shared" si="88"/>
        <v>0.40933398152649497</v>
      </c>
      <c r="K228" s="279">
        <f t="shared" si="88"/>
        <v>0.41071428571428575</v>
      </c>
      <c r="L228" s="279">
        <f t="shared" si="88"/>
        <v>0.419047619047619</v>
      </c>
      <c r="M228" s="279">
        <f t="shared" si="88"/>
        <v>0.42166666666666663</v>
      </c>
      <c r="N228" s="279">
        <f t="shared" si="88"/>
        <v>0.42307692307692307</v>
      </c>
      <c r="O228" s="279">
        <f t="shared" si="88"/>
        <v>0.4229420259954611</v>
      </c>
      <c r="P228" s="279">
        <f t="shared" si="88"/>
        <v>0.42334905660377359</v>
      </c>
      <c r="Q228" s="279">
        <f t="shared" si="88"/>
        <v>0.42299035369774912</v>
      </c>
      <c r="R228" s="279">
        <f t="shared" si="88"/>
        <v>0.4229787234042553</v>
      </c>
      <c r="S228" s="279">
        <f t="shared" si="88"/>
        <v>0.4229549778059607</v>
      </c>
      <c r="T228" s="279">
        <f t="shared" si="88"/>
        <v>0.4229787234042553</v>
      </c>
      <c r="U228" s="279">
        <f t="shared" si="88"/>
        <v>0.4230232558139535</v>
      </c>
      <c r="V228" s="279">
        <f t="shared" si="88"/>
        <v>0.42302222222222224</v>
      </c>
      <c r="W228" s="279">
        <f t="shared" si="88"/>
        <v>0.43</v>
      </c>
      <c r="X228" s="279">
        <f t="shared" si="88"/>
        <v>0.43004291845493564</v>
      </c>
      <c r="Y228" s="279">
        <f t="shared" si="88"/>
        <v>0.435</v>
      </c>
      <c r="Z228" s="279">
        <f t="shared" si="88"/>
        <v>0.43000000000000005</v>
      </c>
      <c r="AA228" s="279">
        <f t="shared" si="88"/>
        <v>0.42001082816053731</v>
      </c>
      <c r="AB228" s="279">
        <f t="shared" si="88"/>
        <v>0.41384495162189899</v>
      </c>
      <c r="AC228" s="279">
        <f t="shared" si="88"/>
        <v>0.40459973678059147</v>
      </c>
      <c r="AF228" s="247"/>
    </row>
    <row r="229" spans="1:32">
      <c r="A229" s="247" t="s">
        <v>33</v>
      </c>
      <c r="B229" s="279">
        <f t="shared" si="88"/>
        <v>0.4202739726027398</v>
      </c>
      <c r="C229" s="279">
        <f t="shared" si="88"/>
        <v>0.42</v>
      </c>
      <c r="D229" s="279">
        <f t="shared" si="88"/>
        <v>0.41</v>
      </c>
      <c r="E229" s="279">
        <f t="shared" si="88"/>
        <v>0.41974077766699902</v>
      </c>
      <c r="F229" s="279">
        <f t="shared" si="88"/>
        <v>0.41025641025641024</v>
      </c>
      <c r="G229" s="279">
        <f t="shared" si="88"/>
        <v>0.40769230769230769</v>
      </c>
      <c r="H229" s="279">
        <f t="shared" si="88"/>
        <v>0.4</v>
      </c>
      <c r="I229" s="279">
        <f t="shared" si="88"/>
        <v>0.41630901287553645</v>
      </c>
      <c r="J229" s="279">
        <f t="shared" si="88"/>
        <v>0.40933398152649492</v>
      </c>
      <c r="K229" s="279">
        <f t="shared" si="88"/>
        <v>0.4107142857142857</v>
      </c>
      <c r="L229" s="279">
        <f t="shared" si="88"/>
        <v>0.419047619047619</v>
      </c>
      <c r="M229" s="279">
        <f t="shared" si="88"/>
        <v>0.42166666666666669</v>
      </c>
      <c r="N229" s="279">
        <f t="shared" si="88"/>
        <v>0.42307692307692307</v>
      </c>
      <c r="O229" s="279">
        <f t="shared" si="88"/>
        <v>0.4229420259954611</v>
      </c>
      <c r="P229" s="279">
        <f t="shared" si="88"/>
        <v>0.42334905660377359</v>
      </c>
      <c r="Q229" s="279">
        <f t="shared" si="88"/>
        <v>0.42299035369774918</v>
      </c>
      <c r="R229" s="279">
        <f t="shared" si="88"/>
        <v>0.4229787234042553</v>
      </c>
      <c r="S229" s="279">
        <f t="shared" si="88"/>
        <v>0.42295497780596064</v>
      </c>
      <c r="T229" s="279">
        <f t="shared" si="88"/>
        <v>0.4229787234042553</v>
      </c>
      <c r="U229" s="279">
        <f t="shared" si="88"/>
        <v>0.4230232558139535</v>
      </c>
      <c r="V229" s="279">
        <f t="shared" si="88"/>
        <v>0.42302222222222224</v>
      </c>
      <c r="W229" s="279">
        <f t="shared" si="88"/>
        <v>0.43000000000000005</v>
      </c>
      <c r="X229" s="279">
        <f t="shared" si="88"/>
        <v>0.43004291845493564</v>
      </c>
      <c r="Y229" s="279">
        <f t="shared" si="88"/>
        <v>0.43500000000000005</v>
      </c>
      <c r="Z229" s="279">
        <f t="shared" si="88"/>
        <v>0.4544461442802385</v>
      </c>
      <c r="AA229" s="279">
        <f t="shared" si="88"/>
        <v>0.45048889052491081</v>
      </c>
      <c r="AB229" s="279">
        <f t="shared" si="88"/>
        <v>0.44814024861656737</v>
      </c>
      <c r="AC229" s="279">
        <f t="shared" si="88"/>
        <v>0.44641157633809864</v>
      </c>
      <c r="AF229" s="247"/>
    </row>
    <row r="230" spans="1:32">
      <c r="A230" s="247" t="s">
        <v>14</v>
      </c>
      <c r="B230" s="279">
        <f t="shared" si="88"/>
        <v>0.42027397260273974</v>
      </c>
      <c r="C230" s="279">
        <f t="shared" si="88"/>
        <v>0.42</v>
      </c>
      <c r="D230" s="279">
        <f t="shared" si="88"/>
        <v>0.41</v>
      </c>
      <c r="E230" s="279">
        <f t="shared" si="88"/>
        <v>0.41974077766699908</v>
      </c>
      <c r="F230" s="279">
        <f t="shared" si="88"/>
        <v>0.41025641025641024</v>
      </c>
      <c r="G230" s="279">
        <f t="shared" si="88"/>
        <v>0.40769230769230769</v>
      </c>
      <c r="H230" s="279">
        <f t="shared" si="88"/>
        <v>0.4</v>
      </c>
      <c r="I230" s="279">
        <f t="shared" si="88"/>
        <v>0.41630901287553645</v>
      </c>
      <c r="J230" s="279">
        <f t="shared" si="88"/>
        <v>0.40933398152649492</v>
      </c>
      <c r="K230" s="279">
        <f t="shared" si="88"/>
        <v>0.41071428571428575</v>
      </c>
      <c r="L230" s="279">
        <f t="shared" si="88"/>
        <v>0.419047619047619</v>
      </c>
      <c r="M230" s="279">
        <f t="shared" si="88"/>
        <v>0.42166666666666669</v>
      </c>
      <c r="N230" s="279">
        <f t="shared" si="88"/>
        <v>0.42307692307692307</v>
      </c>
      <c r="O230" s="279">
        <f t="shared" si="88"/>
        <v>0.4229420259954611</v>
      </c>
      <c r="P230" s="279">
        <f t="shared" si="88"/>
        <v>0.42334905660377359</v>
      </c>
      <c r="Q230" s="279">
        <f t="shared" si="88"/>
        <v>0.42299035369774912</v>
      </c>
      <c r="R230" s="279">
        <f t="shared" si="88"/>
        <v>0.42297872340425535</v>
      </c>
      <c r="S230" s="279">
        <f t="shared" si="88"/>
        <v>0.4229549778059607</v>
      </c>
      <c r="T230" s="279">
        <f t="shared" si="88"/>
        <v>0.4229787234042553</v>
      </c>
      <c r="U230" s="279">
        <f t="shared" si="88"/>
        <v>0.4230232558139535</v>
      </c>
      <c r="V230" s="279">
        <f t="shared" si="88"/>
        <v>0.42302222222222224</v>
      </c>
      <c r="W230" s="279">
        <f t="shared" si="88"/>
        <v>0.43000000000000005</v>
      </c>
      <c r="X230" s="279">
        <f t="shared" si="88"/>
        <v>0.43004291845493564</v>
      </c>
      <c r="Y230" s="279">
        <f t="shared" si="88"/>
        <v>0.435</v>
      </c>
      <c r="Z230" s="279">
        <f t="shared" si="88"/>
        <v>0.48347594448301917</v>
      </c>
      <c r="AA230" s="279">
        <f t="shared" si="88"/>
        <v>0.50892222602670856</v>
      </c>
      <c r="AB230" s="279">
        <f t="shared" si="88"/>
        <v>0.49544260948975533</v>
      </c>
      <c r="AC230" s="279">
        <f t="shared" si="88"/>
        <v>0.5118540027230658</v>
      </c>
      <c r="AF230" s="247"/>
    </row>
    <row r="231" spans="1:32">
      <c r="A231" s="247" t="s">
        <v>34</v>
      </c>
      <c r="B231" s="279">
        <f t="shared" si="88"/>
        <v>0.42027397260273974</v>
      </c>
      <c r="C231" s="279">
        <f t="shared" si="88"/>
        <v>0.41999999999999993</v>
      </c>
      <c r="D231" s="279">
        <f t="shared" si="88"/>
        <v>0.41</v>
      </c>
      <c r="E231" s="279">
        <f t="shared" si="88"/>
        <v>0.41974077766699902</v>
      </c>
      <c r="F231" s="279">
        <f t="shared" si="88"/>
        <v>0.41025641025641019</v>
      </c>
      <c r="G231" s="279">
        <f t="shared" si="88"/>
        <v>0.40769230769230763</v>
      </c>
      <c r="H231" s="279">
        <f t="shared" si="88"/>
        <v>0.4</v>
      </c>
      <c r="I231" s="279">
        <f t="shared" si="88"/>
        <v>0.41630901287553645</v>
      </c>
      <c r="J231" s="279">
        <f t="shared" si="88"/>
        <v>0.40933398152649492</v>
      </c>
      <c r="K231" s="279">
        <f t="shared" si="88"/>
        <v>0.4107142857142857</v>
      </c>
      <c r="L231" s="279">
        <f t="shared" si="88"/>
        <v>0.41904761904761906</v>
      </c>
      <c r="M231" s="279">
        <f t="shared" si="88"/>
        <v>0.42166666666666669</v>
      </c>
      <c r="N231" s="279">
        <f t="shared" si="88"/>
        <v>0.42307692307692307</v>
      </c>
      <c r="O231" s="279">
        <f t="shared" si="88"/>
        <v>0.4229420259954611</v>
      </c>
      <c r="P231" s="279">
        <f t="shared" si="88"/>
        <v>0.42334905660377359</v>
      </c>
      <c r="Q231" s="279">
        <f t="shared" si="88"/>
        <v>0.42299035369774918</v>
      </c>
      <c r="R231" s="279">
        <f t="shared" si="88"/>
        <v>0.42297872340425535</v>
      </c>
      <c r="S231" s="279">
        <f t="shared" si="88"/>
        <v>0.4229549778059607</v>
      </c>
      <c r="T231" s="279">
        <f t="shared" si="88"/>
        <v>0.4229787234042553</v>
      </c>
      <c r="U231" s="279">
        <f t="shared" si="88"/>
        <v>0.4230232558139535</v>
      </c>
      <c r="V231" s="279">
        <f t="shared" si="88"/>
        <v>0.42302222222222224</v>
      </c>
      <c r="W231" s="279">
        <f t="shared" si="88"/>
        <v>0.43</v>
      </c>
      <c r="X231" s="279">
        <f t="shared" si="88"/>
        <v>0.43004291845493564</v>
      </c>
      <c r="Y231" s="279">
        <f t="shared" si="88"/>
        <v>0.43499999999999994</v>
      </c>
      <c r="Z231" s="279">
        <f t="shared" si="88"/>
        <v>0.45436739850823143</v>
      </c>
      <c r="AA231" s="279">
        <f t="shared" si="88"/>
        <v>0.48746074661367084</v>
      </c>
      <c r="AB231" s="279">
        <f t="shared" si="88"/>
        <v>0.46237769884373947</v>
      </c>
      <c r="AC231" s="279">
        <f t="shared" si="88"/>
        <v>0.48426810194072112</v>
      </c>
      <c r="AF231" s="247"/>
    </row>
    <row r="232" spans="1:32">
      <c r="A232" s="247" t="s">
        <v>35</v>
      </c>
      <c r="B232" s="279">
        <f t="shared" si="88"/>
        <v>0.42027397260273974</v>
      </c>
      <c r="C232" s="279">
        <f t="shared" si="88"/>
        <v>0.42</v>
      </c>
      <c r="D232" s="279">
        <f t="shared" si="88"/>
        <v>0.41</v>
      </c>
      <c r="E232" s="279">
        <f t="shared" ref="E232:AC233" si="89">E216/E90</f>
        <v>0.41974077766699902</v>
      </c>
      <c r="F232" s="279">
        <f t="shared" si="89"/>
        <v>0.41025641025641024</v>
      </c>
      <c r="G232" s="279">
        <f t="shared" si="89"/>
        <v>0.40769230769230763</v>
      </c>
      <c r="H232" s="279">
        <f t="shared" si="89"/>
        <v>0.4</v>
      </c>
      <c r="I232" s="279">
        <f t="shared" si="89"/>
        <v>0.41630901287553645</v>
      </c>
      <c r="J232" s="279">
        <f t="shared" si="89"/>
        <v>0.40933398152649492</v>
      </c>
      <c r="K232" s="279">
        <f t="shared" si="89"/>
        <v>0.4107142857142857</v>
      </c>
      <c r="L232" s="279">
        <f t="shared" si="89"/>
        <v>0.41904761904761906</v>
      </c>
      <c r="M232" s="279">
        <f t="shared" si="89"/>
        <v>0.42166666666666669</v>
      </c>
      <c r="N232" s="279">
        <f t="shared" si="89"/>
        <v>0.42307692307692307</v>
      </c>
      <c r="O232" s="279">
        <f t="shared" si="89"/>
        <v>0.4229420259954611</v>
      </c>
      <c r="P232" s="279">
        <f t="shared" si="89"/>
        <v>0.42334905660377364</v>
      </c>
      <c r="Q232" s="279">
        <f t="shared" si="89"/>
        <v>0.42299035369774918</v>
      </c>
      <c r="R232" s="279">
        <f t="shared" si="89"/>
        <v>0.4229787234042553</v>
      </c>
      <c r="S232" s="279">
        <f t="shared" si="89"/>
        <v>0.42295497780596064</v>
      </c>
      <c r="T232" s="279">
        <f t="shared" si="89"/>
        <v>0.4229787234042553</v>
      </c>
      <c r="U232" s="279">
        <f t="shared" si="89"/>
        <v>0.4230232558139535</v>
      </c>
      <c r="V232" s="279">
        <f t="shared" si="89"/>
        <v>0.42302222222222224</v>
      </c>
      <c r="W232" s="279">
        <f t="shared" si="89"/>
        <v>0.43</v>
      </c>
      <c r="X232" s="279">
        <f t="shared" si="89"/>
        <v>0.43004291845493564</v>
      </c>
      <c r="Y232" s="279">
        <f t="shared" si="89"/>
        <v>0.435</v>
      </c>
      <c r="Z232" s="279">
        <f t="shared" si="89"/>
        <v>0.55607899958192364</v>
      </c>
      <c r="AA232" s="279">
        <f t="shared" si="89"/>
        <v>0.6000794189750247</v>
      </c>
      <c r="AB232" s="279">
        <f t="shared" si="89"/>
        <v>0.57576037507524669</v>
      </c>
      <c r="AC232" s="279">
        <f t="shared" si="89"/>
        <v>0.61625594916066262</v>
      </c>
      <c r="AF232" s="247"/>
    </row>
    <row r="233" spans="1:32">
      <c r="A233" s="247" t="s">
        <v>36</v>
      </c>
      <c r="B233" s="279">
        <f t="shared" ref="B233:Q233" si="90">B217/B91</f>
        <v>0.42027397260273974</v>
      </c>
      <c r="C233" s="279">
        <f t="shared" si="90"/>
        <v>0.41999999999999993</v>
      </c>
      <c r="D233" s="279">
        <f t="shared" si="90"/>
        <v>0.41</v>
      </c>
      <c r="E233" s="279">
        <f t="shared" si="90"/>
        <v>0.41974077766699902</v>
      </c>
      <c r="F233" s="279">
        <f t="shared" si="90"/>
        <v>0.41025641025641024</v>
      </c>
      <c r="G233" s="279">
        <f t="shared" si="90"/>
        <v>0.40769230769230769</v>
      </c>
      <c r="H233" s="279">
        <f t="shared" si="90"/>
        <v>0.4</v>
      </c>
      <c r="I233" s="279">
        <f t="shared" si="90"/>
        <v>0.41630901287553651</v>
      </c>
      <c r="J233" s="279">
        <f t="shared" si="90"/>
        <v>0.40933398152649492</v>
      </c>
      <c r="K233" s="279">
        <f t="shared" si="90"/>
        <v>0.4107142857142857</v>
      </c>
      <c r="L233" s="279">
        <f t="shared" si="90"/>
        <v>0.41904761904761906</v>
      </c>
      <c r="M233" s="279">
        <f t="shared" si="90"/>
        <v>0.42166666666666669</v>
      </c>
      <c r="N233" s="279">
        <f t="shared" si="90"/>
        <v>0.42307692307692307</v>
      </c>
      <c r="O233" s="279">
        <f t="shared" si="90"/>
        <v>0.4229420259954611</v>
      </c>
      <c r="P233" s="279">
        <f t="shared" si="90"/>
        <v>0.42334905660377359</v>
      </c>
      <c r="Q233" s="279">
        <f t="shared" si="90"/>
        <v>0.42299035369774918</v>
      </c>
      <c r="R233" s="279">
        <f t="shared" si="89"/>
        <v>0.4229787234042553</v>
      </c>
      <c r="S233" s="279">
        <f t="shared" si="89"/>
        <v>0.4229549778059607</v>
      </c>
      <c r="T233" s="279">
        <f t="shared" si="89"/>
        <v>0.4229787234042553</v>
      </c>
      <c r="U233" s="279">
        <f t="shared" si="89"/>
        <v>0.4230232558139535</v>
      </c>
      <c r="V233" s="279">
        <f t="shared" si="89"/>
        <v>0.42302222222222224</v>
      </c>
      <c r="W233" s="279">
        <f t="shared" si="89"/>
        <v>0.43</v>
      </c>
      <c r="X233" s="279">
        <f t="shared" si="89"/>
        <v>0.43004291845493564</v>
      </c>
      <c r="Y233" s="279">
        <f t="shared" si="89"/>
        <v>0.435</v>
      </c>
      <c r="Z233" s="279">
        <f t="shared" si="89"/>
        <v>0.63500006706458467</v>
      </c>
      <c r="AA233" s="279">
        <f t="shared" si="89"/>
        <v>1.4795498787500851</v>
      </c>
      <c r="AB233" s="279">
        <f t="shared" si="89"/>
        <v>1.1643066441547851</v>
      </c>
      <c r="AC233" s="279">
        <f t="shared" si="89"/>
        <v>1.2439446579449025</v>
      </c>
      <c r="AF233" s="247"/>
    </row>
    <row r="234" spans="1:32">
      <c r="A234" s="247" t="s">
        <v>37</v>
      </c>
      <c r="B234" s="279">
        <f>B218/C80</f>
        <v>0.42027397260273974</v>
      </c>
      <c r="C234" s="279">
        <f t="shared" ref="C234:Y234" si="91">C218/D80</f>
        <v>0.42</v>
      </c>
      <c r="D234" s="279">
        <f t="shared" si="91"/>
        <v>0.41</v>
      </c>
      <c r="E234" s="279">
        <f t="shared" si="91"/>
        <v>0.41974077766699897</v>
      </c>
      <c r="F234" s="279">
        <f t="shared" si="91"/>
        <v>0.41025641025641024</v>
      </c>
      <c r="G234" s="279">
        <f t="shared" si="91"/>
        <v>0.40769230769230769</v>
      </c>
      <c r="H234" s="279">
        <f t="shared" si="91"/>
        <v>0.4</v>
      </c>
      <c r="I234" s="279">
        <f t="shared" si="91"/>
        <v>0.41630901287553645</v>
      </c>
      <c r="J234" s="279">
        <f t="shared" si="91"/>
        <v>0.40933398152649492</v>
      </c>
      <c r="K234" s="279">
        <f t="shared" si="91"/>
        <v>0.4107142857142857</v>
      </c>
      <c r="L234" s="279">
        <f t="shared" si="91"/>
        <v>0.41904761904761906</v>
      </c>
      <c r="M234" s="279">
        <f t="shared" si="91"/>
        <v>0.42166666666666669</v>
      </c>
      <c r="N234" s="279">
        <f t="shared" si="91"/>
        <v>0.42307692307692307</v>
      </c>
      <c r="O234" s="279">
        <f t="shared" si="91"/>
        <v>0.42294202599546116</v>
      </c>
      <c r="P234" s="279">
        <f t="shared" si="91"/>
        <v>0.42334905660377359</v>
      </c>
      <c r="Q234" s="279">
        <f t="shared" si="91"/>
        <v>0.42299035369774918</v>
      </c>
      <c r="R234" s="279">
        <f t="shared" si="91"/>
        <v>0.4229787234042553</v>
      </c>
      <c r="S234" s="279">
        <f t="shared" si="91"/>
        <v>0.42295497780596064</v>
      </c>
      <c r="T234" s="279">
        <f t="shared" si="91"/>
        <v>0.42297872340425524</v>
      </c>
      <c r="U234" s="279">
        <f t="shared" si="91"/>
        <v>0.42302325581395356</v>
      </c>
      <c r="V234" s="279">
        <f t="shared" si="91"/>
        <v>0.42302222222222224</v>
      </c>
      <c r="W234" s="279">
        <f t="shared" si="91"/>
        <v>0.43</v>
      </c>
      <c r="X234" s="279">
        <f t="shared" si="91"/>
        <v>0.43004291845493564</v>
      </c>
      <c r="Y234" s="279">
        <f t="shared" si="91"/>
        <v>0.435</v>
      </c>
      <c r="Z234" s="279">
        <f>Z218/AA80</f>
        <v>0.15392096418042531</v>
      </c>
      <c r="AA234" s="279">
        <f>AA218/AB80</f>
        <v>0.63076390745605371</v>
      </c>
      <c r="AB234" s="279">
        <f>AB218/AC80</f>
        <v>0.55003147799102048</v>
      </c>
      <c r="AC234" s="279" t="e">
        <f>AC218/AD80</f>
        <v>#DIV/0!</v>
      </c>
      <c r="AF234" s="247"/>
    </row>
    <row r="235" spans="1:32" ht="15.75" thickBot="1">
      <c r="A235" s="247" t="s">
        <v>338</v>
      </c>
      <c r="B235" s="281">
        <v>0.42027397260273974</v>
      </c>
      <c r="C235" s="281">
        <v>0.42</v>
      </c>
      <c r="D235" s="281">
        <v>0.41</v>
      </c>
      <c r="E235" s="281">
        <v>0.41974077766699902</v>
      </c>
      <c r="F235" s="281">
        <v>0.41025641025641024</v>
      </c>
      <c r="G235" s="281">
        <v>0.40769230769230769</v>
      </c>
      <c r="H235" s="281">
        <v>0.4</v>
      </c>
      <c r="I235" s="281">
        <v>0.41630901287553645</v>
      </c>
      <c r="J235" s="281">
        <v>0.40933398152649492</v>
      </c>
      <c r="K235" s="281">
        <v>0.4107142857142857</v>
      </c>
      <c r="L235" s="281">
        <v>0.41904761904761906</v>
      </c>
      <c r="M235" s="281">
        <v>0.42166666666666669</v>
      </c>
      <c r="N235" s="281">
        <v>0.42307692307692307</v>
      </c>
      <c r="O235" s="281">
        <v>0.4229420259954611</v>
      </c>
      <c r="P235" s="281">
        <v>0.42334905660377359</v>
      </c>
      <c r="Q235" s="281">
        <v>0.42299035369774918</v>
      </c>
      <c r="R235" s="281">
        <v>0.4229787234042553</v>
      </c>
      <c r="S235" s="281">
        <v>0.4229549778059607</v>
      </c>
      <c r="T235" s="281">
        <v>0.4229787234042553</v>
      </c>
      <c r="U235" s="281">
        <v>0.4230232558139535</v>
      </c>
      <c r="V235" s="281">
        <v>0.42302222222222224</v>
      </c>
      <c r="W235" s="281">
        <v>0.43</v>
      </c>
      <c r="X235" s="281">
        <v>0.43004291845493564</v>
      </c>
      <c r="Y235" s="281">
        <v>0.435</v>
      </c>
      <c r="Z235" s="280">
        <v>0.43</v>
      </c>
      <c r="AA235" s="280">
        <f>FORECAST(AA45,H235:Z235,H45:Z45)</f>
        <v>0.43391504077201715</v>
      </c>
      <c r="AB235" s="280">
        <f>FORECAST(AB45,I235:AA235,I45:AA45)</f>
        <v>0.4338720538062999</v>
      </c>
      <c r="AC235" s="280">
        <f>FORECAST(AC45,J235:AB235,J45:AB45)</f>
        <v>0.43522787746809399</v>
      </c>
    </row>
    <row r="236" spans="1:32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  <c r="AA236" s="271"/>
      <c r="AB236" s="271"/>
      <c r="AC236" s="271"/>
    </row>
    <row r="237" spans="1:32" ht="15.75" thickBot="1">
      <c r="A237" s="247" t="s">
        <v>399</v>
      </c>
    </row>
    <row r="238" spans="1:32" ht="15.75" thickBot="1">
      <c r="A238" s="263"/>
      <c r="B238" s="235" t="str">
        <f>B$2</f>
        <v xml:space="preserve">93/94 </v>
      </c>
      <c r="C238" s="235" t="str">
        <f t="shared" ref="C238:AC238" si="92">C$2</f>
        <v xml:space="preserve">94/95 </v>
      </c>
      <c r="D238" s="235" t="str">
        <f t="shared" si="92"/>
        <v xml:space="preserve">95/96 </v>
      </c>
      <c r="E238" s="235" t="str">
        <f t="shared" si="92"/>
        <v xml:space="preserve">96/97 </v>
      </c>
      <c r="F238" s="235" t="str">
        <f t="shared" si="92"/>
        <v xml:space="preserve">97/98 </v>
      </c>
      <c r="G238" s="235" t="str">
        <f t="shared" si="92"/>
        <v xml:space="preserve">98/99 </v>
      </c>
      <c r="H238" s="235" t="str">
        <f t="shared" si="92"/>
        <v xml:space="preserve">99/00 </v>
      </c>
      <c r="I238" s="235" t="str">
        <f t="shared" si="92"/>
        <v xml:space="preserve">00/01 </v>
      </c>
      <c r="J238" s="235" t="str">
        <f t="shared" si="92"/>
        <v xml:space="preserve">01/02 </v>
      </c>
      <c r="K238" s="235" t="str">
        <f t="shared" si="92"/>
        <v xml:space="preserve">02/03 </v>
      </c>
      <c r="L238" s="235" t="str">
        <f t="shared" si="92"/>
        <v xml:space="preserve">03/04 </v>
      </c>
      <c r="M238" s="235" t="str">
        <f t="shared" si="92"/>
        <v xml:space="preserve">04/05 </v>
      </c>
      <c r="N238" s="235" t="str">
        <f t="shared" si="92"/>
        <v xml:space="preserve">05/06 </v>
      </c>
      <c r="O238" s="235" t="str">
        <f t="shared" si="92"/>
        <v xml:space="preserve">06/07 </v>
      </c>
      <c r="P238" s="235" t="str">
        <f t="shared" si="92"/>
        <v xml:space="preserve">07/08 </v>
      </c>
      <c r="Q238" s="235" t="str">
        <f t="shared" si="92"/>
        <v xml:space="preserve">08/09 </v>
      </c>
      <c r="R238" s="235" t="str">
        <f t="shared" si="92"/>
        <v xml:space="preserve">09/10 </v>
      </c>
      <c r="S238" s="235" t="str">
        <f t="shared" si="92"/>
        <v xml:space="preserve">10/11 </v>
      </c>
      <c r="T238" s="235" t="str">
        <f t="shared" si="92"/>
        <v xml:space="preserve">11/12 </v>
      </c>
      <c r="U238" s="235" t="str">
        <f t="shared" si="92"/>
        <v xml:space="preserve">12/13 </v>
      </c>
      <c r="V238" s="235" t="str">
        <f t="shared" si="92"/>
        <v xml:space="preserve">13/14 </v>
      </c>
      <c r="W238" s="235" t="str">
        <f t="shared" si="92"/>
        <v xml:space="preserve">14/15 </v>
      </c>
      <c r="X238" s="235" t="str">
        <f t="shared" si="92"/>
        <v xml:space="preserve">15/16 </v>
      </c>
      <c r="Y238" s="235" t="str">
        <f t="shared" si="92"/>
        <v xml:space="preserve">16/17 </v>
      </c>
      <c r="Z238" s="235" t="str">
        <f t="shared" si="92"/>
        <v xml:space="preserve">17/18 </v>
      </c>
      <c r="AA238" s="235" t="str">
        <f t="shared" si="92"/>
        <v xml:space="preserve">18/19 </v>
      </c>
      <c r="AB238" s="235" t="str">
        <f t="shared" si="92"/>
        <v xml:space="preserve">19/20 </v>
      </c>
      <c r="AC238" s="235" t="str">
        <f t="shared" si="92"/>
        <v xml:space="preserve">20/21 </v>
      </c>
    </row>
    <row r="239" spans="1:32">
      <c r="A239" s="247" t="s">
        <v>38</v>
      </c>
      <c r="B239" s="279">
        <f t="shared" ref="B239:AC248" si="93">B223+B112</f>
        <v>0.85150684931506859</v>
      </c>
      <c r="C239" s="279">
        <f t="shared" si="93"/>
        <v>0.82000000000000006</v>
      </c>
      <c r="D239" s="279">
        <f t="shared" si="93"/>
        <v>0.79043478260869571</v>
      </c>
      <c r="E239" s="279">
        <f t="shared" si="93"/>
        <v>0.86839481555333997</v>
      </c>
      <c r="F239" s="279">
        <f t="shared" si="93"/>
        <v>0.81318681318681318</v>
      </c>
      <c r="G239" s="279">
        <f t="shared" si="93"/>
        <v>0.80769230769230771</v>
      </c>
      <c r="H239" s="279">
        <f t="shared" si="93"/>
        <v>0.80476190476190479</v>
      </c>
      <c r="I239" s="279">
        <f t="shared" si="93"/>
        <v>0.82403433476394849</v>
      </c>
      <c r="J239" s="279">
        <f t="shared" si="93"/>
        <v>0.81380651434127371</v>
      </c>
      <c r="K239" s="279">
        <f t="shared" si="93"/>
        <v>0.8214285714285714</v>
      </c>
      <c r="L239" s="279">
        <f t="shared" si="93"/>
        <v>0.83174603174603168</v>
      </c>
      <c r="M239" s="279">
        <f t="shared" si="93"/>
        <v>0.83833333333333337</v>
      </c>
      <c r="N239" s="279">
        <f t="shared" si="93"/>
        <v>0.83626373626373618</v>
      </c>
      <c r="O239" s="279">
        <f t="shared" si="93"/>
        <v>0.84072622240561179</v>
      </c>
      <c r="P239" s="279">
        <f t="shared" si="93"/>
        <v>0.84056603773584904</v>
      </c>
      <c r="Q239" s="279">
        <f t="shared" si="93"/>
        <v>0.84099678456591631</v>
      </c>
      <c r="R239" s="279">
        <f t="shared" si="93"/>
        <v>0.84099290780141844</v>
      </c>
      <c r="S239" s="279">
        <f t="shared" si="93"/>
        <v>0.84096385542168695</v>
      </c>
      <c r="T239" s="279">
        <f t="shared" si="93"/>
        <v>0.84106382978723404</v>
      </c>
      <c r="U239" s="279">
        <f t="shared" si="93"/>
        <v>0.841046511627907</v>
      </c>
      <c r="V239" s="279">
        <f t="shared" si="93"/>
        <v>0.83600000000000008</v>
      </c>
      <c r="W239" s="279">
        <f t="shared" si="93"/>
        <v>0.84300970873786407</v>
      </c>
      <c r="X239" s="279">
        <f t="shared" si="93"/>
        <v>0.84300429184549364</v>
      </c>
      <c r="Y239" s="279">
        <f t="shared" si="93"/>
        <v>0.84499999999999997</v>
      </c>
      <c r="Z239" s="279">
        <f t="shared" si="93"/>
        <v>0.84299999999999997</v>
      </c>
      <c r="AA239" s="280">
        <f t="shared" si="93"/>
        <v>0.78070333408116421</v>
      </c>
      <c r="AB239" s="280">
        <f t="shared" si="93"/>
        <v>0.78632227197602267</v>
      </c>
      <c r="AC239" s="280">
        <f t="shared" si="93"/>
        <v>0.78131432597619499</v>
      </c>
    </row>
    <row r="240" spans="1:32">
      <c r="A240" s="247" t="s">
        <v>39</v>
      </c>
      <c r="B240" s="279">
        <f t="shared" si="93"/>
        <v>0.85150684931506859</v>
      </c>
      <c r="C240" s="279">
        <f t="shared" si="93"/>
        <v>0.82000000000000006</v>
      </c>
      <c r="D240" s="279">
        <f t="shared" si="93"/>
        <v>0.79043478260869571</v>
      </c>
      <c r="E240" s="279">
        <f t="shared" si="93"/>
        <v>0.86839481555333986</v>
      </c>
      <c r="F240" s="279">
        <f t="shared" si="93"/>
        <v>0.81318681318681318</v>
      </c>
      <c r="G240" s="279">
        <f t="shared" si="93"/>
        <v>0.80769230769230771</v>
      </c>
      <c r="H240" s="279">
        <f t="shared" si="93"/>
        <v>0.80476190476190479</v>
      </c>
      <c r="I240" s="279">
        <f t="shared" si="93"/>
        <v>0.82403433476394849</v>
      </c>
      <c r="J240" s="279">
        <f t="shared" si="93"/>
        <v>0.81380651434127371</v>
      </c>
      <c r="K240" s="279">
        <f t="shared" si="93"/>
        <v>0.8214285714285714</v>
      </c>
      <c r="L240" s="279">
        <f t="shared" si="93"/>
        <v>0.83174603174603168</v>
      </c>
      <c r="M240" s="279">
        <f t="shared" si="93"/>
        <v>0.83833333333333337</v>
      </c>
      <c r="N240" s="279">
        <f t="shared" si="93"/>
        <v>0.83626373626373618</v>
      </c>
      <c r="O240" s="279">
        <f t="shared" si="93"/>
        <v>0.84072622240561179</v>
      </c>
      <c r="P240" s="279">
        <f t="shared" si="93"/>
        <v>0.84056603773584904</v>
      </c>
      <c r="Q240" s="279">
        <f t="shared" si="93"/>
        <v>0.84099678456591642</v>
      </c>
      <c r="R240" s="279">
        <f t="shared" si="93"/>
        <v>0.84099290780141844</v>
      </c>
      <c r="S240" s="279">
        <f t="shared" si="93"/>
        <v>0.84096385542168683</v>
      </c>
      <c r="T240" s="279">
        <f t="shared" si="93"/>
        <v>0.84106382978723404</v>
      </c>
      <c r="U240" s="279">
        <f t="shared" si="93"/>
        <v>0.84104651162790711</v>
      </c>
      <c r="V240" s="279">
        <f t="shared" si="93"/>
        <v>0.83600000000000008</v>
      </c>
      <c r="W240" s="279">
        <f t="shared" si="93"/>
        <v>0.84300970873786407</v>
      </c>
      <c r="X240" s="279">
        <f t="shared" si="93"/>
        <v>0.84300429184549364</v>
      </c>
      <c r="Y240" s="279">
        <f t="shared" si="93"/>
        <v>0.84499999999999997</v>
      </c>
      <c r="Z240" s="279">
        <f t="shared" si="93"/>
        <v>0.84299999999999997</v>
      </c>
      <c r="AA240" s="280">
        <f t="shared" si="93"/>
        <v>0.7774886571010271</v>
      </c>
      <c r="AB240" s="280">
        <f t="shared" si="93"/>
        <v>0.79470750464630691</v>
      </c>
      <c r="AC240" s="280">
        <f t="shared" si="93"/>
        <v>0.78854269791413301</v>
      </c>
    </row>
    <row r="241" spans="1:30">
      <c r="A241" s="247" t="s">
        <v>40</v>
      </c>
      <c r="B241" s="279">
        <f t="shared" si="93"/>
        <v>0.85150684931506859</v>
      </c>
      <c r="C241" s="279">
        <f t="shared" si="93"/>
        <v>0.82000000000000006</v>
      </c>
      <c r="D241" s="279">
        <f t="shared" si="93"/>
        <v>0.79043478260869571</v>
      </c>
      <c r="E241" s="279">
        <f t="shared" si="93"/>
        <v>0.86839481555334008</v>
      </c>
      <c r="F241" s="279">
        <f t="shared" si="93"/>
        <v>0.81318681318681318</v>
      </c>
      <c r="G241" s="279">
        <f t="shared" si="93"/>
        <v>0.80769230769230771</v>
      </c>
      <c r="H241" s="279">
        <f t="shared" si="93"/>
        <v>0.80476190476190479</v>
      </c>
      <c r="I241" s="279">
        <f t="shared" si="93"/>
        <v>0.82403433476394849</v>
      </c>
      <c r="J241" s="279">
        <f t="shared" si="93"/>
        <v>0.81380651434127371</v>
      </c>
      <c r="K241" s="279">
        <f t="shared" si="93"/>
        <v>0.8214285714285714</v>
      </c>
      <c r="L241" s="279">
        <f t="shared" si="93"/>
        <v>0.83174603174603168</v>
      </c>
      <c r="M241" s="279">
        <f t="shared" si="93"/>
        <v>0.83833333333333337</v>
      </c>
      <c r="N241" s="279">
        <f t="shared" si="93"/>
        <v>0.83626373626373618</v>
      </c>
      <c r="O241" s="279">
        <f t="shared" si="93"/>
        <v>0.84072622240561179</v>
      </c>
      <c r="P241" s="279">
        <f t="shared" si="93"/>
        <v>0.84056603773584904</v>
      </c>
      <c r="Q241" s="279">
        <f t="shared" si="93"/>
        <v>0.84099678456591642</v>
      </c>
      <c r="R241" s="279">
        <f t="shared" si="93"/>
        <v>0.84099290780141844</v>
      </c>
      <c r="S241" s="279">
        <f t="shared" si="93"/>
        <v>0.84096385542168672</v>
      </c>
      <c r="T241" s="279">
        <f t="shared" si="93"/>
        <v>0.84106382978723415</v>
      </c>
      <c r="U241" s="279">
        <f t="shared" si="93"/>
        <v>0.841046511627907</v>
      </c>
      <c r="V241" s="279">
        <f t="shared" si="93"/>
        <v>0.83600000000000008</v>
      </c>
      <c r="W241" s="279">
        <f t="shared" si="93"/>
        <v>0.84300970873786407</v>
      </c>
      <c r="X241" s="279">
        <f t="shared" si="93"/>
        <v>0.84300429184549364</v>
      </c>
      <c r="Y241" s="279">
        <f t="shared" si="93"/>
        <v>0.84499999999999997</v>
      </c>
      <c r="Z241" s="279">
        <f t="shared" si="93"/>
        <v>0.84299999999999997</v>
      </c>
      <c r="AA241" s="280">
        <f t="shared" si="93"/>
        <v>0.70759877507357083</v>
      </c>
      <c r="AB241" s="280">
        <f t="shared" si="93"/>
        <v>0.73513791886953883</v>
      </c>
      <c r="AC241" s="280">
        <f t="shared" si="93"/>
        <v>0.73827101733759681</v>
      </c>
    </row>
    <row r="242" spans="1:30">
      <c r="A242" s="247" t="s">
        <v>30</v>
      </c>
      <c r="B242" s="279">
        <f t="shared" si="93"/>
        <v>0.85150684931506859</v>
      </c>
      <c r="C242" s="279">
        <f t="shared" si="93"/>
        <v>0.82000000000000006</v>
      </c>
      <c r="D242" s="279">
        <f t="shared" si="93"/>
        <v>0.79043478260869571</v>
      </c>
      <c r="E242" s="279">
        <f t="shared" si="93"/>
        <v>0.86839481555333997</v>
      </c>
      <c r="F242" s="279">
        <f t="shared" si="93"/>
        <v>0.81318681318681318</v>
      </c>
      <c r="G242" s="279">
        <f t="shared" si="93"/>
        <v>0.80769230769230771</v>
      </c>
      <c r="H242" s="279">
        <f t="shared" si="93"/>
        <v>0.80476190476190479</v>
      </c>
      <c r="I242" s="279">
        <f t="shared" si="93"/>
        <v>0.82403433476394849</v>
      </c>
      <c r="J242" s="279">
        <f t="shared" si="93"/>
        <v>0.81380651434127371</v>
      </c>
      <c r="K242" s="279">
        <f t="shared" si="93"/>
        <v>0.8214285714285714</v>
      </c>
      <c r="L242" s="279">
        <f t="shared" si="93"/>
        <v>0.83174603174603179</v>
      </c>
      <c r="M242" s="279">
        <f t="shared" si="93"/>
        <v>0.83833333333333337</v>
      </c>
      <c r="N242" s="279">
        <f t="shared" si="93"/>
        <v>0.83626373626373618</v>
      </c>
      <c r="O242" s="279">
        <f t="shared" si="93"/>
        <v>0.84072622240561179</v>
      </c>
      <c r="P242" s="279">
        <f t="shared" si="93"/>
        <v>0.84056603773584904</v>
      </c>
      <c r="Q242" s="279">
        <f t="shared" si="93"/>
        <v>0.84099678456591631</v>
      </c>
      <c r="R242" s="279">
        <f t="shared" si="93"/>
        <v>0.84099290780141844</v>
      </c>
      <c r="S242" s="279">
        <f t="shared" si="93"/>
        <v>0.84096385542168672</v>
      </c>
      <c r="T242" s="279">
        <f t="shared" si="93"/>
        <v>0.84106382978723404</v>
      </c>
      <c r="U242" s="279">
        <f t="shared" si="93"/>
        <v>0.841046511627907</v>
      </c>
      <c r="V242" s="279">
        <f t="shared" si="93"/>
        <v>0.83600000000000008</v>
      </c>
      <c r="W242" s="279">
        <f t="shared" si="93"/>
        <v>0.84300970873786407</v>
      </c>
      <c r="X242" s="279">
        <f t="shared" si="93"/>
        <v>0.84300429184549364</v>
      </c>
      <c r="Y242" s="279">
        <f t="shared" si="93"/>
        <v>0.84499999999999997</v>
      </c>
      <c r="Z242" s="279">
        <f t="shared" si="93"/>
        <v>0.84300000000000008</v>
      </c>
      <c r="AA242" s="280">
        <f t="shared" si="93"/>
        <v>0.72956252371680685</v>
      </c>
      <c r="AB242" s="280">
        <f t="shared" si="93"/>
        <v>0.72613992242766678</v>
      </c>
      <c r="AC242" s="280">
        <f t="shared" si="93"/>
        <v>0.72443414004689333</v>
      </c>
    </row>
    <row r="243" spans="1:30">
      <c r="A243" s="247" t="s">
        <v>31</v>
      </c>
      <c r="B243" s="279">
        <f t="shared" si="93"/>
        <v>0.85150684931506859</v>
      </c>
      <c r="C243" s="279">
        <f t="shared" si="93"/>
        <v>0.82000000000000006</v>
      </c>
      <c r="D243" s="279">
        <f t="shared" si="93"/>
        <v>0.79043478260869571</v>
      </c>
      <c r="E243" s="279">
        <f t="shared" si="93"/>
        <v>0.86839481555334008</v>
      </c>
      <c r="F243" s="279">
        <f t="shared" si="93"/>
        <v>0.81318681318681318</v>
      </c>
      <c r="G243" s="279">
        <f t="shared" si="93"/>
        <v>0.80769230769230771</v>
      </c>
      <c r="H243" s="279">
        <f t="shared" si="93"/>
        <v>0.80476190476190479</v>
      </c>
      <c r="I243" s="279">
        <f t="shared" si="93"/>
        <v>0.82403433476394849</v>
      </c>
      <c r="J243" s="279">
        <f t="shared" si="93"/>
        <v>0.81380651434127371</v>
      </c>
      <c r="K243" s="279">
        <f t="shared" si="93"/>
        <v>0.8214285714285714</v>
      </c>
      <c r="L243" s="279">
        <f t="shared" si="93"/>
        <v>0.83174603174603168</v>
      </c>
      <c r="M243" s="279">
        <f t="shared" si="93"/>
        <v>0.83833333333333337</v>
      </c>
      <c r="N243" s="279">
        <f t="shared" si="93"/>
        <v>0.83626373626373618</v>
      </c>
      <c r="O243" s="279">
        <f t="shared" si="93"/>
        <v>0.84072622240561179</v>
      </c>
      <c r="P243" s="279">
        <f t="shared" si="93"/>
        <v>0.84056603773584904</v>
      </c>
      <c r="Q243" s="279">
        <f t="shared" si="93"/>
        <v>0.84099678456591631</v>
      </c>
      <c r="R243" s="279">
        <f t="shared" si="93"/>
        <v>0.84099290780141844</v>
      </c>
      <c r="S243" s="279">
        <f t="shared" si="93"/>
        <v>0.84096385542168672</v>
      </c>
      <c r="T243" s="279">
        <f t="shared" si="93"/>
        <v>0.84106382978723404</v>
      </c>
      <c r="U243" s="279">
        <f t="shared" si="93"/>
        <v>0.841046511627907</v>
      </c>
      <c r="V243" s="279">
        <f t="shared" si="93"/>
        <v>0.83600000000000008</v>
      </c>
      <c r="W243" s="279">
        <f t="shared" si="93"/>
        <v>0.84300970873786407</v>
      </c>
      <c r="X243" s="279">
        <f t="shared" si="93"/>
        <v>0.84300429184549364</v>
      </c>
      <c r="Y243" s="279">
        <f t="shared" si="93"/>
        <v>0.84499999999999997</v>
      </c>
      <c r="Z243" s="279">
        <f t="shared" si="93"/>
        <v>0.84299999999999997</v>
      </c>
      <c r="AA243" s="280">
        <f t="shared" si="93"/>
        <v>0.69615428280243075</v>
      </c>
      <c r="AB243" s="280">
        <f t="shared" si="93"/>
        <v>0.69033307654162379</v>
      </c>
      <c r="AC243" s="280">
        <f t="shared" si="93"/>
        <v>0.69463997150264656</v>
      </c>
    </row>
    <row r="244" spans="1:30">
      <c r="A244" s="247" t="s">
        <v>32</v>
      </c>
      <c r="B244" s="279">
        <f t="shared" si="93"/>
        <v>0.85150684931506848</v>
      </c>
      <c r="C244" s="279">
        <f t="shared" si="93"/>
        <v>0.82000000000000006</v>
      </c>
      <c r="D244" s="279">
        <f t="shared" si="93"/>
        <v>0.79043478260869571</v>
      </c>
      <c r="E244" s="279">
        <f t="shared" si="93"/>
        <v>0.86839481555333997</v>
      </c>
      <c r="F244" s="279">
        <f t="shared" si="93"/>
        <v>0.81318681318681318</v>
      </c>
      <c r="G244" s="279">
        <f t="shared" si="93"/>
        <v>0.80769230769230771</v>
      </c>
      <c r="H244" s="279">
        <f t="shared" si="93"/>
        <v>0.80476190476190479</v>
      </c>
      <c r="I244" s="279">
        <f t="shared" si="93"/>
        <v>0.82403433476394849</v>
      </c>
      <c r="J244" s="279">
        <f t="shared" si="93"/>
        <v>0.81380651434127382</v>
      </c>
      <c r="K244" s="279">
        <f t="shared" si="93"/>
        <v>0.8214285714285714</v>
      </c>
      <c r="L244" s="279">
        <f t="shared" si="93"/>
        <v>0.83174603174603168</v>
      </c>
      <c r="M244" s="279">
        <f t="shared" si="93"/>
        <v>0.83833333333333337</v>
      </c>
      <c r="N244" s="279">
        <f t="shared" si="93"/>
        <v>0.83626373626373618</v>
      </c>
      <c r="O244" s="279">
        <f t="shared" si="93"/>
        <v>0.84072622240561179</v>
      </c>
      <c r="P244" s="279">
        <f t="shared" si="93"/>
        <v>0.84056603773584904</v>
      </c>
      <c r="Q244" s="279">
        <f t="shared" si="93"/>
        <v>0.84099678456591631</v>
      </c>
      <c r="R244" s="279">
        <f t="shared" si="93"/>
        <v>0.84099290780141844</v>
      </c>
      <c r="S244" s="279">
        <f t="shared" si="93"/>
        <v>0.84096385542168672</v>
      </c>
      <c r="T244" s="279">
        <f t="shared" si="93"/>
        <v>0.84106382978723404</v>
      </c>
      <c r="U244" s="279">
        <f t="shared" si="93"/>
        <v>0.841046511627907</v>
      </c>
      <c r="V244" s="279">
        <f t="shared" si="93"/>
        <v>0.83599999999999997</v>
      </c>
      <c r="W244" s="279">
        <f t="shared" si="93"/>
        <v>0.84300970873786407</v>
      </c>
      <c r="X244" s="279">
        <f t="shared" si="93"/>
        <v>0.84300429184549364</v>
      </c>
      <c r="Y244" s="279">
        <f t="shared" si="93"/>
        <v>0.84499999999999997</v>
      </c>
      <c r="Z244" s="279">
        <f t="shared" si="93"/>
        <v>0.84299999999999997</v>
      </c>
      <c r="AA244" s="280">
        <f t="shared" si="93"/>
        <v>0.83685715837512076</v>
      </c>
      <c r="AB244" s="280">
        <f t="shared" si="93"/>
        <v>0.83030839526894984</v>
      </c>
      <c r="AC244" s="280">
        <f t="shared" si="93"/>
        <v>0.82075160711664463</v>
      </c>
    </row>
    <row r="245" spans="1:30">
      <c r="A245" s="247" t="s">
        <v>33</v>
      </c>
      <c r="B245" s="279">
        <f t="shared" si="93"/>
        <v>0.85150684931506859</v>
      </c>
      <c r="C245" s="279">
        <f t="shared" si="93"/>
        <v>0.82000000000000006</v>
      </c>
      <c r="D245" s="279">
        <f t="shared" si="93"/>
        <v>0.79043478260869571</v>
      </c>
      <c r="E245" s="279">
        <f t="shared" si="93"/>
        <v>0.86839481555333997</v>
      </c>
      <c r="F245" s="279">
        <f t="shared" si="93"/>
        <v>0.81318681318681318</v>
      </c>
      <c r="G245" s="279">
        <f t="shared" si="93"/>
        <v>0.80769230769230771</v>
      </c>
      <c r="H245" s="279">
        <f t="shared" si="93"/>
        <v>0.80476190476190479</v>
      </c>
      <c r="I245" s="279">
        <f t="shared" si="93"/>
        <v>0.82403433476394849</v>
      </c>
      <c r="J245" s="279">
        <f t="shared" si="93"/>
        <v>0.81380651434127371</v>
      </c>
      <c r="K245" s="279">
        <f t="shared" si="93"/>
        <v>0.8214285714285714</v>
      </c>
      <c r="L245" s="279">
        <f t="shared" si="93"/>
        <v>0.83174603174603168</v>
      </c>
      <c r="M245" s="279">
        <f t="shared" si="93"/>
        <v>0.83833333333333337</v>
      </c>
      <c r="N245" s="279">
        <f t="shared" si="93"/>
        <v>0.83626373626373618</v>
      </c>
      <c r="O245" s="279">
        <f t="shared" si="93"/>
        <v>0.84072622240561179</v>
      </c>
      <c r="P245" s="279">
        <f t="shared" si="93"/>
        <v>0.84056603773584904</v>
      </c>
      <c r="Q245" s="279">
        <f t="shared" si="93"/>
        <v>0.84099678456591631</v>
      </c>
      <c r="R245" s="279">
        <f t="shared" si="93"/>
        <v>0.84099290780141844</v>
      </c>
      <c r="S245" s="279">
        <f t="shared" si="93"/>
        <v>0.84096385542168672</v>
      </c>
      <c r="T245" s="279">
        <f t="shared" si="93"/>
        <v>0.84106382978723404</v>
      </c>
      <c r="U245" s="279">
        <f t="shared" si="93"/>
        <v>0.841046511627907</v>
      </c>
      <c r="V245" s="279">
        <f t="shared" si="93"/>
        <v>0.83600000000000008</v>
      </c>
      <c r="W245" s="279">
        <f t="shared" si="93"/>
        <v>0.84300970873786407</v>
      </c>
      <c r="X245" s="279">
        <f t="shared" si="93"/>
        <v>0.84300429184549364</v>
      </c>
      <c r="Y245" s="279">
        <f t="shared" si="93"/>
        <v>0.84499999999999997</v>
      </c>
      <c r="Z245" s="280">
        <f t="shared" si="93"/>
        <v>0.86744614428023847</v>
      </c>
      <c r="AA245" s="280">
        <f t="shared" si="93"/>
        <v>0.86733522073949421</v>
      </c>
      <c r="AB245" s="280">
        <f t="shared" si="93"/>
        <v>0.86460369226361822</v>
      </c>
      <c r="AC245" s="280">
        <f t="shared" si="93"/>
        <v>0.86256344667415186</v>
      </c>
    </row>
    <row r="246" spans="1:30">
      <c r="A246" s="247" t="s">
        <v>14</v>
      </c>
      <c r="B246" s="279">
        <f t="shared" si="93"/>
        <v>0.85150684931506859</v>
      </c>
      <c r="C246" s="279">
        <f t="shared" si="93"/>
        <v>0.82000000000000006</v>
      </c>
      <c r="D246" s="279">
        <f t="shared" si="93"/>
        <v>0.79043478260869571</v>
      </c>
      <c r="E246" s="279">
        <f t="shared" si="93"/>
        <v>0.86839481555334008</v>
      </c>
      <c r="F246" s="279">
        <f t="shared" si="93"/>
        <v>0.81318681318681318</v>
      </c>
      <c r="G246" s="279">
        <f t="shared" si="93"/>
        <v>0.80769230769230771</v>
      </c>
      <c r="H246" s="279">
        <f t="shared" si="93"/>
        <v>0.80476190476190479</v>
      </c>
      <c r="I246" s="279">
        <f t="shared" si="93"/>
        <v>0.82403433476394849</v>
      </c>
      <c r="J246" s="279">
        <f t="shared" si="93"/>
        <v>0.8138065143412736</v>
      </c>
      <c r="K246" s="279">
        <f t="shared" si="93"/>
        <v>0.8214285714285714</v>
      </c>
      <c r="L246" s="279">
        <f t="shared" si="93"/>
        <v>0.83174603174603168</v>
      </c>
      <c r="M246" s="279">
        <f t="shared" si="93"/>
        <v>0.83833333333333337</v>
      </c>
      <c r="N246" s="279">
        <f t="shared" si="93"/>
        <v>0.83626373626373618</v>
      </c>
      <c r="O246" s="279">
        <f t="shared" si="93"/>
        <v>0.84072622240561179</v>
      </c>
      <c r="P246" s="279">
        <f t="shared" si="93"/>
        <v>0.84056603773584904</v>
      </c>
      <c r="Q246" s="279">
        <f t="shared" si="93"/>
        <v>0.84099678456591631</v>
      </c>
      <c r="R246" s="279">
        <f t="shared" si="93"/>
        <v>0.84099290780141844</v>
      </c>
      <c r="S246" s="279">
        <f t="shared" si="93"/>
        <v>0.84096385542168672</v>
      </c>
      <c r="T246" s="279">
        <f t="shared" si="93"/>
        <v>0.84106382978723404</v>
      </c>
      <c r="U246" s="279">
        <f t="shared" si="93"/>
        <v>0.841046511627907</v>
      </c>
      <c r="V246" s="279">
        <f t="shared" si="93"/>
        <v>0.83600000000000008</v>
      </c>
      <c r="W246" s="279">
        <f t="shared" si="93"/>
        <v>0.84300970873786407</v>
      </c>
      <c r="X246" s="279">
        <f t="shared" si="93"/>
        <v>0.84300429184549364</v>
      </c>
      <c r="Y246" s="279">
        <f t="shared" si="93"/>
        <v>0.84499999999999997</v>
      </c>
      <c r="Z246" s="280">
        <f t="shared" si="93"/>
        <v>0.89647594448301915</v>
      </c>
      <c r="AA246" s="280">
        <f t="shared" si="93"/>
        <v>0.92576855624129195</v>
      </c>
      <c r="AB246" s="280">
        <f t="shared" si="93"/>
        <v>0.91190605313680617</v>
      </c>
      <c r="AC246" s="280">
        <f t="shared" si="93"/>
        <v>0.92800587305911897</v>
      </c>
    </row>
    <row r="247" spans="1:30">
      <c r="A247" s="247" t="s">
        <v>34</v>
      </c>
      <c r="B247" s="279">
        <f t="shared" si="93"/>
        <v>0.85150684931506859</v>
      </c>
      <c r="C247" s="279">
        <f t="shared" si="93"/>
        <v>0.82</v>
      </c>
      <c r="D247" s="279">
        <f t="shared" si="93"/>
        <v>0.79043478260869571</v>
      </c>
      <c r="E247" s="279">
        <f t="shared" si="93"/>
        <v>0.86839481555333997</v>
      </c>
      <c r="F247" s="279">
        <f t="shared" si="93"/>
        <v>0.81318681318681318</v>
      </c>
      <c r="G247" s="279">
        <f t="shared" si="93"/>
        <v>0.80769230769230771</v>
      </c>
      <c r="H247" s="279">
        <f t="shared" si="93"/>
        <v>0.80476190476190479</v>
      </c>
      <c r="I247" s="279">
        <f t="shared" si="93"/>
        <v>0.82403433476394849</v>
      </c>
      <c r="J247" s="279">
        <f t="shared" si="93"/>
        <v>0.81380651434127371</v>
      </c>
      <c r="K247" s="279">
        <f t="shared" si="93"/>
        <v>0.8214285714285714</v>
      </c>
      <c r="L247" s="279">
        <f t="shared" si="93"/>
        <v>0.83174603174603168</v>
      </c>
      <c r="M247" s="279">
        <f t="shared" si="93"/>
        <v>0.83833333333333337</v>
      </c>
      <c r="N247" s="279">
        <f t="shared" si="93"/>
        <v>0.83626373626373618</v>
      </c>
      <c r="O247" s="279">
        <f t="shared" si="93"/>
        <v>0.84072622240561179</v>
      </c>
      <c r="P247" s="279">
        <f t="shared" si="93"/>
        <v>0.84056603773584904</v>
      </c>
      <c r="Q247" s="279">
        <f t="shared" si="93"/>
        <v>0.84099678456591631</v>
      </c>
      <c r="R247" s="279">
        <f t="shared" si="93"/>
        <v>0.84099290780141844</v>
      </c>
      <c r="S247" s="279">
        <f t="shared" si="93"/>
        <v>0.84096385542168672</v>
      </c>
      <c r="T247" s="279">
        <f t="shared" si="93"/>
        <v>0.84106382978723393</v>
      </c>
      <c r="U247" s="279">
        <f t="shared" si="93"/>
        <v>0.841046511627907</v>
      </c>
      <c r="V247" s="279">
        <f t="shared" si="93"/>
        <v>0.83599999999999997</v>
      </c>
      <c r="W247" s="279">
        <f t="shared" si="93"/>
        <v>0.84300970873786407</v>
      </c>
      <c r="X247" s="279">
        <f t="shared" si="93"/>
        <v>0.84300429184549364</v>
      </c>
      <c r="Y247" s="279">
        <f t="shared" si="93"/>
        <v>0.84499999999999997</v>
      </c>
      <c r="Z247" s="280">
        <f t="shared" si="93"/>
        <v>0.86736739850823141</v>
      </c>
      <c r="AA247" s="280">
        <f t="shared" si="93"/>
        <v>0.90430707682825417</v>
      </c>
      <c r="AB247" s="280">
        <f t="shared" si="93"/>
        <v>0.87884114249079037</v>
      </c>
      <c r="AC247" s="280">
        <f t="shared" si="93"/>
        <v>0.90041997227677428</v>
      </c>
    </row>
    <row r="248" spans="1:30">
      <c r="A248" s="247" t="s">
        <v>35</v>
      </c>
      <c r="B248" s="279">
        <f t="shared" si="93"/>
        <v>0.85150684931506859</v>
      </c>
      <c r="C248" s="279">
        <f t="shared" si="93"/>
        <v>0.82000000000000006</v>
      </c>
      <c r="D248" s="279">
        <f t="shared" si="93"/>
        <v>0.79043478260869571</v>
      </c>
      <c r="E248" s="279">
        <f t="shared" ref="E248:AC248" si="94">E232+E121</f>
        <v>0.86839481555333997</v>
      </c>
      <c r="F248" s="279">
        <f t="shared" si="94"/>
        <v>0.81318681318681318</v>
      </c>
      <c r="G248" s="279">
        <f t="shared" si="94"/>
        <v>0.80769230769230771</v>
      </c>
      <c r="H248" s="279">
        <f t="shared" si="94"/>
        <v>0.80476190476190479</v>
      </c>
      <c r="I248" s="279">
        <f t="shared" si="94"/>
        <v>0.82403433476394849</v>
      </c>
      <c r="J248" s="279">
        <f t="shared" si="94"/>
        <v>0.81380651434127371</v>
      </c>
      <c r="K248" s="279">
        <f t="shared" si="94"/>
        <v>0.8214285714285714</v>
      </c>
      <c r="L248" s="279">
        <f t="shared" si="94"/>
        <v>0.83174603174603168</v>
      </c>
      <c r="M248" s="279">
        <f t="shared" si="94"/>
        <v>0.83833333333333337</v>
      </c>
      <c r="N248" s="279">
        <f t="shared" si="94"/>
        <v>0.83626373626373618</v>
      </c>
      <c r="O248" s="279">
        <f t="shared" si="94"/>
        <v>0.84072622240561168</v>
      </c>
      <c r="P248" s="279">
        <f t="shared" si="94"/>
        <v>0.84056603773584904</v>
      </c>
      <c r="Q248" s="279">
        <f t="shared" si="94"/>
        <v>0.84099678456591631</v>
      </c>
      <c r="R248" s="279">
        <f t="shared" si="94"/>
        <v>0.84099290780141844</v>
      </c>
      <c r="S248" s="279">
        <f t="shared" si="94"/>
        <v>0.84096385542168672</v>
      </c>
      <c r="T248" s="279">
        <f t="shared" si="94"/>
        <v>0.84106382978723404</v>
      </c>
      <c r="U248" s="279">
        <f t="shared" si="94"/>
        <v>0.84104651162790689</v>
      </c>
      <c r="V248" s="279">
        <f t="shared" si="94"/>
        <v>0.83600000000000008</v>
      </c>
      <c r="W248" s="279">
        <f t="shared" si="94"/>
        <v>0.84300970873786407</v>
      </c>
      <c r="X248" s="279">
        <f t="shared" si="94"/>
        <v>0.84300429184549364</v>
      </c>
      <c r="Y248" s="279">
        <f t="shared" si="94"/>
        <v>0.84499999999999997</v>
      </c>
      <c r="Z248" s="280">
        <f t="shared" si="94"/>
        <v>0.96907899958192356</v>
      </c>
      <c r="AA248" s="280">
        <f t="shared" si="94"/>
        <v>1.0169257491896082</v>
      </c>
      <c r="AB248" s="280">
        <f t="shared" si="94"/>
        <v>0.99222381872229759</v>
      </c>
      <c r="AC248" s="280">
        <f t="shared" si="94"/>
        <v>1.0324078194967159</v>
      </c>
    </row>
    <row r="249" spans="1:30">
      <c r="A249" s="247" t="s">
        <v>36</v>
      </c>
      <c r="B249" s="279">
        <f t="shared" ref="B249:AC251" si="95">B233+B122</f>
        <v>0.85150684931506859</v>
      </c>
      <c r="C249" s="279">
        <f t="shared" si="95"/>
        <v>0.82</v>
      </c>
      <c r="D249" s="279">
        <f t="shared" si="95"/>
        <v>0.79043478260869571</v>
      </c>
      <c r="E249" s="279">
        <f t="shared" si="95"/>
        <v>0.86839481555333997</v>
      </c>
      <c r="F249" s="279">
        <f t="shared" si="95"/>
        <v>0.81318681318681318</v>
      </c>
      <c r="G249" s="279">
        <f t="shared" si="95"/>
        <v>0.80769230769230771</v>
      </c>
      <c r="H249" s="279">
        <f t="shared" si="95"/>
        <v>0.80476190476190479</v>
      </c>
      <c r="I249" s="279">
        <f t="shared" si="95"/>
        <v>0.82403433476394849</v>
      </c>
      <c r="J249" s="279">
        <f t="shared" si="95"/>
        <v>0.81380651434127382</v>
      </c>
      <c r="K249" s="279">
        <f t="shared" si="95"/>
        <v>0.8214285714285714</v>
      </c>
      <c r="L249" s="279">
        <f t="shared" si="95"/>
        <v>0.83174603174603168</v>
      </c>
      <c r="M249" s="279">
        <f t="shared" si="95"/>
        <v>0.83833333333333337</v>
      </c>
      <c r="N249" s="279">
        <f t="shared" si="95"/>
        <v>0.83626373626373618</v>
      </c>
      <c r="O249" s="279">
        <f t="shared" si="95"/>
        <v>0.84072622240561179</v>
      </c>
      <c r="P249" s="279">
        <f t="shared" si="95"/>
        <v>0.84056603773584904</v>
      </c>
      <c r="Q249" s="279">
        <f t="shared" si="95"/>
        <v>0.84099678456591631</v>
      </c>
      <c r="R249" s="279">
        <f t="shared" si="95"/>
        <v>0.84099290780141844</v>
      </c>
      <c r="S249" s="279">
        <f t="shared" si="95"/>
        <v>0.84096385542168672</v>
      </c>
      <c r="T249" s="279">
        <f t="shared" si="95"/>
        <v>0.84106382978723415</v>
      </c>
      <c r="U249" s="279">
        <f t="shared" si="95"/>
        <v>0.841046511627907</v>
      </c>
      <c r="V249" s="279">
        <f t="shared" si="95"/>
        <v>0.83600000000000008</v>
      </c>
      <c r="W249" s="279">
        <f t="shared" si="95"/>
        <v>0.84300970873786407</v>
      </c>
      <c r="X249" s="279">
        <f t="shared" si="95"/>
        <v>0.84300429184549364</v>
      </c>
      <c r="Y249" s="279">
        <f t="shared" si="95"/>
        <v>0.84499999999999997</v>
      </c>
      <c r="Z249" s="280">
        <f t="shared" si="95"/>
        <v>1.0480000670645846</v>
      </c>
      <c r="AA249" s="280">
        <f t="shared" si="95"/>
        <v>1.8963962089646684</v>
      </c>
      <c r="AB249" s="280">
        <f t="shared" si="95"/>
        <v>1.580770087801836</v>
      </c>
      <c r="AC249" s="280">
        <f t="shared" si="95"/>
        <v>1.6600965282809557</v>
      </c>
    </row>
    <row r="250" spans="1:30">
      <c r="A250" s="247" t="s">
        <v>37</v>
      </c>
      <c r="B250" s="279">
        <f t="shared" si="95"/>
        <v>0.85150684931506859</v>
      </c>
      <c r="C250" s="279">
        <f t="shared" si="95"/>
        <v>0.82000000000000006</v>
      </c>
      <c r="D250" s="279">
        <f t="shared" si="95"/>
        <v>0.7904347826086956</v>
      </c>
      <c r="E250" s="279">
        <f t="shared" si="95"/>
        <v>0.86839481555333986</v>
      </c>
      <c r="F250" s="279">
        <f t="shared" si="95"/>
        <v>0.81318681318681318</v>
      </c>
      <c r="G250" s="279">
        <f t="shared" si="95"/>
        <v>0.80769230769230771</v>
      </c>
      <c r="H250" s="279">
        <f t="shared" si="95"/>
        <v>0.80476190476190479</v>
      </c>
      <c r="I250" s="279">
        <f t="shared" si="95"/>
        <v>0.82403433476394849</v>
      </c>
      <c r="J250" s="279">
        <f t="shared" si="95"/>
        <v>0.81380651434127371</v>
      </c>
      <c r="K250" s="279">
        <f t="shared" si="95"/>
        <v>0.8214285714285714</v>
      </c>
      <c r="L250" s="279">
        <f t="shared" si="95"/>
        <v>0.83174603174603168</v>
      </c>
      <c r="M250" s="279">
        <f t="shared" si="95"/>
        <v>0.83833333333333337</v>
      </c>
      <c r="N250" s="279">
        <f t="shared" si="95"/>
        <v>0.83626373626373618</v>
      </c>
      <c r="O250" s="279">
        <f t="shared" si="95"/>
        <v>0.84072622240561179</v>
      </c>
      <c r="P250" s="279">
        <f t="shared" si="95"/>
        <v>0.84056603773584904</v>
      </c>
      <c r="Q250" s="279">
        <f t="shared" si="95"/>
        <v>0.84099678456591631</v>
      </c>
      <c r="R250" s="279">
        <f t="shared" si="95"/>
        <v>0.84099290780141844</v>
      </c>
      <c r="S250" s="279">
        <f t="shared" si="95"/>
        <v>0.84096385542168672</v>
      </c>
      <c r="T250" s="279">
        <f t="shared" si="95"/>
        <v>0.84106382978723393</v>
      </c>
      <c r="U250" s="279">
        <f t="shared" si="95"/>
        <v>0.84104651162790711</v>
      </c>
      <c r="V250" s="279">
        <f t="shared" si="95"/>
        <v>0.83600000000000008</v>
      </c>
      <c r="W250" s="279">
        <f t="shared" si="95"/>
        <v>0.84300970873786407</v>
      </c>
      <c r="X250" s="279">
        <f t="shared" si="95"/>
        <v>0.84300429184549364</v>
      </c>
      <c r="Y250" s="279">
        <f t="shared" si="95"/>
        <v>0.84499999999999997</v>
      </c>
      <c r="Z250" s="280">
        <f t="shared" si="95"/>
        <v>0.56692096418042526</v>
      </c>
      <c r="AA250" s="280">
        <f t="shared" si="95"/>
        <v>1.0476102376706371</v>
      </c>
      <c r="AB250" s="280">
        <f t="shared" si="95"/>
        <v>0.96649492163807138</v>
      </c>
      <c r="AC250" s="280" t="e">
        <f t="shared" si="95"/>
        <v>#DIV/0!</v>
      </c>
    </row>
    <row r="251" spans="1:30" ht="15.75" thickBot="1">
      <c r="A251" s="247" t="s">
        <v>338</v>
      </c>
      <c r="B251" s="281">
        <f>B235+B124</f>
        <v>0.85150684931506859</v>
      </c>
      <c r="C251" s="281">
        <f t="shared" si="95"/>
        <v>0.82000000000000006</v>
      </c>
      <c r="D251" s="281">
        <f t="shared" si="95"/>
        <v>0.79043478260869571</v>
      </c>
      <c r="E251" s="281">
        <f t="shared" si="95"/>
        <v>0.86839481555333997</v>
      </c>
      <c r="F251" s="281">
        <f t="shared" si="95"/>
        <v>0.81318681318681318</v>
      </c>
      <c r="G251" s="281">
        <f t="shared" si="95"/>
        <v>0.80769230769230771</v>
      </c>
      <c r="H251" s="281">
        <f t="shared" si="95"/>
        <v>0.80476190476190479</v>
      </c>
      <c r="I251" s="281">
        <f t="shared" si="95"/>
        <v>0.82403433476394849</v>
      </c>
      <c r="J251" s="281">
        <f t="shared" si="95"/>
        <v>0.81380651434127371</v>
      </c>
      <c r="K251" s="281">
        <f t="shared" si="95"/>
        <v>0.8214285714285714</v>
      </c>
      <c r="L251" s="281">
        <f t="shared" si="95"/>
        <v>0.83174603174603168</v>
      </c>
      <c r="M251" s="281">
        <f t="shared" si="95"/>
        <v>0.83833333333333337</v>
      </c>
      <c r="N251" s="281">
        <f t="shared" si="95"/>
        <v>0.83626373626373618</v>
      </c>
      <c r="O251" s="281">
        <f t="shared" si="95"/>
        <v>0.84072622240561179</v>
      </c>
      <c r="P251" s="281">
        <f t="shared" si="95"/>
        <v>0.84056603773584904</v>
      </c>
      <c r="Q251" s="281">
        <f t="shared" si="95"/>
        <v>0.84099678456591631</v>
      </c>
      <c r="R251" s="281">
        <f t="shared" si="95"/>
        <v>0.84099290780141844</v>
      </c>
      <c r="S251" s="281">
        <f t="shared" si="95"/>
        <v>0.84096385542168672</v>
      </c>
      <c r="T251" s="281">
        <f t="shared" si="95"/>
        <v>0.84106382978723404</v>
      </c>
      <c r="U251" s="281">
        <f t="shared" si="95"/>
        <v>0.841046511627907</v>
      </c>
      <c r="V251" s="281">
        <f t="shared" si="95"/>
        <v>0.83600000000000008</v>
      </c>
      <c r="W251" s="281">
        <f t="shared" si="95"/>
        <v>0.84300970873786407</v>
      </c>
      <c r="X251" s="281">
        <f t="shared" si="95"/>
        <v>0.84300429184549364</v>
      </c>
      <c r="Y251" s="281">
        <f t="shared" si="95"/>
        <v>0.84499999999999997</v>
      </c>
      <c r="Z251" s="280">
        <f t="shared" si="95"/>
        <v>0.84299999999999997</v>
      </c>
      <c r="AA251" s="280">
        <f t="shared" si="95"/>
        <v>0.85076137098660054</v>
      </c>
      <c r="AB251" s="280">
        <f t="shared" si="95"/>
        <v>0.8503354974533508</v>
      </c>
      <c r="AC251" s="280">
        <f t="shared" si="95"/>
        <v>0.85137974780414716</v>
      </c>
    </row>
    <row r="252" spans="1:30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  <c r="AA252" s="271"/>
      <c r="AB252" s="271"/>
      <c r="AC252" s="271"/>
    </row>
    <row r="253" spans="1:30" ht="15.75" thickBot="1">
      <c r="A253" s="247" t="s">
        <v>400</v>
      </c>
    </row>
    <row r="254" spans="1:30" ht="15.75" thickBot="1">
      <c r="A254" s="263"/>
      <c r="B254" s="235" t="str">
        <f>B$2</f>
        <v xml:space="preserve">93/94 </v>
      </c>
      <c r="C254" s="235" t="str">
        <f t="shared" ref="C254:AC254" si="96">C$2</f>
        <v xml:space="preserve">94/95 </v>
      </c>
      <c r="D254" s="235" t="str">
        <f t="shared" si="96"/>
        <v xml:space="preserve">95/96 </v>
      </c>
      <c r="E254" s="235" t="str">
        <f t="shared" si="96"/>
        <v xml:space="preserve">96/97 </v>
      </c>
      <c r="F254" s="235" t="str">
        <f t="shared" si="96"/>
        <v xml:space="preserve">97/98 </v>
      </c>
      <c r="G254" s="235" t="str">
        <f t="shared" si="96"/>
        <v xml:space="preserve">98/99 </v>
      </c>
      <c r="H254" s="235" t="str">
        <f t="shared" si="96"/>
        <v xml:space="preserve">99/00 </v>
      </c>
      <c r="I254" s="235" t="str">
        <f t="shared" si="96"/>
        <v xml:space="preserve">00/01 </v>
      </c>
      <c r="J254" s="235" t="str">
        <f t="shared" si="96"/>
        <v xml:space="preserve">01/02 </v>
      </c>
      <c r="K254" s="235" t="str">
        <f t="shared" si="96"/>
        <v xml:space="preserve">02/03 </v>
      </c>
      <c r="L254" s="235" t="str">
        <f t="shared" si="96"/>
        <v xml:space="preserve">03/04 </v>
      </c>
      <c r="M254" s="235" t="str">
        <f t="shared" si="96"/>
        <v xml:space="preserve">04/05 </v>
      </c>
      <c r="N254" s="235" t="str">
        <f t="shared" si="96"/>
        <v xml:space="preserve">05/06 </v>
      </c>
      <c r="O254" s="235" t="str">
        <f t="shared" si="96"/>
        <v xml:space="preserve">06/07 </v>
      </c>
      <c r="P254" s="235" t="str">
        <f t="shared" si="96"/>
        <v xml:space="preserve">07/08 </v>
      </c>
      <c r="Q254" s="235" t="str">
        <f t="shared" si="96"/>
        <v xml:space="preserve">08/09 </v>
      </c>
      <c r="R254" s="235" t="str">
        <f t="shared" si="96"/>
        <v xml:space="preserve">09/10 </v>
      </c>
      <c r="S254" s="235" t="str">
        <f t="shared" si="96"/>
        <v xml:space="preserve">10/11 </v>
      </c>
      <c r="T254" s="235" t="str">
        <f t="shared" si="96"/>
        <v xml:space="preserve">11/12 </v>
      </c>
      <c r="U254" s="235" t="str">
        <f t="shared" si="96"/>
        <v xml:space="preserve">12/13 </v>
      </c>
      <c r="V254" s="235" t="str">
        <f t="shared" si="96"/>
        <v xml:space="preserve">13/14 </v>
      </c>
      <c r="W254" s="235" t="str">
        <f t="shared" si="96"/>
        <v xml:space="preserve">14/15 </v>
      </c>
      <c r="X254" s="235" t="str">
        <f t="shared" si="96"/>
        <v xml:space="preserve">15/16 </v>
      </c>
      <c r="Y254" s="235" t="str">
        <f t="shared" si="96"/>
        <v xml:space="preserve">16/17 </v>
      </c>
      <c r="Z254" s="235" t="str">
        <f t="shared" si="96"/>
        <v xml:space="preserve">17/18 </v>
      </c>
      <c r="AA254" s="235" t="str">
        <f t="shared" si="96"/>
        <v xml:space="preserve">18/19 </v>
      </c>
      <c r="AB254" s="235" t="str">
        <f t="shared" si="96"/>
        <v xml:space="preserve">19/20 </v>
      </c>
      <c r="AC254" s="235" t="str">
        <f t="shared" si="96"/>
        <v xml:space="preserve">20/21 </v>
      </c>
      <c r="AD254" s="288"/>
    </row>
    <row r="255" spans="1:30">
      <c r="A255" s="247" t="s">
        <v>38</v>
      </c>
      <c r="B255" s="264">
        <f>(SUM(K255:O255)/SUM(K$267:O$267))*B$267</f>
        <v>0</v>
      </c>
      <c r="C255" s="264">
        <f>(SUM(L255:P255)/SUM(L$267:P$267))*C$267</f>
        <v>1.0135135135135136</v>
      </c>
      <c r="D255" s="264">
        <f t="shared" ref="D255:I255" si="97">(SUM(M255:Q255)/SUM(M$267:Q$267))*D$267</f>
        <v>0</v>
      </c>
      <c r="E255" s="264">
        <f t="shared" si="97"/>
        <v>0.85956844711708524</v>
      </c>
      <c r="F255" s="264">
        <f t="shared" si="97"/>
        <v>0.4511278195488721</v>
      </c>
      <c r="G255" s="264">
        <f t="shared" si="97"/>
        <v>1.1379516869634656</v>
      </c>
      <c r="H255" s="264">
        <f t="shared" si="97"/>
        <v>0</v>
      </c>
      <c r="I255" s="264">
        <f t="shared" si="97"/>
        <v>0</v>
      </c>
      <c r="J255" s="265">
        <f>'[5]Indonesia Coconut Oil Imports'!DT$290</f>
        <v>0</v>
      </c>
      <c r="K255" s="265">
        <v>0.01</v>
      </c>
      <c r="L255" s="265">
        <v>0</v>
      </c>
      <c r="M255" s="265">
        <v>0.72599999999999998</v>
      </c>
      <c r="N255" s="265">
        <v>3.0000000000000001E-3</v>
      </c>
      <c r="O255" s="265">
        <v>2E-3</v>
      </c>
      <c r="P255" s="265">
        <v>1.9E-2</v>
      </c>
      <c r="Q255" s="265">
        <v>1E-3</v>
      </c>
      <c r="R255" s="265">
        <v>5.6000000000000001E-2</v>
      </c>
      <c r="S255" s="265">
        <v>3.7999999999999999E-2</v>
      </c>
      <c r="T255" s="265">
        <v>7.5999999999999998E-2</v>
      </c>
      <c r="U255" s="265">
        <v>0.121</v>
      </c>
      <c r="V255" s="265">
        <v>0.121</v>
      </c>
      <c r="W255" s="265">
        <v>9.5000000000000001E-2</v>
      </c>
      <c r="X255" s="265">
        <v>0.114</v>
      </c>
      <c r="Y255" s="265">
        <v>1.9E-2</v>
      </c>
      <c r="Z255" s="265">
        <v>1E-3</v>
      </c>
      <c r="AA255" s="266">
        <f>(SUM(U255:Y255)/SUM(U$267:Y$267))*AA$267</f>
        <v>8.0286983259309885E-2</v>
      </c>
      <c r="AB255" s="266">
        <f t="shared" ref="AB255:AB265" si="98">(SUM(V255:Z255)/SUM(V$267:Z$267))*AB$267</f>
        <v>6.5494011976047914E-2</v>
      </c>
      <c r="AC255" s="266">
        <f t="shared" ref="AC255:AC265" si="99">(SUM(W255:AA255)/SUM(W$267:AA$267))*AC$267</f>
        <v>6.3404465612814667E-2</v>
      </c>
    </row>
    <row r="256" spans="1:30">
      <c r="A256" s="247" t="s">
        <v>39</v>
      </c>
      <c r="B256" s="264">
        <f t="shared" ref="B256:I266" si="100">(SUM(K256:O256)/SUM(K$267:O$267))*B$267</f>
        <v>0</v>
      </c>
      <c r="C256" s="264">
        <f t="shared" si="100"/>
        <v>0.7108108108108111</v>
      </c>
      <c r="D256" s="264">
        <f t="shared" si="100"/>
        <v>0</v>
      </c>
      <c r="E256" s="264">
        <f t="shared" si="100"/>
        <v>0.54120976299964618</v>
      </c>
      <c r="F256" s="264">
        <f t="shared" si="100"/>
        <v>0.56390977443609014</v>
      </c>
      <c r="G256" s="264">
        <f t="shared" si="100"/>
        <v>1.4733479736474344</v>
      </c>
      <c r="H256" s="264">
        <f t="shared" si="100"/>
        <v>0</v>
      </c>
      <c r="I256" s="264">
        <f t="shared" si="100"/>
        <v>0</v>
      </c>
      <c r="J256" s="265">
        <f>'[5]Indonesia Coconut Oil Imports'!DU$290</f>
        <v>0</v>
      </c>
      <c r="K256" s="265">
        <v>3.0000000000000001E-3</v>
      </c>
      <c r="L256" s="265">
        <v>7.0000000000000001E-3</v>
      </c>
      <c r="M256" s="265">
        <v>0.50600000000000001</v>
      </c>
      <c r="N256" s="265">
        <v>0</v>
      </c>
      <c r="O256" s="265">
        <v>1.0999999999999999E-2</v>
      </c>
      <c r="P256" s="265">
        <v>2E-3</v>
      </c>
      <c r="Q256" s="265">
        <v>0</v>
      </c>
      <c r="R256" s="265">
        <v>3.7999999999999999E-2</v>
      </c>
      <c r="S256" s="265">
        <v>9.4E-2</v>
      </c>
      <c r="T256" s="265">
        <v>0.112</v>
      </c>
      <c r="U256" s="265">
        <v>0.114</v>
      </c>
      <c r="V256" s="265">
        <v>0.113</v>
      </c>
      <c r="W256" s="265">
        <v>9.5000000000000001E-2</v>
      </c>
      <c r="X256" s="265">
        <v>0.13200000000000001</v>
      </c>
      <c r="Y256" s="265">
        <v>0.17499999999999999</v>
      </c>
      <c r="Z256" s="265">
        <v>4.5999999999999999E-2</v>
      </c>
      <c r="AA256" s="266">
        <f>(SUM(U256:Y256)/SUM(U$267:Y$267))*AA$267</f>
        <v>0.10744789887256578</v>
      </c>
      <c r="AB256" s="266">
        <f t="shared" si="98"/>
        <v>0.10497754491017966</v>
      </c>
      <c r="AC256" s="266">
        <f t="shared" si="99"/>
        <v>0.11386795794845546</v>
      </c>
    </row>
    <row r="257" spans="1:30">
      <c r="A257" s="247" t="s">
        <v>40</v>
      </c>
      <c r="B257" s="264">
        <f t="shared" si="100"/>
        <v>0</v>
      </c>
      <c r="C257" s="264">
        <f t="shared" si="100"/>
        <v>0.11756756756756759</v>
      </c>
      <c r="D257" s="264">
        <f t="shared" si="100"/>
        <v>0</v>
      </c>
      <c r="E257" s="264">
        <f t="shared" si="100"/>
        <v>2.759108595684471</v>
      </c>
      <c r="F257" s="264">
        <f t="shared" si="100"/>
        <v>1.462276380606689</v>
      </c>
      <c r="G257" s="264">
        <f t="shared" si="100"/>
        <v>3.2162108205230577</v>
      </c>
      <c r="H257" s="264">
        <f t="shared" si="100"/>
        <v>0</v>
      </c>
      <c r="I257" s="264">
        <f t="shared" si="100"/>
        <v>0</v>
      </c>
      <c r="J257" s="265">
        <f>'[5]Indonesia Coconut Oil Imports'!DV$290</f>
        <v>0</v>
      </c>
      <c r="K257" s="265">
        <v>1.4999999999999999E-2</v>
      </c>
      <c r="L257" s="265">
        <v>1.2999999999999999E-2</v>
      </c>
      <c r="M257" s="265">
        <v>1.4E-2</v>
      </c>
      <c r="N257" s="265">
        <v>3.4000000000000002E-2</v>
      </c>
      <c r="O257" s="265">
        <v>1.6E-2</v>
      </c>
      <c r="P257" s="265">
        <v>0.01</v>
      </c>
      <c r="Q257" s="265">
        <v>0</v>
      </c>
      <c r="R257" s="265">
        <v>0.2</v>
      </c>
      <c r="S257" s="265">
        <v>0.15</v>
      </c>
      <c r="T257" s="265">
        <v>0.17699999999999999</v>
      </c>
      <c r="U257" s="265">
        <v>0.19600000000000001</v>
      </c>
      <c r="V257" s="265">
        <v>0.155</v>
      </c>
      <c r="W257" s="265">
        <v>0.16</v>
      </c>
      <c r="X257" s="265">
        <v>0.20399999999999999</v>
      </c>
      <c r="Y257" s="265">
        <v>3.1E-2</v>
      </c>
      <c r="Z257" s="265">
        <v>3.4000000000000002E-2</v>
      </c>
      <c r="AA257" s="266">
        <f>(SUM(U257:Y257)/SUM(U$267:Y$267))*AA$267</f>
        <v>0.12743423300307483</v>
      </c>
      <c r="AB257" s="266">
        <f t="shared" si="98"/>
        <v>0.10928143712574853</v>
      </c>
      <c r="AC257" s="266">
        <f t="shared" si="99"/>
        <v>0.11407015846721504</v>
      </c>
    </row>
    <row r="258" spans="1:30">
      <c r="A258" s="247" t="s">
        <v>30</v>
      </c>
      <c r="B258" s="264">
        <f t="shared" si="100"/>
        <v>0</v>
      </c>
      <c r="C258" s="264">
        <f t="shared" si="100"/>
        <v>5.2702702702702713E-2</v>
      </c>
      <c r="D258" s="264">
        <f t="shared" si="100"/>
        <v>0</v>
      </c>
      <c r="E258" s="264">
        <f t="shared" si="100"/>
        <v>0.29713477184294307</v>
      </c>
      <c r="F258" s="264">
        <f t="shared" si="100"/>
        <v>0.29556650246305416</v>
      </c>
      <c r="G258" s="264">
        <f t="shared" si="100"/>
        <v>0.80854461968456781</v>
      </c>
      <c r="H258" s="264">
        <f t="shared" si="100"/>
        <v>0</v>
      </c>
      <c r="I258" s="264">
        <f t="shared" si="100"/>
        <v>0</v>
      </c>
      <c r="J258" s="265">
        <v>1.2999999999999999E-2</v>
      </c>
      <c r="K258" s="265">
        <v>0.26800000000000002</v>
      </c>
      <c r="L258" s="265">
        <v>2.1000000000000001E-2</v>
      </c>
      <c r="M258" s="265">
        <v>8.9999999999999993E-3</v>
      </c>
      <c r="N258" s="265">
        <v>7.0000000000000001E-3</v>
      </c>
      <c r="O258" s="265">
        <v>2E-3</v>
      </c>
      <c r="P258" s="265">
        <v>0</v>
      </c>
      <c r="Q258" s="265">
        <v>0</v>
      </c>
      <c r="R258" s="265">
        <v>1.9E-2</v>
      </c>
      <c r="S258" s="265">
        <v>5.5E-2</v>
      </c>
      <c r="T258" s="265">
        <v>6.0999999999999999E-2</v>
      </c>
      <c r="U258" s="265">
        <v>7.1999999999999995E-2</v>
      </c>
      <c r="V258" s="265">
        <v>3.9E-2</v>
      </c>
      <c r="W258" s="265">
        <v>0.111</v>
      </c>
      <c r="X258" s="265">
        <v>0.18</v>
      </c>
      <c r="Y258" s="265">
        <v>4.3999999999999997E-2</v>
      </c>
      <c r="Z258" s="265">
        <v>0.24199999999999999</v>
      </c>
      <c r="AA258" s="266">
        <f>(SUM(U258:Y258)/SUM(U$267:Y$267))*AA$267</f>
        <v>7.6187222412025968E-2</v>
      </c>
      <c r="AB258" s="266">
        <f t="shared" si="98"/>
        <v>0.1152694610778443</v>
      </c>
      <c r="AC258" s="266">
        <f t="shared" si="99"/>
        <v>0.13390471964166173</v>
      </c>
    </row>
    <row r="259" spans="1:30">
      <c r="A259" s="247" t="s">
        <v>31</v>
      </c>
      <c r="B259" s="264">
        <f t="shared" si="100"/>
        <v>0</v>
      </c>
      <c r="C259" s="264">
        <f t="shared" si="100"/>
        <v>4.8648648648648665E-2</v>
      </c>
      <c r="D259" s="264">
        <f t="shared" si="100"/>
        <v>0</v>
      </c>
      <c r="E259" s="264">
        <f t="shared" si="100"/>
        <v>0.75344888574460567</v>
      </c>
      <c r="F259" s="264">
        <f t="shared" si="100"/>
        <v>0.65335753176043554</v>
      </c>
      <c r="G259" s="264">
        <f t="shared" si="100"/>
        <v>1.5452186065082849</v>
      </c>
      <c r="H259" s="264">
        <f t="shared" si="100"/>
        <v>0</v>
      </c>
      <c r="I259" s="264">
        <f t="shared" si="100"/>
        <v>0</v>
      </c>
      <c r="J259" s="265">
        <v>8.9999999999999993E-3</v>
      </c>
      <c r="K259" s="265">
        <v>0.25700000000000001</v>
      </c>
      <c r="L259" s="265">
        <v>1.9E-2</v>
      </c>
      <c r="M259" s="265">
        <v>2E-3</v>
      </c>
      <c r="N259" s="265">
        <v>1E-3</v>
      </c>
      <c r="O259" s="265">
        <v>1.2E-2</v>
      </c>
      <c r="P259" s="265">
        <v>2E-3</v>
      </c>
      <c r="Q259" s="265">
        <v>0</v>
      </c>
      <c r="R259" s="265">
        <v>5.6000000000000001E-2</v>
      </c>
      <c r="S259" s="265">
        <v>9.8000000000000004E-2</v>
      </c>
      <c r="T259" s="265">
        <v>0.10199999999999999</v>
      </c>
      <c r="U259" s="265">
        <v>0.11600000000000001</v>
      </c>
      <c r="V259" s="265">
        <v>9.6000000000000002E-2</v>
      </c>
      <c r="W259" s="265">
        <v>0.12</v>
      </c>
      <c r="X259" s="265">
        <v>6.5000000000000002E-2</v>
      </c>
      <c r="Y259" s="265">
        <v>3.0000000000000001E-3</v>
      </c>
      <c r="Z259" s="265">
        <v>0.114</v>
      </c>
      <c r="AA259" s="266">
        <f>(SUM(U259:Y259)/SUM(U$267:Y$267))*AA$267</f>
        <v>6.832934745473182E-2</v>
      </c>
      <c r="AB259" s="266">
        <f t="shared" si="98"/>
        <v>7.4476047904191628E-2</v>
      </c>
      <c r="AC259" s="266">
        <f t="shared" si="99"/>
        <v>7.5918275410974123E-2</v>
      </c>
    </row>
    <row r="260" spans="1:30">
      <c r="A260" s="247" t="s">
        <v>32</v>
      </c>
      <c r="B260" s="264">
        <f t="shared" si="100"/>
        <v>0</v>
      </c>
      <c r="C260" s="264">
        <f t="shared" si="100"/>
        <v>4.8648648648648665E-2</v>
      </c>
      <c r="D260" s="264">
        <f t="shared" si="100"/>
        <v>0</v>
      </c>
      <c r="E260" s="264">
        <f t="shared" si="100"/>
        <v>1.1991510435090202</v>
      </c>
      <c r="F260" s="264">
        <f t="shared" si="100"/>
        <v>0.76225045372050815</v>
      </c>
      <c r="G260" s="264">
        <f t="shared" si="100"/>
        <v>1.7248951886604114</v>
      </c>
      <c r="H260" s="264">
        <f t="shared" si="100"/>
        <v>0</v>
      </c>
      <c r="I260" s="264">
        <f t="shared" si="100"/>
        <v>0</v>
      </c>
      <c r="J260" s="265">
        <v>8.9999999999999993E-3</v>
      </c>
      <c r="K260" s="265">
        <v>0.35199999999999998</v>
      </c>
      <c r="L260" s="265">
        <v>1.2999999999999999E-2</v>
      </c>
      <c r="M260" s="265">
        <v>0.02</v>
      </c>
      <c r="N260" s="265">
        <v>0</v>
      </c>
      <c r="O260" s="265">
        <v>3.0000000000000001E-3</v>
      </c>
      <c r="P260" s="265">
        <v>0</v>
      </c>
      <c r="Q260" s="265">
        <v>0</v>
      </c>
      <c r="R260" s="265">
        <v>0.11</v>
      </c>
      <c r="S260" s="265">
        <v>8.3000000000000004E-2</v>
      </c>
      <c r="T260" s="265">
        <v>9.5000000000000001E-2</v>
      </c>
      <c r="U260" s="265">
        <v>9.2999999999999999E-2</v>
      </c>
      <c r="V260" s="265">
        <v>0.17399999999999999</v>
      </c>
      <c r="W260" s="265">
        <v>0.14000000000000001</v>
      </c>
      <c r="X260" s="265">
        <v>5.5E-2</v>
      </c>
      <c r="Y260" s="265">
        <v>5.0000000000000001E-3</v>
      </c>
      <c r="Z260" s="265">
        <v>0</v>
      </c>
      <c r="AA260" s="266">
        <f t="shared" ref="Z260:AA265" si="101">(SUM(U260:Y260)/SUM(U$267:Y$267))*AA$267</f>
        <v>7.9774513153399396E-2</v>
      </c>
      <c r="AB260" s="266">
        <f t="shared" si="98"/>
        <v>6.9985029940119764E-2</v>
      </c>
      <c r="AC260" s="266">
        <f t="shared" si="99"/>
        <v>5.7354348739934273E-2</v>
      </c>
    </row>
    <row r="261" spans="1:30">
      <c r="A261" s="247" t="s">
        <v>33</v>
      </c>
      <c r="B261" s="264">
        <f t="shared" si="100"/>
        <v>0</v>
      </c>
      <c r="C261" s="264">
        <f t="shared" si="100"/>
        <v>8.2432432432432437E-2</v>
      </c>
      <c r="D261" s="264">
        <f t="shared" si="100"/>
        <v>0</v>
      </c>
      <c r="E261" s="264">
        <f t="shared" si="100"/>
        <v>1.5917934205871949</v>
      </c>
      <c r="F261" s="264">
        <f t="shared" si="100"/>
        <v>0.9722582317863625</v>
      </c>
      <c r="G261" s="264">
        <f t="shared" si="100"/>
        <v>2.4076662008384906</v>
      </c>
      <c r="H261" s="264">
        <f t="shared" si="100"/>
        <v>0</v>
      </c>
      <c r="I261" s="264">
        <f t="shared" si="100"/>
        <v>0</v>
      </c>
      <c r="J261" s="265">
        <v>8.0000000000000002E-3</v>
      </c>
      <c r="K261" s="265">
        <v>0.35899999999999999</v>
      </c>
      <c r="L261" s="265">
        <v>2.4E-2</v>
      </c>
      <c r="M261" s="265">
        <v>0.02</v>
      </c>
      <c r="N261" s="265">
        <v>1.2999999999999999E-2</v>
      </c>
      <c r="O261" s="265">
        <v>1E-3</v>
      </c>
      <c r="P261" s="265">
        <v>3.0000000000000001E-3</v>
      </c>
      <c r="Q261" s="265">
        <v>0</v>
      </c>
      <c r="R261" s="265">
        <v>0.13300000000000001</v>
      </c>
      <c r="S261" s="265">
        <v>0.113</v>
      </c>
      <c r="T261" s="265">
        <v>0.153</v>
      </c>
      <c r="U261" s="265">
        <v>0.17100000000000001</v>
      </c>
      <c r="V261" s="265">
        <v>0.112</v>
      </c>
      <c r="W261" s="265">
        <v>0.114</v>
      </c>
      <c r="X261" s="265">
        <v>5.5E-2</v>
      </c>
      <c r="Y261" s="265">
        <v>0</v>
      </c>
      <c r="Z261" s="266">
        <f t="shared" si="101"/>
        <v>8.6713487172137033E-2</v>
      </c>
      <c r="AA261" s="266">
        <f t="shared" si="101"/>
        <v>7.7212162623846961E-2</v>
      </c>
      <c r="AB261" s="266">
        <f t="shared" si="98"/>
        <v>6.8808661521732234E-2</v>
      </c>
      <c r="AC261" s="266">
        <f t="shared" si="99"/>
        <v>6.8250440712583849E-2</v>
      </c>
    </row>
    <row r="262" spans="1:30">
      <c r="A262" s="247" t="s">
        <v>14</v>
      </c>
      <c r="B262" s="264">
        <f t="shared" si="100"/>
        <v>0</v>
      </c>
      <c r="C262" s="264">
        <f t="shared" si="100"/>
        <v>1.0810810810810813E-2</v>
      </c>
      <c r="D262" s="264">
        <f t="shared" si="100"/>
        <v>0</v>
      </c>
      <c r="E262" s="264">
        <f t="shared" si="100"/>
        <v>1.804032543332154</v>
      </c>
      <c r="F262" s="264">
        <f t="shared" si="100"/>
        <v>0.96448016593207142</v>
      </c>
      <c r="G262" s="264">
        <f t="shared" si="100"/>
        <v>2.4735476142942701</v>
      </c>
      <c r="H262" s="264">
        <f t="shared" si="100"/>
        <v>0</v>
      </c>
      <c r="I262" s="264">
        <f t="shared" si="100"/>
        <v>0</v>
      </c>
      <c r="J262" s="265">
        <v>2E-3</v>
      </c>
      <c r="K262" s="265">
        <v>3.0000000000000001E-3</v>
      </c>
      <c r="L262" s="265">
        <v>2E-3</v>
      </c>
      <c r="M262" s="265">
        <v>5.0000000000000001E-3</v>
      </c>
      <c r="N262" s="265">
        <v>0</v>
      </c>
      <c r="O262" s="265">
        <v>0</v>
      </c>
      <c r="P262" s="265">
        <v>1E-3</v>
      </c>
      <c r="Q262" s="265">
        <v>9.4E-2</v>
      </c>
      <c r="R262" s="265">
        <v>7.4999999999999997E-2</v>
      </c>
      <c r="S262" s="265">
        <v>7.8E-2</v>
      </c>
      <c r="T262" s="265">
        <v>0.16500000000000001</v>
      </c>
      <c r="U262" s="265">
        <v>7.8E-2</v>
      </c>
      <c r="V262" s="265">
        <v>0.121</v>
      </c>
      <c r="W262" s="265">
        <v>0.15</v>
      </c>
      <c r="X262" s="265">
        <v>7.0000000000000007E-2</v>
      </c>
      <c r="Y262" s="265">
        <v>0</v>
      </c>
      <c r="Z262" s="266">
        <f t="shared" si="101"/>
        <v>8.3703597534757063E-2</v>
      </c>
      <c r="AA262" s="266">
        <f t="shared" si="101"/>
        <v>7.1574991458831574E-2</v>
      </c>
      <c r="AB262" s="266">
        <f t="shared" si="98"/>
        <v>7.9472978580605744E-2</v>
      </c>
      <c r="AC262" s="266">
        <f t="shared" si="99"/>
        <v>7.6932880072486387E-2</v>
      </c>
    </row>
    <row r="263" spans="1:30">
      <c r="A263" s="247" t="s">
        <v>34</v>
      </c>
      <c r="B263" s="264">
        <f t="shared" si="100"/>
        <v>0</v>
      </c>
      <c r="C263" s="264">
        <f t="shared" si="100"/>
        <v>1.5959459459459464</v>
      </c>
      <c r="D263" s="264">
        <f t="shared" si="100"/>
        <v>0</v>
      </c>
      <c r="E263" s="264">
        <f t="shared" si="100"/>
        <v>3.5868411743898125</v>
      </c>
      <c r="F263" s="264">
        <f t="shared" si="100"/>
        <v>1.7578428830697432</v>
      </c>
      <c r="G263" s="264">
        <f t="shared" si="100"/>
        <v>2.1800758634457971</v>
      </c>
      <c r="H263" s="264">
        <f t="shared" si="100"/>
        <v>0</v>
      </c>
      <c r="I263" s="264">
        <f t="shared" si="100"/>
        <v>0</v>
      </c>
      <c r="J263" s="265">
        <v>1.0999999999999999E-2</v>
      </c>
      <c r="K263" s="265">
        <v>6.0000000000000001E-3</v>
      </c>
      <c r="L263" s="265">
        <v>2E-3</v>
      </c>
      <c r="M263" s="265">
        <v>0.98399999999999999</v>
      </c>
      <c r="N263" s="265">
        <v>0</v>
      </c>
      <c r="O263" s="265">
        <v>0.19500000000000001</v>
      </c>
      <c r="P263" s="265">
        <v>0</v>
      </c>
      <c r="Q263" s="265">
        <v>6.8000000000000005E-2</v>
      </c>
      <c r="R263" s="265">
        <v>7.4999999999999997E-2</v>
      </c>
      <c r="S263" s="265">
        <v>0.114</v>
      </c>
      <c r="T263" s="265">
        <v>0.107</v>
      </c>
      <c r="U263" s="265">
        <v>0.112</v>
      </c>
      <c r="V263" s="265">
        <v>0.11600000000000001</v>
      </c>
      <c r="W263" s="265">
        <v>0.16500000000000001</v>
      </c>
      <c r="X263" s="265">
        <v>5.8999999999999997E-2</v>
      </c>
      <c r="Y263" s="265">
        <v>6.0000000000000001E-3</v>
      </c>
      <c r="Z263" s="266">
        <f t="shared" si="101"/>
        <v>8.0120395585495191E-2</v>
      </c>
      <c r="AA263" s="266">
        <f t="shared" si="101"/>
        <v>7.8237102835667927E-2</v>
      </c>
      <c r="AB263" s="266">
        <f t="shared" si="98"/>
        <v>7.9738097976327707E-2</v>
      </c>
      <c r="AC263" s="266">
        <f t="shared" si="99"/>
        <v>7.9614083317171611E-2</v>
      </c>
    </row>
    <row r="264" spans="1:30">
      <c r="A264" s="247" t="s">
        <v>35</v>
      </c>
      <c r="B264" s="264">
        <f t="shared" si="100"/>
        <v>0</v>
      </c>
      <c r="C264" s="264">
        <f t="shared" si="100"/>
        <v>0.74864864864864888</v>
      </c>
      <c r="D264" s="264">
        <f t="shared" si="100"/>
        <v>0</v>
      </c>
      <c r="E264" s="264">
        <f t="shared" si="100"/>
        <v>7.576936681995047</v>
      </c>
      <c r="F264" s="264">
        <f t="shared" si="100"/>
        <v>3.1540057039149594</v>
      </c>
      <c r="G264" s="264">
        <f t="shared" si="100"/>
        <v>5.7197045318426829</v>
      </c>
      <c r="H264" s="264">
        <f t="shared" si="100"/>
        <v>0</v>
      </c>
      <c r="I264" s="264">
        <f t="shared" si="100"/>
        <v>0</v>
      </c>
      <c r="J264" s="265">
        <v>7.0000000000000001E-3</v>
      </c>
      <c r="K264" s="265">
        <v>2.4E-2</v>
      </c>
      <c r="L264" s="265">
        <v>0.02</v>
      </c>
      <c r="M264" s="265">
        <v>4.0000000000000001E-3</v>
      </c>
      <c r="N264" s="265">
        <v>0</v>
      </c>
      <c r="O264" s="265">
        <v>1E-3</v>
      </c>
      <c r="P264" s="265">
        <v>0.52900000000000003</v>
      </c>
      <c r="Q264" s="265">
        <v>0.09</v>
      </c>
      <c r="R264" s="265">
        <v>9.4E-2</v>
      </c>
      <c r="S264" s="265">
        <v>9.7000000000000003E-2</v>
      </c>
      <c r="T264" s="265">
        <v>0.14499999999999999</v>
      </c>
      <c r="U264" s="265">
        <v>0.14399999999999999</v>
      </c>
      <c r="V264" s="265">
        <v>0.112</v>
      </c>
      <c r="W264" s="265">
        <v>0.155</v>
      </c>
      <c r="X264" s="265">
        <v>2.1000000000000001E-2</v>
      </c>
      <c r="Y264" s="265">
        <v>0.01</v>
      </c>
      <c r="Z264" s="266">
        <f t="shared" si="101"/>
        <v>8.2700300988963735E-2</v>
      </c>
      <c r="AA264" s="266">
        <f t="shared" si="101"/>
        <v>7.5503928937478662E-2</v>
      </c>
      <c r="AB264" s="266">
        <f t="shared" si="98"/>
        <v>7.1238828777874963E-2</v>
      </c>
      <c r="AC264" s="266">
        <f t="shared" si="99"/>
        <v>7.0562572760648298E-2</v>
      </c>
    </row>
    <row r="265" spans="1:30">
      <c r="A265" s="247" t="s">
        <v>36</v>
      </c>
      <c r="B265" s="264">
        <f t="shared" si="100"/>
        <v>0</v>
      </c>
      <c r="C265" s="264">
        <f t="shared" si="100"/>
        <v>0.46081081081081088</v>
      </c>
      <c r="D265" s="264">
        <f t="shared" si="100"/>
        <v>0</v>
      </c>
      <c r="E265" s="264">
        <f t="shared" si="100"/>
        <v>5.4014856738592147</v>
      </c>
      <c r="F265" s="264">
        <f t="shared" si="100"/>
        <v>2.4112004148301787</v>
      </c>
      <c r="G265" s="264">
        <f t="shared" si="100"/>
        <v>4.4799361149930128</v>
      </c>
      <c r="H265" s="264">
        <f t="shared" si="100"/>
        <v>0</v>
      </c>
      <c r="I265" s="264">
        <f t="shared" si="100"/>
        <v>0</v>
      </c>
      <c r="J265" s="265">
        <v>0</v>
      </c>
      <c r="K265" s="265">
        <v>3.0000000000000001E-3</v>
      </c>
      <c r="L265" s="265">
        <v>0.01</v>
      </c>
      <c r="M265" s="265">
        <v>1.7999999999999999E-2</v>
      </c>
      <c r="N265" s="265">
        <v>3.0000000000000001E-3</v>
      </c>
      <c r="O265" s="265">
        <v>3.0000000000000001E-3</v>
      </c>
      <c r="P265" s="265">
        <v>0.307</v>
      </c>
      <c r="Q265" s="265">
        <v>0.107</v>
      </c>
      <c r="R265" s="265">
        <v>8.8999999999999996E-2</v>
      </c>
      <c r="S265" s="265">
        <v>0.114</v>
      </c>
      <c r="T265" s="265">
        <v>0.13100000000000001</v>
      </c>
      <c r="U265" s="265">
        <v>0.152</v>
      </c>
      <c r="V265" s="265">
        <v>0.13800000000000001</v>
      </c>
      <c r="W265" s="265">
        <v>0.13900000000000001</v>
      </c>
      <c r="X265" s="265">
        <v>0</v>
      </c>
      <c r="Y265" s="265">
        <v>2E-3</v>
      </c>
      <c r="Z265" s="266">
        <f t="shared" si="101"/>
        <v>8.026372366346568E-2</v>
      </c>
      <c r="AA265" s="266">
        <f t="shared" si="101"/>
        <v>7.3624871882473547E-2</v>
      </c>
      <c r="AB265" s="266">
        <f t="shared" si="98"/>
        <v>6.7227493200498825E-2</v>
      </c>
      <c r="AC265" s="266">
        <f t="shared" si="99"/>
        <v>6.0452766614583694E-2</v>
      </c>
    </row>
    <row r="266" spans="1:30">
      <c r="A266" s="247" t="s">
        <v>37</v>
      </c>
      <c r="B266" s="264">
        <f t="shared" si="100"/>
        <v>0</v>
      </c>
      <c r="C266" s="264">
        <f t="shared" si="100"/>
        <v>0.10945945945945948</v>
      </c>
      <c r="D266" s="264">
        <f t="shared" si="100"/>
        <v>0</v>
      </c>
      <c r="E266" s="264">
        <f t="shared" si="100"/>
        <v>3.6292889989388044</v>
      </c>
      <c r="F266" s="264">
        <f t="shared" si="100"/>
        <v>1.5517241379310345</v>
      </c>
      <c r="G266" s="264">
        <f t="shared" si="100"/>
        <v>2.8329007785985225</v>
      </c>
      <c r="H266" s="264">
        <f t="shared" si="100"/>
        <v>0</v>
      </c>
      <c r="I266" s="264">
        <f t="shared" si="100"/>
        <v>0</v>
      </c>
      <c r="J266" s="265">
        <v>8.0000000000000002E-3</v>
      </c>
      <c r="K266" s="265">
        <v>4.0000000000000001E-3</v>
      </c>
      <c r="L266" s="265">
        <v>0</v>
      </c>
      <c r="M266" s="265">
        <v>5.0000000000000001E-3</v>
      </c>
      <c r="N266" s="265">
        <v>5.6000000000000001E-2</v>
      </c>
      <c r="O266" s="265">
        <v>0.02</v>
      </c>
      <c r="P266" s="265">
        <v>0</v>
      </c>
      <c r="Q266" s="265">
        <v>0.13500000000000001</v>
      </c>
      <c r="R266" s="265">
        <v>0.13100000000000001</v>
      </c>
      <c r="S266" s="265">
        <v>0.113</v>
      </c>
      <c r="T266" s="265">
        <v>9.4E-2</v>
      </c>
      <c r="U266" s="265">
        <v>0.14099999999999999</v>
      </c>
      <c r="V266" s="265">
        <v>0.16900000000000001</v>
      </c>
      <c r="W266" s="265">
        <v>0.16700000000000001</v>
      </c>
      <c r="X266" s="265">
        <v>1.7000000000000001E-2</v>
      </c>
      <c r="Y266" s="265">
        <v>0</v>
      </c>
      <c r="Z266" s="266">
        <f>Z267-SUM(Z255:Z265)</f>
        <v>0.1494984950551812</v>
      </c>
      <c r="AA266" s="266">
        <f>AA267-SUM(AA255:AA265)</f>
        <v>8.4386744106593525E-2</v>
      </c>
      <c r="AB266" s="266">
        <f>AB267-SUM(AB255:AB265)</f>
        <v>9.4030407008828698E-2</v>
      </c>
      <c r="AC266" s="266">
        <f>AC267-SUM(AC255:AC265)</f>
        <v>8.5667330701471034E-2</v>
      </c>
    </row>
    <row r="267" spans="1:30" ht="15.75" thickBot="1">
      <c r="A267" s="247" t="s">
        <v>138</v>
      </c>
      <c r="B267" s="269">
        <f t="shared" ref="B267:I267" si="102">B34</f>
        <v>0</v>
      </c>
      <c r="C267" s="269">
        <f t="shared" si="102"/>
        <v>5</v>
      </c>
      <c r="D267" s="269">
        <f t="shared" si="102"/>
        <v>0</v>
      </c>
      <c r="E267" s="269">
        <f t="shared" si="102"/>
        <v>30</v>
      </c>
      <c r="F267" s="269">
        <f t="shared" si="102"/>
        <v>15</v>
      </c>
      <c r="G267" s="269">
        <f t="shared" si="102"/>
        <v>30</v>
      </c>
      <c r="H267" s="269">
        <f t="shared" si="102"/>
        <v>0</v>
      </c>
      <c r="I267" s="269">
        <f t="shared" si="102"/>
        <v>0</v>
      </c>
      <c r="J267" s="269">
        <f t="shared" ref="J267:Y267" si="103">SUM(J255:J266)</f>
        <v>6.7000000000000004E-2</v>
      </c>
      <c r="K267" s="269">
        <f t="shared" si="103"/>
        <v>1.3039999999999998</v>
      </c>
      <c r="L267" s="269">
        <f t="shared" si="103"/>
        <v>0.13100000000000001</v>
      </c>
      <c r="M267" s="269">
        <f t="shared" si="103"/>
        <v>2.3129999999999993</v>
      </c>
      <c r="N267" s="269">
        <f t="shared" si="103"/>
        <v>0.11700000000000001</v>
      </c>
      <c r="O267" s="269">
        <f t="shared" si="103"/>
        <v>0.26600000000000001</v>
      </c>
      <c r="P267" s="269">
        <f t="shared" si="103"/>
        <v>0.873</v>
      </c>
      <c r="Q267" s="269">
        <f t="shared" si="103"/>
        <v>0.495</v>
      </c>
      <c r="R267" s="269">
        <f t="shared" si="103"/>
        <v>1.0760000000000001</v>
      </c>
      <c r="S267" s="269">
        <f t="shared" si="103"/>
        <v>1.147</v>
      </c>
      <c r="T267" s="269">
        <f t="shared" si="103"/>
        <v>1.4180000000000001</v>
      </c>
      <c r="U267" s="269">
        <f t="shared" si="103"/>
        <v>1.5099999999999998</v>
      </c>
      <c r="V267" s="269">
        <f t="shared" si="103"/>
        <v>1.4660000000000002</v>
      </c>
      <c r="W267" s="269">
        <f t="shared" si="103"/>
        <v>1.611</v>
      </c>
      <c r="X267" s="269">
        <f t="shared" si="103"/>
        <v>0.97199999999999998</v>
      </c>
      <c r="Y267" s="269">
        <f t="shared" si="103"/>
        <v>0.29499999999999998</v>
      </c>
      <c r="Z267" s="266">
        <f>Z34</f>
        <v>1</v>
      </c>
      <c r="AA267" s="266">
        <f>AA34</f>
        <v>1</v>
      </c>
      <c r="AB267" s="266">
        <f>AB34</f>
        <v>1</v>
      </c>
      <c r="AC267" s="266">
        <f>AC34</f>
        <v>1</v>
      </c>
    </row>
    <row r="268" spans="1:30">
      <c r="A268" s="271"/>
      <c r="B268" s="271"/>
      <c r="C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  <c r="AA268" s="271"/>
      <c r="AB268" s="271"/>
      <c r="AC268" s="271"/>
    </row>
    <row r="269" spans="1:30" ht="15.75" thickBot="1">
      <c r="A269" s="247" t="s">
        <v>401</v>
      </c>
      <c r="D269" s="289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</row>
    <row r="270" spans="1:30" ht="15.75" thickBot="1">
      <c r="A270" s="263"/>
      <c r="B270" s="235" t="str">
        <f>B$2</f>
        <v xml:space="preserve">93/94 </v>
      </c>
      <c r="C270" s="235" t="str">
        <f t="shared" ref="C270:AC270" si="104">C$2</f>
        <v xml:space="preserve">94/95 </v>
      </c>
      <c r="D270" s="235" t="str">
        <f t="shared" si="104"/>
        <v xml:space="preserve">95/96 </v>
      </c>
      <c r="E270" s="235" t="str">
        <f t="shared" si="104"/>
        <v xml:space="preserve">96/97 </v>
      </c>
      <c r="F270" s="235" t="str">
        <f t="shared" si="104"/>
        <v xml:space="preserve">97/98 </v>
      </c>
      <c r="G270" s="235" t="str">
        <f t="shared" si="104"/>
        <v xml:space="preserve">98/99 </v>
      </c>
      <c r="H270" s="235" t="str">
        <f t="shared" si="104"/>
        <v xml:space="preserve">99/00 </v>
      </c>
      <c r="I270" s="235" t="str">
        <f t="shared" si="104"/>
        <v xml:space="preserve">00/01 </v>
      </c>
      <c r="J270" s="235" t="str">
        <f t="shared" si="104"/>
        <v xml:space="preserve">01/02 </v>
      </c>
      <c r="K270" s="235" t="str">
        <f t="shared" si="104"/>
        <v xml:space="preserve">02/03 </v>
      </c>
      <c r="L270" s="235" t="str">
        <f t="shared" si="104"/>
        <v xml:space="preserve">03/04 </v>
      </c>
      <c r="M270" s="235" t="str">
        <f t="shared" si="104"/>
        <v xml:space="preserve">04/05 </v>
      </c>
      <c r="N270" s="235" t="str">
        <f t="shared" si="104"/>
        <v xml:space="preserve">05/06 </v>
      </c>
      <c r="O270" s="235" t="str">
        <f t="shared" si="104"/>
        <v xml:space="preserve">06/07 </v>
      </c>
      <c r="P270" s="235" t="str">
        <f t="shared" si="104"/>
        <v xml:space="preserve">07/08 </v>
      </c>
      <c r="Q270" s="235" t="str">
        <f t="shared" si="104"/>
        <v xml:space="preserve">08/09 </v>
      </c>
      <c r="R270" s="235" t="str">
        <f t="shared" si="104"/>
        <v xml:space="preserve">09/10 </v>
      </c>
      <c r="S270" s="235" t="str">
        <f t="shared" si="104"/>
        <v xml:space="preserve">10/11 </v>
      </c>
      <c r="T270" s="235" t="str">
        <f t="shared" si="104"/>
        <v xml:space="preserve">11/12 </v>
      </c>
      <c r="U270" s="235" t="str">
        <f t="shared" si="104"/>
        <v xml:space="preserve">12/13 </v>
      </c>
      <c r="V270" s="235" t="str">
        <f t="shared" si="104"/>
        <v xml:space="preserve">13/14 </v>
      </c>
      <c r="W270" s="235" t="str">
        <f t="shared" si="104"/>
        <v xml:space="preserve">14/15 </v>
      </c>
      <c r="X270" s="235" t="str">
        <f t="shared" si="104"/>
        <v xml:space="preserve">15/16 </v>
      </c>
      <c r="Y270" s="235" t="str">
        <f t="shared" si="104"/>
        <v xml:space="preserve">16/17 </v>
      </c>
      <c r="Z270" s="235" t="str">
        <f t="shared" si="104"/>
        <v xml:space="preserve">17/18 </v>
      </c>
      <c r="AA270" s="235" t="str">
        <f t="shared" si="104"/>
        <v xml:space="preserve">18/19 </v>
      </c>
      <c r="AB270" s="235" t="str">
        <f t="shared" si="104"/>
        <v xml:space="preserve">19/20 </v>
      </c>
      <c r="AC270" s="235" t="str">
        <f t="shared" si="104"/>
        <v xml:space="preserve">20/21 </v>
      </c>
      <c r="AD270" s="288"/>
    </row>
    <row r="271" spans="1:30">
      <c r="A271" s="247" t="s">
        <v>38</v>
      </c>
      <c r="B271" s="275">
        <f>'[4]Ukraine Sun Oil Exports'!AB$290</f>
        <v>5.4068304230000006</v>
      </c>
      <c r="C271" s="275">
        <f>'[4]Ukraine Sun Oil Exports'!AN$290</f>
        <v>18.600000000000001</v>
      </c>
      <c r="D271" s="275">
        <f>'[4]Ukraine Sun Oil Exports'!BA$290</f>
        <v>12.9</v>
      </c>
      <c r="E271" s="275">
        <f>'[4]Ukraine Sun Oil Exports'!BM$290</f>
        <v>24.7</v>
      </c>
      <c r="F271" s="245">
        <f>'[4]Ukraine Sun Oil Exports'!BX$290</f>
        <v>10.7</v>
      </c>
      <c r="G271" s="245">
        <f>'[4]Ukraine Sun Oil Exports'!CJ$290</f>
        <v>2.9</v>
      </c>
      <c r="H271" s="245">
        <f>'[4]Ukraine Sun Oil Exports'!CV$290</f>
        <v>8</v>
      </c>
      <c r="I271" s="245">
        <f>'[4]Ukraine Sun Oil Exports'!DH$290</f>
        <v>28.5</v>
      </c>
      <c r="J271" s="245">
        <f>'[4]Ukraine Sun Oil Exports'!DT$290</f>
        <v>22.1</v>
      </c>
      <c r="K271" s="245">
        <f>'[4]Ukraine Sun Oil Exports'!EF$290</f>
        <v>33.131</v>
      </c>
      <c r="L271" s="245">
        <f>'[4]Ukraine Sun Oil Exports'!ER$290</f>
        <v>94.347999999999999</v>
      </c>
      <c r="M271" s="245">
        <f>'[4]Ukraine Sun Oil Exports'!FD$290</f>
        <v>69.835999999999999</v>
      </c>
      <c r="N271" s="245">
        <f>'[4]Ukraine Sun Oil Exports'!FP$290</f>
        <v>50.91</v>
      </c>
      <c r="O271" s="245">
        <f>'[4]Ukraine Sun Oil Exports'!GB$290</f>
        <v>166.666</v>
      </c>
      <c r="P271" s="245">
        <f>'[4]Ukraine Sun Oil Exports'!GN$290</f>
        <v>197.642</v>
      </c>
      <c r="Q271" s="245">
        <f>'[4]Ukraine Sun Oil Exports'!GZ$290</f>
        <v>56.164999999999999</v>
      </c>
      <c r="R271" s="245">
        <f>'[4]Ukraine Sun Oil Exports'!HL$290</f>
        <v>228.85300000000001</v>
      </c>
      <c r="S271" s="245">
        <f>'[4]Ukraine Sun Oil Exports'!HX$290</f>
        <v>235.53399999999999</v>
      </c>
      <c r="T271" s="245">
        <f>'[4]Ukraine Sun Oil Exports'!IJ$290</f>
        <v>273.73399999999998</v>
      </c>
      <c r="U271" s="245">
        <f>'[4]Ukraine Sun Oil Exports'!IV$290</f>
        <v>349.202</v>
      </c>
      <c r="V271" s="245">
        <f>'[4]Ukraine Sun Oil Exports'!JH$290</f>
        <v>298.98500000000001</v>
      </c>
      <c r="W271" s="245">
        <f>'[4]Ukraine Sun Oil Exports'!JT$290</f>
        <v>510.57</v>
      </c>
      <c r="X271" s="245">
        <f>'[4]Ukraine Sun Oil Exports'!KF$290</f>
        <v>265.036</v>
      </c>
      <c r="Y271" s="245">
        <f>'[4]Ukraine Sun Oil Exports'!KR$290</f>
        <v>384.06900000000002</v>
      </c>
      <c r="Z271" s="245">
        <f>'[4]Ukraine Sun Oil Exports'!LD$290</f>
        <v>473.55099999999999</v>
      </c>
      <c r="AA271" s="273">
        <f t="shared" ref="AA271:AC281" si="105">(SUM(U271:Y271)/SUM(U$283:Y$283))*AA$283</f>
        <v>417.80233800158544</v>
      </c>
      <c r="AB271" s="273">
        <f t="shared" si="105"/>
        <v>414.51137937129664</v>
      </c>
      <c r="AC271" s="273">
        <f t="shared" si="105"/>
        <v>415.45517531405744</v>
      </c>
      <c r="AD271" s="245"/>
    </row>
    <row r="272" spans="1:30">
      <c r="A272" s="247" t="s">
        <v>39</v>
      </c>
      <c r="B272" s="275">
        <f>'[4]Ukraine Sun Oil Exports'!AC$290</f>
        <v>5.5874872289999997</v>
      </c>
      <c r="C272" s="275">
        <f>'[4]Ukraine Sun Oil Exports'!AO$290</f>
        <v>17.8</v>
      </c>
      <c r="D272" s="275">
        <f>'[4]Ukraine Sun Oil Exports'!BB$290</f>
        <v>13.5</v>
      </c>
      <c r="E272" s="275">
        <f>'[4]Ukraine Sun Oil Exports'!BN$290</f>
        <v>10.7</v>
      </c>
      <c r="F272" s="245">
        <f>'[4]Ukraine Sun Oil Exports'!BY$290</f>
        <v>5.9</v>
      </c>
      <c r="G272" s="245">
        <f>'[4]Ukraine Sun Oil Exports'!CK$290</f>
        <v>2.5</v>
      </c>
      <c r="H272" s="245">
        <f>'[4]Ukraine Sun Oil Exports'!CW$290</f>
        <v>15</v>
      </c>
      <c r="I272" s="245">
        <f>'[4]Ukraine Sun Oil Exports'!DI$290</f>
        <v>51.3</v>
      </c>
      <c r="J272" s="245">
        <f>'[4]Ukraine Sun Oil Exports'!DU$290</f>
        <v>37.799999999999997</v>
      </c>
      <c r="K272" s="245">
        <f>'[4]Ukraine Sun Oil Exports'!EG$290</f>
        <v>29.664999999999999</v>
      </c>
      <c r="L272" s="245">
        <f>'[4]Ukraine Sun Oil Exports'!ES$290</f>
        <v>76.277000000000001</v>
      </c>
      <c r="M272" s="245">
        <f>'[4]Ukraine Sun Oil Exports'!FE$290</f>
        <v>106.31</v>
      </c>
      <c r="N272" s="245">
        <f>'[4]Ukraine Sun Oil Exports'!FQ$290</f>
        <v>68.117000000000004</v>
      </c>
      <c r="O272" s="245">
        <f>'[4]Ukraine Sun Oil Exports'!GC$290</f>
        <v>163.964</v>
      </c>
      <c r="P272" s="245">
        <f>'[4]Ukraine Sun Oil Exports'!GO$290</f>
        <v>199.5</v>
      </c>
      <c r="Q272" s="245">
        <f>'[4]Ukraine Sun Oil Exports'!HA$290</f>
        <v>95.971999999999994</v>
      </c>
      <c r="R272" s="245">
        <f>'[4]Ukraine Sun Oil Exports'!HM$290</f>
        <v>208.54499999999999</v>
      </c>
      <c r="S272" s="245">
        <f>'[4]Ukraine Sun Oil Exports'!HY$290</f>
        <v>277.29300000000001</v>
      </c>
      <c r="T272" s="245">
        <f>'[4]Ukraine Sun Oil Exports'!IK$290</f>
        <v>216.61500000000001</v>
      </c>
      <c r="U272" s="245">
        <f>'[4]Ukraine Sun Oil Exports'!IW$290</f>
        <v>285.435</v>
      </c>
      <c r="V272" s="245">
        <f>'[4]Ukraine Sun Oil Exports'!JI$290</f>
        <v>284.55900000000003</v>
      </c>
      <c r="W272" s="245">
        <f>'[4]Ukraine Sun Oil Exports'!JU$290</f>
        <v>379.92399999999998</v>
      </c>
      <c r="X272" s="245">
        <f>'[4]Ukraine Sun Oil Exports'!KG$290</f>
        <v>348.43299999999999</v>
      </c>
      <c r="Y272" s="245">
        <f>'[4]Ukraine Sun Oil Exports'!KS$290</f>
        <v>444.43900000000002</v>
      </c>
      <c r="Z272" s="245">
        <f>'[4]Ukraine Sun Oil Exports'!LE$290</f>
        <v>509.02368100000001</v>
      </c>
      <c r="AA272" s="273">
        <f t="shared" si="105"/>
        <v>402.76400336186231</v>
      </c>
      <c r="AB272" s="273">
        <f t="shared" si="105"/>
        <v>421.84126859210556</v>
      </c>
      <c r="AC272" s="273">
        <f t="shared" si="105"/>
        <v>422.25212787026436</v>
      </c>
      <c r="AD272" s="245"/>
    </row>
    <row r="273" spans="1:30">
      <c r="A273" s="247" t="s">
        <v>40</v>
      </c>
      <c r="B273" s="275">
        <f>'[4]Ukraine Sun Oil Exports'!AD$290</f>
        <v>5.6631105040000005</v>
      </c>
      <c r="C273" s="275">
        <f>'[4]Ukraine Sun Oil Exports'!AP$290</f>
        <v>17.100000000000001</v>
      </c>
      <c r="D273" s="275">
        <f>'[4]Ukraine Sun Oil Exports'!BC$290</f>
        <v>23.9</v>
      </c>
      <c r="E273" s="275">
        <f>'[4]Ukraine Sun Oil Exports'!BO$290</f>
        <v>22.8</v>
      </c>
      <c r="F273" s="245">
        <f>'[4]Ukraine Sun Oil Exports'!BZ$290</f>
        <v>1.9</v>
      </c>
      <c r="G273" s="245">
        <f>'[4]Ukraine Sun Oil Exports'!CL$290</f>
        <v>6.4</v>
      </c>
      <c r="H273" s="245">
        <f>'[4]Ukraine Sun Oil Exports'!CX$290</f>
        <v>15</v>
      </c>
      <c r="I273" s="245">
        <f>'[4]Ukraine Sun Oil Exports'!DJ$290</f>
        <v>52.6</v>
      </c>
      <c r="J273" s="245">
        <f>'[4]Ukraine Sun Oil Exports'!DV$290</f>
        <v>35.299999999999997</v>
      </c>
      <c r="K273" s="245">
        <f>'[4]Ukraine Sun Oil Exports'!EH$290</f>
        <v>36.664000000000001</v>
      </c>
      <c r="L273" s="245">
        <f>'[4]Ukraine Sun Oil Exports'!ET$290</f>
        <v>64.959000000000003</v>
      </c>
      <c r="M273" s="245">
        <f>'[4]Ukraine Sun Oil Exports'!FF$290</f>
        <v>79.394999999999996</v>
      </c>
      <c r="N273" s="245">
        <f>'[4]Ukraine Sun Oil Exports'!FR$290</f>
        <v>44.56</v>
      </c>
      <c r="O273" s="245">
        <f>'[4]Ukraine Sun Oil Exports'!GD$290</f>
        <v>109.245</v>
      </c>
      <c r="P273" s="245">
        <f>'[4]Ukraine Sun Oil Exports'!GP$290</f>
        <v>153.71799999999999</v>
      </c>
      <c r="Q273" s="245">
        <f>'[4]Ukraine Sun Oil Exports'!HB$290</f>
        <v>94.212000000000003</v>
      </c>
      <c r="R273" s="245">
        <f>'[4]Ukraine Sun Oil Exports'!HN$290</f>
        <v>188.488</v>
      </c>
      <c r="S273" s="245">
        <f>'[4]Ukraine Sun Oil Exports'!HZ$290</f>
        <v>262.702</v>
      </c>
      <c r="T273" s="245">
        <f>'[4]Ukraine Sun Oil Exports'!IL$290</f>
        <v>146.33099999999999</v>
      </c>
      <c r="U273" s="245">
        <f>'[4]Ukraine Sun Oil Exports'!IX$290</f>
        <v>238.61</v>
      </c>
      <c r="V273" s="245">
        <f>'[4]Ukraine Sun Oil Exports'!JJ$290</f>
        <v>181.321</v>
      </c>
      <c r="W273" s="245">
        <f>'[4]Ukraine Sun Oil Exports'!JV$290</f>
        <v>333.709</v>
      </c>
      <c r="X273" s="245">
        <f>'[4]Ukraine Sun Oil Exports'!KH$290</f>
        <v>288.08800000000002</v>
      </c>
      <c r="Y273" s="245">
        <f>'[4]Ukraine Sun Oil Exports'!KT$290</f>
        <v>366.56099999999998</v>
      </c>
      <c r="Z273" s="245">
        <f>'[4]Ukraine Sun Oil Exports'!LF$290</f>
        <v>509.740838</v>
      </c>
      <c r="AA273" s="273">
        <f t="shared" si="105"/>
        <v>325.45981760881898</v>
      </c>
      <c r="AB273" s="273">
        <f t="shared" si="105"/>
        <v>360.28085627961934</v>
      </c>
      <c r="AC273" s="273">
        <f t="shared" si="105"/>
        <v>369.3790411982319</v>
      </c>
      <c r="AD273" s="245"/>
    </row>
    <row r="274" spans="1:30">
      <c r="A274" s="247" t="s">
        <v>30</v>
      </c>
      <c r="B274" s="275">
        <f>'[4]Ukraine Sun Oil Exports'!AE$290</f>
        <v>5.7919907310000003</v>
      </c>
      <c r="C274" s="275">
        <f>'[4]Ukraine Sun Oil Exports'!AQ$290</f>
        <v>22.8</v>
      </c>
      <c r="D274" s="275">
        <f>'[4]Ukraine Sun Oil Exports'!BD$290</f>
        <v>12.3</v>
      </c>
      <c r="E274" s="245">
        <f>'[4]Ukraine Sun Oil Exports'!BO$290</f>
        <v>22.8</v>
      </c>
      <c r="F274" s="245">
        <f>'[4]Ukraine Sun Oil Exports'!CA$290</f>
        <v>2.2000000000000002</v>
      </c>
      <c r="G274" s="245">
        <f>'[4]Ukraine Sun Oil Exports'!CM$290</f>
        <v>6.4</v>
      </c>
      <c r="H274" s="245">
        <f>'[4]Ukraine Sun Oil Exports'!CY$290</f>
        <v>15</v>
      </c>
      <c r="I274" s="245">
        <f>'[4]Ukraine Sun Oil Exports'!DK$290</f>
        <v>40.200000000000003</v>
      </c>
      <c r="J274" s="245">
        <f>'[4]Ukraine Sun Oil Exports'!DW$290</f>
        <v>24.1</v>
      </c>
      <c r="K274" s="245">
        <f>'[4]Ukraine Sun Oil Exports'!EI$290</f>
        <v>22.021999999999998</v>
      </c>
      <c r="L274" s="245">
        <f>'[4]Ukraine Sun Oil Exports'!EU$290</f>
        <v>40.981999999999999</v>
      </c>
      <c r="M274" s="245">
        <f>'[4]Ukraine Sun Oil Exports'!FG$290</f>
        <v>77.554000000000002</v>
      </c>
      <c r="N274" s="245">
        <f>'[4]Ukraine Sun Oil Exports'!FS$290</f>
        <v>40.557000000000002</v>
      </c>
      <c r="O274" s="245">
        <f>'[4]Ukraine Sun Oil Exports'!GE$290</f>
        <v>108.705</v>
      </c>
      <c r="P274" s="245">
        <f>'[4]Ukraine Sun Oil Exports'!GQ$290</f>
        <v>98.667000000000002</v>
      </c>
      <c r="Q274" s="245">
        <f>'[4]Ukraine Sun Oil Exports'!HC$290</f>
        <v>81.866</v>
      </c>
      <c r="R274" s="245">
        <f>'[4]Ukraine Sun Oil Exports'!HO$290</f>
        <v>148.876</v>
      </c>
      <c r="S274" s="245">
        <f>'[4]Ukraine Sun Oil Exports'!IA$290</f>
        <v>210.33199999999999</v>
      </c>
      <c r="T274" s="245">
        <f>'[4]Ukraine Sun Oil Exports'!IM$290</f>
        <v>153.001</v>
      </c>
      <c r="U274" s="245">
        <f>'[4]Ukraine Sun Oil Exports'!IY$290</f>
        <v>342.57799999999997</v>
      </c>
      <c r="V274" s="245">
        <f>'[4]Ukraine Sun Oil Exports'!JK$290</f>
        <v>222.24199999999999</v>
      </c>
      <c r="W274" s="245">
        <f>'[4]Ukraine Sun Oil Exports'!JW$290</f>
        <v>308.43099999999998</v>
      </c>
      <c r="X274" s="245">
        <f>'[4]Ukraine Sun Oil Exports'!KI$290</f>
        <v>223.21299999999999</v>
      </c>
      <c r="Y274" s="245">
        <f>'[4]Ukraine Sun Oil Exports'!KU$290</f>
        <v>260.89299999999997</v>
      </c>
      <c r="Z274" s="245">
        <f>'[4]Ukraine Sun Oil Exports'!LG$290</f>
        <v>394.31798900000001</v>
      </c>
      <c r="AA274" s="273">
        <f t="shared" si="105"/>
        <v>313.68927943771035</v>
      </c>
      <c r="AB274" s="273">
        <f t="shared" si="105"/>
        <v>302.28931342298068</v>
      </c>
      <c r="AC274" s="273">
        <f t="shared" si="105"/>
        <v>303.94942408143908</v>
      </c>
      <c r="AD274" s="245"/>
    </row>
    <row r="275" spans="1:30">
      <c r="A275" s="247" t="s">
        <v>31</v>
      </c>
      <c r="B275" s="275">
        <f>'[4]Ukraine Sun Oil Exports'!AF$290</f>
        <v>0</v>
      </c>
      <c r="C275" s="275">
        <f>'[4]Ukraine Sun Oil Exports'!AR$290</f>
        <v>28.1</v>
      </c>
      <c r="D275" s="275">
        <f>'[4]Ukraine Sun Oil Exports'!BE$290</f>
        <v>16.3</v>
      </c>
      <c r="E275" s="245">
        <f>'[4]Ukraine Sun Oil Exports'!BP$290</f>
        <v>15.7</v>
      </c>
      <c r="F275" s="245">
        <f>'[4]Ukraine Sun Oil Exports'!CB$290</f>
        <v>1.5</v>
      </c>
      <c r="G275" s="245">
        <f>'[4]Ukraine Sun Oil Exports'!CN$290</f>
        <v>6.4</v>
      </c>
      <c r="H275" s="245">
        <f>'[4]Ukraine Sun Oil Exports'!CZ$290</f>
        <v>21</v>
      </c>
      <c r="I275" s="245">
        <f>'[4]Ukraine Sun Oil Exports'!DL$290</f>
        <v>42.8</v>
      </c>
      <c r="J275" s="245">
        <f>'[4]Ukraine Sun Oil Exports'!DX$290</f>
        <v>16.399999999999999</v>
      </c>
      <c r="K275" s="245">
        <f>'[4]Ukraine Sun Oil Exports'!EJ$290</f>
        <v>37.023000000000003</v>
      </c>
      <c r="L275" s="245">
        <f>'[4]Ukraine Sun Oil Exports'!EV$290</f>
        <v>32.715000000000003</v>
      </c>
      <c r="M275" s="245">
        <f>'[4]Ukraine Sun Oil Exports'!FH$290</f>
        <v>26.024999999999999</v>
      </c>
      <c r="N275" s="245">
        <f>'[4]Ukraine Sun Oil Exports'!FT$290</f>
        <v>40.924999999999997</v>
      </c>
      <c r="O275" s="245">
        <f>'[4]Ukraine Sun Oil Exports'!GF$290</f>
        <v>112.93899999999999</v>
      </c>
      <c r="P275" s="245">
        <f>'[4]Ukraine Sun Oil Exports'!GR$290</f>
        <v>72.317999999999998</v>
      </c>
      <c r="Q275" s="245">
        <f>'[4]Ukraine Sun Oil Exports'!HD$290</f>
        <v>83.444000000000003</v>
      </c>
      <c r="R275" s="245">
        <f>'[4]Ukraine Sun Oil Exports'!HP$290</f>
        <v>180.28200000000001</v>
      </c>
      <c r="S275" s="245">
        <f>'[4]Ukraine Sun Oil Exports'!IB$290</f>
        <v>85.932000000000002</v>
      </c>
      <c r="T275" s="245">
        <f>'[4]Ukraine Sun Oil Exports'!IN$290</f>
        <v>85.07</v>
      </c>
      <c r="U275" s="245">
        <f>'[4]Ukraine Sun Oil Exports'!IZ$290</f>
        <v>282.05</v>
      </c>
      <c r="V275" s="245">
        <f>'[4]Ukraine Sun Oil Exports'!JL$290</f>
        <v>152.94800000000001</v>
      </c>
      <c r="W275" s="245">
        <f>'[4]Ukraine Sun Oil Exports'!JX$290</f>
        <v>294.52699999999999</v>
      </c>
      <c r="X275" s="245">
        <f>'[4]Ukraine Sun Oil Exports'!KJ$290</f>
        <v>163.363</v>
      </c>
      <c r="Y275" s="245">
        <f>'[4]Ukraine Sun Oil Exports'!KV$290</f>
        <v>271.71600000000001</v>
      </c>
      <c r="Z275" s="245">
        <f>'[4]Ukraine Sun Oil Exports'!LH$290</f>
        <v>309.86417399999999</v>
      </c>
      <c r="AA275" s="273">
        <f t="shared" ref="AA275:AA281" si="106">(SUM(U275:Y275)/SUM(U$283:Y$283))*AA$283</f>
        <v>269.14348221600903</v>
      </c>
      <c r="AB275" s="273">
        <f t="shared" si="105"/>
        <v>255.80586286494736</v>
      </c>
      <c r="AC275" s="273">
        <f t="shared" si="105"/>
        <v>265.07206452901363</v>
      </c>
      <c r="AD275" s="245"/>
    </row>
    <row r="276" spans="1:30">
      <c r="A276" s="247" t="s">
        <v>32</v>
      </c>
      <c r="B276" s="275">
        <f>'[4]Ukraine Sun Oil Exports'!AG$290</f>
        <v>10.6</v>
      </c>
      <c r="C276" s="275">
        <f>'[4]Ukraine Sun Oil Exports'!AS$290</f>
        <v>17.7</v>
      </c>
      <c r="D276" s="275">
        <f>'[4]Ukraine Sun Oil Exports'!BF$290</f>
        <v>29.2</v>
      </c>
      <c r="E276" s="245">
        <f>'[4]Ukraine Sun Oil Exports'!BQ$290</f>
        <v>17.600000000000001</v>
      </c>
      <c r="F276" s="245">
        <f>'[4]Ukraine Sun Oil Exports'!CC$290</f>
        <v>17.5</v>
      </c>
      <c r="G276" s="245">
        <f>'[4]Ukraine Sun Oil Exports'!CO$290</f>
        <v>15</v>
      </c>
      <c r="H276" s="245">
        <f>'[4]Ukraine Sun Oil Exports'!DA$290</f>
        <v>18.831002499999997</v>
      </c>
      <c r="I276" s="245">
        <f>'[4]Ukraine Sun Oil Exports'!DM$290</f>
        <v>56</v>
      </c>
      <c r="J276" s="245">
        <f>'[4]Ukraine Sun Oil Exports'!DY$290</f>
        <v>50.3</v>
      </c>
      <c r="K276" s="245">
        <f>'[4]Ukraine Sun Oil Exports'!EK$290</f>
        <v>85.304000000000002</v>
      </c>
      <c r="L276" s="245">
        <f>'[4]Ukraine Sun Oil Exports'!EW$290</f>
        <v>94.885000000000005</v>
      </c>
      <c r="M276" s="245">
        <f>'[4]Ukraine Sun Oil Exports'!FI$290</f>
        <v>54.412999999999997</v>
      </c>
      <c r="N276" s="245">
        <f>'[4]Ukraine Sun Oil Exports'!FU$290</f>
        <v>106.84399999999999</v>
      </c>
      <c r="O276" s="245">
        <f>'[4]Ukraine Sun Oil Exports'!GG$290</f>
        <v>114.271</v>
      </c>
      <c r="P276" s="245">
        <f>'[4]Ukraine Sun Oil Exports'!GS$290</f>
        <v>137.30500000000001</v>
      </c>
      <c r="Q276" s="245">
        <f>'[4]Ukraine Sun Oil Exports'!HE$290</f>
        <v>141.13999999999999</v>
      </c>
      <c r="R276" s="245">
        <f>'[4]Ukraine Sun Oil Exports'!HQ$290</f>
        <v>194.083</v>
      </c>
      <c r="S276" s="245">
        <f>'[4]Ukraine Sun Oil Exports'!IC$290</f>
        <v>219.69800000000001</v>
      </c>
      <c r="T276" s="245">
        <f>'[4]Ukraine Sun Oil Exports'!IO$290</f>
        <v>269.363</v>
      </c>
      <c r="U276" s="245">
        <f>'[4]Ukraine Sun Oil Exports'!JA$290</f>
        <v>376.88799999999998</v>
      </c>
      <c r="V276" s="245">
        <f>'[4]Ukraine Sun Oil Exports'!JM$290</f>
        <v>388.91500000000002</v>
      </c>
      <c r="W276" s="245">
        <f>'[4]Ukraine Sun Oil Exports'!JY$290</f>
        <v>383.82</v>
      </c>
      <c r="X276" s="245">
        <f>'[4]Ukraine Sun Oil Exports'!KK$290</f>
        <v>408.01799999999997</v>
      </c>
      <c r="Y276" s="245">
        <f>'[4]Ukraine Sun Oil Exports'!KW$290</f>
        <v>434.27600000000001</v>
      </c>
      <c r="Z276" s="273">
        <f t="shared" ref="Z276:Z281" si="107">(SUM(T276:X276)/SUM(T$283:X$283))*Z$283</f>
        <v>507.44033105797382</v>
      </c>
      <c r="AA276" s="273">
        <f t="shared" si="106"/>
        <v>460.33800129938243</v>
      </c>
      <c r="AB276" s="273">
        <f t="shared" si="105"/>
        <v>455.32692345200081</v>
      </c>
      <c r="AC276" s="273">
        <f t="shared" si="105"/>
        <v>444.39362766083207</v>
      </c>
      <c r="AD276" s="245"/>
    </row>
    <row r="277" spans="1:30">
      <c r="A277" s="247" t="s">
        <v>33</v>
      </c>
      <c r="B277" s="275">
        <f>'[4]Ukraine Sun Oil Exports'!AH$290</f>
        <v>7.5</v>
      </c>
      <c r="C277" s="275">
        <f>'[4]Ukraine Sun Oil Exports'!AT$290</f>
        <v>24.1</v>
      </c>
      <c r="D277" s="275">
        <f>'[4]Ukraine Sun Oil Exports'!BG$290</f>
        <v>25.8</v>
      </c>
      <c r="E277" s="245">
        <f>'[4]Ukraine Sun Oil Exports'!BR$290</f>
        <v>26.4</v>
      </c>
      <c r="F277" s="245">
        <f>'[4]Ukraine Sun Oil Exports'!CD$290</f>
        <v>33.6</v>
      </c>
      <c r="G277" s="245">
        <f>'[4]Ukraine Sun Oil Exports'!CP$290</f>
        <v>15</v>
      </c>
      <c r="H277" s="245">
        <f>'[4]Ukraine Sun Oil Exports'!DB$290</f>
        <v>38.272650999999996</v>
      </c>
      <c r="I277" s="245">
        <f>'[4]Ukraine Sun Oil Exports'!DN$290</f>
        <v>75.099999999999994</v>
      </c>
      <c r="J277" s="245">
        <f>'[4]Ukraine Sun Oil Exports'!DZ$290</f>
        <v>47.669477000000001</v>
      </c>
      <c r="K277" s="245">
        <f>'[4]Ukraine Sun Oil Exports'!EL$290</f>
        <v>75.3</v>
      </c>
      <c r="L277" s="245">
        <f>'[4]Ukraine Sun Oil Exports'!EX$290</f>
        <v>82.816000000000003</v>
      </c>
      <c r="M277" s="245">
        <f>'[4]Ukraine Sun Oil Exports'!FJ$290</f>
        <v>47.856000000000002</v>
      </c>
      <c r="N277" s="245">
        <f>'[4]Ukraine Sun Oil Exports'!FV$290</f>
        <v>122.02</v>
      </c>
      <c r="O277" s="245">
        <f>'[4]Ukraine Sun Oil Exports'!GH$290</f>
        <v>149.25700000000001</v>
      </c>
      <c r="P277" s="245">
        <f>'[4]Ukraine Sun Oil Exports'!GT$290</f>
        <v>170.81399999999999</v>
      </c>
      <c r="Q277" s="245">
        <f>'[4]Ukraine Sun Oil Exports'!HF$290</f>
        <v>163.18100000000001</v>
      </c>
      <c r="R277" s="245">
        <f>'[4]Ukraine Sun Oil Exports'!HR$290</f>
        <v>181.01300000000001</v>
      </c>
      <c r="S277" s="245">
        <f>'[4]Ukraine Sun Oil Exports'!ID$290</f>
        <v>257.85700000000003</v>
      </c>
      <c r="T277" s="245">
        <f>'[4]Ukraine Sun Oil Exports'!IP$290</f>
        <v>295.84399999999999</v>
      </c>
      <c r="U277" s="245">
        <f>'[4]Ukraine Sun Oil Exports'!JB$290</f>
        <v>294.96800000000002</v>
      </c>
      <c r="V277" s="245">
        <f>'[4]Ukraine Sun Oil Exports'!JN$290</f>
        <v>349.87700000000001</v>
      </c>
      <c r="W277" s="245">
        <f>'[4]Ukraine Sun Oil Exports'!JZ$290</f>
        <v>383.24099999999999</v>
      </c>
      <c r="X277" s="245">
        <f>'[4]Ukraine Sun Oil Exports'!KL$290</f>
        <v>372.56599999999997</v>
      </c>
      <c r="Y277" s="245">
        <f>'[4]Ukraine Sun Oil Exports'!KX$290</f>
        <v>535.56700000000001</v>
      </c>
      <c r="Z277" s="273">
        <f t="shared" si="107"/>
        <v>471.19245052475441</v>
      </c>
      <c r="AA277" s="273">
        <f t="shared" si="106"/>
        <v>447.4660262138878</v>
      </c>
      <c r="AB277" s="273">
        <f t="shared" si="105"/>
        <v>453.17610163738715</v>
      </c>
      <c r="AC277" s="273">
        <f t="shared" si="105"/>
        <v>447.6629664550756</v>
      </c>
      <c r="AD277" s="245"/>
    </row>
    <row r="278" spans="1:30">
      <c r="A278" s="247" t="s">
        <v>14</v>
      </c>
      <c r="B278" s="275">
        <f>'[4]Ukraine Sun Oil Exports'!AI$290</f>
        <v>13.7</v>
      </c>
      <c r="C278" s="275">
        <f>'[4]Ukraine Sun Oil Exports'!AU$290</f>
        <v>16.7</v>
      </c>
      <c r="D278" s="275">
        <f>'[4]Ukraine Sun Oil Exports'!BH$290</f>
        <v>29</v>
      </c>
      <c r="E278" s="245">
        <f>'[4]Ukraine Sun Oil Exports'!BS$290</f>
        <v>28.1</v>
      </c>
      <c r="F278" s="245">
        <f>'[4]Ukraine Sun Oil Exports'!CE$290</f>
        <v>43.6</v>
      </c>
      <c r="G278" s="245">
        <f>'[4]Ukraine Sun Oil Exports'!CQ$290</f>
        <v>46</v>
      </c>
      <c r="H278" s="245">
        <f>'[4]Ukraine Sun Oil Exports'!DC$290</f>
        <v>30.701353509999997</v>
      </c>
      <c r="I278" s="245">
        <f>'[4]Ukraine Sun Oil Exports'!DO$290</f>
        <v>90.4</v>
      </c>
      <c r="J278" s="245">
        <f>'[4]Ukraine Sun Oil Exports'!EA$290</f>
        <v>35.5119872</v>
      </c>
      <c r="K278" s="245">
        <f>'[4]Ukraine Sun Oil Exports'!EM$290</f>
        <v>93.031999999999996</v>
      </c>
      <c r="L278" s="245">
        <f>'[4]Ukraine Sun Oil Exports'!EY$290</f>
        <v>92.948999999999998</v>
      </c>
      <c r="M278" s="245">
        <f>'[4]Ukraine Sun Oil Exports'!FK$290</f>
        <v>65.724999999999994</v>
      </c>
      <c r="N278" s="245">
        <f>'[4]Ukraine Sun Oil Exports'!FW$290</f>
        <v>134.60400000000001</v>
      </c>
      <c r="O278" s="245">
        <f>'[4]Ukraine Sun Oil Exports'!GI$290</f>
        <v>142.53399999999999</v>
      </c>
      <c r="P278" s="245">
        <f>'[4]Ukraine Sun Oil Exports'!GU$290</f>
        <v>194.78100000000001</v>
      </c>
      <c r="Q278" s="245">
        <f>'[4]Ukraine Sun Oil Exports'!HG$290</f>
        <v>201.27</v>
      </c>
      <c r="R278" s="245">
        <f>'[4]Ukraine Sun Oil Exports'!HS$290</f>
        <v>269.11700000000002</v>
      </c>
      <c r="S278" s="245">
        <f>'[4]Ukraine Sun Oil Exports'!IE$290</f>
        <v>317.69400000000002</v>
      </c>
      <c r="T278" s="245">
        <f>'[4]Ukraine Sun Oil Exports'!IQ$290</f>
        <v>262.17200000000003</v>
      </c>
      <c r="U278" s="245">
        <f>'[4]Ukraine Sun Oil Exports'!JC$290</f>
        <v>309.56099999999998</v>
      </c>
      <c r="V278" s="245">
        <f>'[4]Ukraine Sun Oil Exports'!JO$290</f>
        <v>335.74799999999999</v>
      </c>
      <c r="W278" s="245">
        <f>'[4]Ukraine Sun Oil Exports'!KA$290</f>
        <v>327.02499999999998</v>
      </c>
      <c r="X278" s="245">
        <f>'[4]Ukraine Sun Oil Exports'!KM$290</f>
        <v>511.60300000000001</v>
      </c>
      <c r="Y278" s="245">
        <f>'[4]Ukraine Sun Oil Exports'!KY$290</f>
        <v>556.76</v>
      </c>
      <c r="Z278" s="273">
        <f t="shared" si="107"/>
        <v>484.97218890780078</v>
      </c>
      <c r="AA278" s="273">
        <f t="shared" si="106"/>
        <v>471.61120580709223</v>
      </c>
      <c r="AB278" s="273">
        <f t="shared" si="105"/>
        <v>475.41498429529622</v>
      </c>
      <c r="AC278" s="273">
        <f t="shared" si="105"/>
        <v>476.41403583774803</v>
      </c>
      <c r="AD278" s="245"/>
    </row>
    <row r="279" spans="1:30">
      <c r="A279" s="247" t="s">
        <v>34</v>
      </c>
      <c r="B279" s="275">
        <f>'[4]Ukraine Sun Oil Exports'!AJ$290</f>
        <v>28.9</v>
      </c>
      <c r="C279" s="275">
        <f>'[4]Ukraine Sun Oil Exports'!AV$290</f>
        <v>10.9</v>
      </c>
      <c r="D279" s="275">
        <f>'[4]Ukraine Sun Oil Exports'!BI$290</f>
        <v>29</v>
      </c>
      <c r="E279" s="245">
        <f>'[4]Ukraine Sun Oil Exports'!BT$290</f>
        <v>17.100000000000001</v>
      </c>
      <c r="F279" s="245">
        <f>'[4]Ukraine Sun Oil Exports'!CF$290</f>
        <v>26</v>
      </c>
      <c r="G279" s="245">
        <f>'[4]Ukraine Sun Oil Exports'!CR$290</f>
        <v>15</v>
      </c>
      <c r="H279" s="245">
        <f>'[4]Ukraine Sun Oil Exports'!DD$290</f>
        <v>29.4</v>
      </c>
      <c r="I279" s="245">
        <f>'[4]Ukraine Sun Oil Exports'!DP$290</f>
        <v>61.1</v>
      </c>
      <c r="J279" s="245">
        <f>'[4]Ukraine Sun Oil Exports'!EB$290</f>
        <v>35.562013499999999</v>
      </c>
      <c r="K279" s="245">
        <f>'[4]Ukraine Sun Oil Exports'!EN$290</f>
        <v>76.394999999999996</v>
      </c>
      <c r="L279" s="245">
        <f>'[4]Ukraine Sun Oil Exports'!EZ$290</f>
        <v>67.051000000000002</v>
      </c>
      <c r="M279" s="245">
        <f>'[4]Ukraine Sun Oil Exports'!FL$290</f>
        <v>74.537000000000006</v>
      </c>
      <c r="N279" s="245">
        <f>'[4]Ukraine Sun Oil Exports'!FX$290</f>
        <v>125.322</v>
      </c>
      <c r="O279" s="245">
        <f>'[4]Ukraine Sun Oil Exports'!GJ$290</f>
        <v>147.88200000000001</v>
      </c>
      <c r="P279" s="245">
        <f>'[4]Ukraine Sun Oil Exports'!GV$290</f>
        <v>115.402</v>
      </c>
      <c r="Q279" s="245">
        <f>'[4]Ukraine Sun Oil Exports'!HH$290</f>
        <v>193.81200000000001</v>
      </c>
      <c r="R279" s="245">
        <f>'[4]Ukraine Sun Oil Exports'!HT$290</f>
        <v>156.26300000000001</v>
      </c>
      <c r="S279" s="245">
        <f>'[4]Ukraine Sun Oil Exports'!IF$290</f>
        <v>265.88900000000001</v>
      </c>
      <c r="T279" s="245">
        <f>'[4]Ukraine Sun Oil Exports'!IR$290</f>
        <v>249.78200000000001</v>
      </c>
      <c r="U279" s="245">
        <f>'[4]Ukraine Sun Oil Exports'!JD$290</f>
        <v>277.13200000000001</v>
      </c>
      <c r="V279" s="245">
        <f>'[4]Ukraine Sun Oil Exports'!JP$290</f>
        <v>293.55099999999999</v>
      </c>
      <c r="W279" s="245">
        <f>'[4]Ukraine Sun Oil Exports'!KB$290</f>
        <v>314.255</v>
      </c>
      <c r="X279" s="245">
        <f>'[4]Ukraine Sun Oil Exports'!KN$290</f>
        <v>348.10500000000002</v>
      </c>
      <c r="Y279" s="245">
        <f>'[4]Ukraine Sun Oil Exports'!KZ$290</f>
        <v>465.10500000000002</v>
      </c>
      <c r="Z279" s="273">
        <f t="shared" si="107"/>
        <v>411.84650329229709</v>
      </c>
      <c r="AA279" s="273">
        <f t="shared" si="106"/>
        <v>392.44710308237927</v>
      </c>
      <c r="AB279" s="273">
        <f t="shared" si="105"/>
        <v>393.19844697997155</v>
      </c>
      <c r="AC279" s="273">
        <f t="shared" si="105"/>
        <v>391.29596388599975</v>
      </c>
      <c r="AD279" s="245"/>
    </row>
    <row r="280" spans="1:30">
      <c r="A280" s="247" t="s">
        <v>35</v>
      </c>
      <c r="B280" s="275">
        <f>'[4]Ukraine Sun Oil Exports'!AK$290</f>
        <v>12.2</v>
      </c>
      <c r="C280" s="275">
        <f>'[4]Ukraine Sun Oil Exports'!AW$290</f>
        <v>10.7</v>
      </c>
      <c r="D280" s="275">
        <f>'[4]Ukraine Sun Oil Exports'!BJ$290</f>
        <v>26</v>
      </c>
      <c r="E280" s="245">
        <f>'[4]Ukraine Sun Oil Exports'!BU$290</f>
        <v>23.9</v>
      </c>
      <c r="F280" s="245">
        <f>'[4]Ukraine Sun Oil Exports'!CG$290</f>
        <v>18.2</v>
      </c>
      <c r="G280" s="245">
        <f>'[4]Ukraine Sun Oil Exports'!CS$290</f>
        <v>15</v>
      </c>
      <c r="H280" s="245">
        <f>'[4]Ukraine Sun Oil Exports'!DE$290</f>
        <v>50.3</v>
      </c>
      <c r="I280" s="245">
        <f>'[4]Ukraine Sun Oil Exports'!DQ$290</f>
        <v>63.5</v>
      </c>
      <c r="J280" s="245">
        <f>'[4]Ukraine Sun Oil Exports'!EC$290</f>
        <v>27.251011500000001</v>
      </c>
      <c r="K280" s="245">
        <f>'[4]Ukraine Sun Oil Exports'!EO$290</f>
        <v>69.561999999999998</v>
      </c>
      <c r="L280" s="245">
        <f>'[4]Ukraine Sun Oil Exports'!FA$290</f>
        <v>67.221999999999994</v>
      </c>
      <c r="M280" s="245">
        <f>'[4]Ukraine Sun Oil Exports'!FM$290</f>
        <v>46.591000000000001</v>
      </c>
      <c r="N280" s="245">
        <f>'[4]Ukraine Sun Oil Exports'!FY$290</f>
        <v>132.30000000000001</v>
      </c>
      <c r="O280" s="245">
        <f>'[4]Ukraine Sun Oil Exports'!GK$290</f>
        <v>170.99299999999999</v>
      </c>
      <c r="P280" s="245">
        <f>'[4]Ukraine Sun Oil Exports'!GW$290</f>
        <v>177.71600000000001</v>
      </c>
      <c r="Q280" s="245">
        <f>'[4]Ukraine Sun Oil Exports'!HI$290</f>
        <v>159.38200000000001</v>
      </c>
      <c r="R280" s="245">
        <f>'[4]Ukraine Sun Oil Exports'!HU$290</f>
        <v>216.43100000000001</v>
      </c>
      <c r="S280" s="245">
        <f>'[4]Ukraine Sun Oil Exports'!IG$290</f>
        <v>199.3</v>
      </c>
      <c r="T280" s="245">
        <f>'[4]Ukraine Sun Oil Exports'!IS$290</f>
        <v>258.50700000000001</v>
      </c>
      <c r="U280" s="245">
        <f>'[4]Ukraine Sun Oil Exports'!JE$290</f>
        <v>281.84100000000001</v>
      </c>
      <c r="V280" s="245">
        <f>'[4]Ukraine Sun Oil Exports'!JQ$290</f>
        <v>266.25599999999997</v>
      </c>
      <c r="W280" s="245">
        <f>'[4]Ukraine Sun Oil Exports'!KC$290</f>
        <v>315.12400000000002</v>
      </c>
      <c r="X280" s="245">
        <f>'[4]Ukraine Sun Oil Exports'!KO$290</f>
        <v>392.84</v>
      </c>
      <c r="Y280" s="245">
        <f>'[4]Ukraine Sun Oil Exports'!LA$290</f>
        <v>441.65499999999997</v>
      </c>
      <c r="Z280" s="273">
        <f t="shared" si="107"/>
        <v>420.66294727861208</v>
      </c>
      <c r="AA280" s="273">
        <f t="shared" si="106"/>
        <v>392.34726658489393</v>
      </c>
      <c r="AB280" s="273">
        <f t="shared" si="105"/>
        <v>393.98692885724552</v>
      </c>
      <c r="AC280" s="273">
        <f t="shared" si="105"/>
        <v>397.54909720877947</v>
      </c>
      <c r="AD280" s="245"/>
    </row>
    <row r="281" spans="1:30">
      <c r="A281" s="247" t="s">
        <v>36</v>
      </c>
      <c r="B281" s="275">
        <f>'[4]Ukraine Sun Oil Exports'!AL$290</f>
        <v>17.2</v>
      </c>
      <c r="C281" s="275">
        <f>'[4]Ukraine Sun Oil Exports'!AX$290</f>
        <v>17.399999999999999</v>
      </c>
      <c r="D281" s="275">
        <f>'[4]Ukraine Sun Oil Exports'!BK$290</f>
        <v>19</v>
      </c>
      <c r="E281" s="245">
        <f>'[4]Ukraine Sun Oil Exports'!BV$290</f>
        <v>14.9</v>
      </c>
      <c r="F281" s="245">
        <f>'[4]Ukraine Sun Oil Exports'!CH$290</f>
        <v>13.4</v>
      </c>
      <c r="G281" s="245">
        <f>'[4]Ukraine Sun Oil Exports'!CT$290</f>
        <v>15</v>
      </c>
      <c r="H281" s="245">
        <f>'[4]Ukraine Sun Oil Exports'!DF$290</f>
        <v>36.200000000000003</v>
      </c>
      <c r="I281" s="245">
        <f>'[4]Ukraine Sun Oil Exports'!DR$290</f>
        <v>51.4</v>
      </c>
      <c r="J281" s="245">
        <f>'[4]Ukraine Sun Oil Exports'!ED$290</f>
        <v>49.874612649999996</v>
      </c>
      <c r="K281" s="245">
        <f>'[4]Ukraine Sun Oil Exports'!EP$290</f>
        <v>97.436000000000007</v>
      </c>
      <c r="L281" s="245">
        <f>'[4]Ukraine Sun Oil Exports'!FB$290</f>
        <v>105.078</v>
      </c>
      <c r="M281" s="245">
        <f>'[4]Ukraine Sun Oil Exports'!FN$290</f>
        <v>60.488</v>
      </c>
      <c r="N281" s="245">
        <f>'[4]Ukraine Sun Oil Exports'!FZ$290</f>
        <v>163.93299999999999</v>
      </c>
      <c r="O281" s="245">
        <f>'[4]Ukraine Sun Oil Exports'!GL$290</f>
        <v>192.965</v>
      </c>
      <c r="P281" s="245">
        <f>'[4]Ukraine Sun Oil Exports'!GX$290</f>
        <v>115.15900000000001</v>
      </c>
      <c r="Q281" s="245">
        <f>'[4]Ukraine Sun Oil Exports'!HJ$290</f>
        <v>202.91</v>
      </c>
      <c r="R281" s="245">
        <f>'[4]Ukraine Sun Oil Exports'!HV$290</f>
        <v>198.571</v>
      </c>
      <c r="S281" s="245">
        <f>'[4]Ukraine Sun Oil Exports'!IH$290</f>
        <v>310.226</v>
      </c>
      <c r="T281" s="245">
        <f>'[4]Ukraine Sun Oil Exports'!IT$290</f>
        <v>283.44400000000002</v>
      </c>
      <c r="U281" s="245">
        <f>'[4]Ukraine Sun Oil Exports'!JF$290</f>
        <v>230.02099999999999</v>
      </c>
      <c r="V281" s="245">
        <f>'[4]Ukraine Sun Oil Exports'!JR$290</f>
        <v>377.97399999999999</v>
      </c>
      <c r="W281" s="245">
        <f>'[4]Ukraine Sun Oil Exports'!KD$290</f>
        <v>402.29</v>
      </c>
      <c r="X281" s="245">
        <f>'[4]Ukraine Sun Oil Exports'!KP$290</f>
        <v>429.41699999999997</v>
      </c>
      <c r="Y281" s="245">
        <f>'[4]Ukraine Sun Oil Exports'!LB$290</f>
        <v>683.72699999999998</v>
      </c>
      <c r="Z281" s="273">
        <f t="shared" si="107"/>
        <v>478.59434172077528</v>
      </c>
      <c r="AA281" s="273">
        <f t="shared" si="106"/>
        <v>490.73081948753196</v>
      </c>
      <c r="AB281" s="273">
        <f t="shared" si="105"/>
        <v>508.85848519578053</v>
      </c>
      <c r="AC281" s="273">
        <f t="shared" si="105"/>
        <v>503.31145299476088</v>
      </c>
      <c r="AD281" s="245"/>
    </row>
    <row r="282" spans="1:30">
      <c r="A282" s="247" t="s">
        <v>37</v>
      </c>
      <c r="B282" s="275">
        <f>'[4]Ukraine Sun Oil Exports'!AM$290</f>
        <v>24.3</v>
      </c>
      <c r="C282" s="275">
        <f>'[4]Ukraine Sun Oil Exports'!AY$290</f>
        <v>8</v>
      </c>
      <c r="D282" s="275">
        <f>'[4]Ukraine Sun Oil Exports'!BL$290</f>
        <v>20.7</v>
      </c>
      <c r="E282" s="245">
        <f>'[4]Ukraine Sun Oil Exports'!BW$290</f>
        <v>14.4</v>
      </c>
      <c r="F282" s="245">
        <f>'[4]Ukraine Sun Oil Exports'!CI$290</f>
        <v>2.2999999999999998</v>
      </c>
      <c r="G282" s="245">
        <f>'[4]Ukraine Sun Oil Exports'!CU$290</f>
        <v>15</v>
      </c>
      <c r="H282" s="245">
        <f>'[4]Ukraine Sun Oil Exports'!DG$290</f>
        <v>30.6</v>
      </c>
      <c r="I282" s="245">
        <f>'[4]Ukraine Sun Oil Exports'!DS$290</f>
        <v>28.1</v>
      </c>
      <c r="J282" s="245">
        <f>'[4]Ukraine Sun Oil Exports'!EE$290</f>
        <v>41.326000000000001</v>
      </c>
      <c r="K282" s="245">
        <f>'[4]Ukraine Sun Oil Exports'!EQ$290</f>
        <v>100.86</v>
      </c>
      <c r="L282" s="245">
        <f>'[4]Ukraine Sun Oil Exports'!FC$290</f>
        <v>102.76900000000001</v>
      </c>
      <c r="M282" s="245">
        <f>'[4]Ukraine Sun Oil Exports'!FO$290</f>
        <v>61.981999999999999</v>
      </c>
      <c r="N282" s="245">
        <f>'[4]Ukraine Sun Oil Exports'!GA$290</f>
        <v>139.684</v>
      </c>
      <c r="O282" s="245">
        <f>'[4]Ukraine Sun Oil Exports'!GM$290</f>
        <v>186.655</v>
      </c>
      <c r="P282" s="245">
        <f>'[4]Ukraine Sun Oil Exports'!GY$290</f>
        <v>14.031000000000001</v>
      </c>
      <c r="Q282" s="245">
        <f>'[4]Ukraine Sun Oil Exports'!HK$290</f>
        <v>178.48099999999999</v>
      </c>
      <c r="R282" s="245">
        <f>'[4]Ukraine Sun Oil Exports'!HW$290</f>
        <v>263.15199999999999</v>
      </c>
      <c r="S282" s="245">
        <f>'[4]Ukraine Sun Oil Exports'!II$290</f>
        <v>205.798</v>
      </c>
      <c r="T282" s="245">
        <f>'[4]Ukraine Sun Oil Exports'!IU$290</f>
        <v>342.995</v>
      </c>
      <c r="U282" s="245">
        <f>'[4]Ukraine Sun Oil Exports'!JG$290</f>
        <v>205.83199999999999</v>
      </c>
      <c r="V282" s="245">
        <f>'[4]Ukraine Sun Oil Exports'!JS$290</f>
        <v>483.06099999999998</v>
      </c>
      <c r="W282" s="245">
        <f>'[4]Ukraine Sun Oil Exports'!KE$290</f>
        <v>326.58499999999998</v>
      </c>
      <c r="X282" s="245">
        <f>'[4]Ukraine Sun Oil Exports'!KQ$290</f>
        <v>418.00700000000001</v>
      </c>
      <c r="Y282" s="245">
        <f>'[4]Ukraine Sun Oil Exports'!LC$290</f>
        <v>575.14599999999996</v>
      </c>
      <c r="Z282" s="273">
        <f>Z283-SUM(Z271:Z281)</f>
        <v>137.79355521778689</v>
      </c>
      <c r="AA282" s="273">
        <f>AA283-SUM(AA271:AA281)</f>
        <v>464.20065689884632</v>
      </c>
      <c r="AB282" s="273">
        <f>AB283-SUM(AB271:AB281)</f>
        <v>416.30944905136948</v>
      </c>
      <c r="AC282" s="273">
        <f>AC283-SUM(AC271:AC281)</f>
        <v>389.26502296379749</v>
      </c>
      <c r="AD282" s="245"/>
    </row>
    <row r="283" spans="1:30" ht="15.75" thickBot="1">
      <c r="A283" s="247" t="s">
        <v>138</v>
      </c>
      <c r="B283" s="245">
        <f t="shared" ref="B283:W283" si="108">SUM(B271:B282)</f>
        <v>136.84941888700001</v>
      </c>
      <c r="C283" s="245">
        <f t="shared" si="108"/>
        <v>209.9</v>
      </c>
      <c r="D283" s="245">
        <f t="shared" si="108"/>
        <v>257.60000000000002</v>
      </c>
      <c r="E283" s="245">
        <f t="shared" si="108"/>
        <v>239.10000000000002</v>
      </c>
      <c r="F283" s="245">
        <f t="shared" si="108"/>
        <v>176.8</v>
      </c>
      <c r="G283" s="245">
        <f t="shared" si="108"/>
        <v>160.6</v>
      </c>
      <c r="H283" s="245">
        <f t="shared" si="108"/>
        <v>308.30500701</v>
      </c>
      <c r="I283" s="245">
        <f t="shared" si="108"/>
        <v>641</v>
      </c>
      <c r="J283" s="245">
        <f t="shared" si="108"/>
        <v>423.19510185000001</v>
      </c>
      <c r="K283" s="245">
        <f t="shared" si="108"/>
        <v>756.39400000000001</v>
      </c>
      <c r="L283" s="245">
        <f t="shared" si="108"/>
        <v>922.05100000000004</v>
      </c>
      <c r="M283" s="245">
        <f t="shared" si="108"/>
        <v>770.71199999999999</v>
      </c>
      <c r="N283" s="245">
        <f t="shared" si="108"/>
        <v>1169.7760000000001</v>
      </c>
      <c r="O283" s="245">
        <f t="shared" si="108"/>
        <v>1766.076</v>
      </c>
      <c r="P283" s="245">
        <f t="shared" si="108"/>
        <v>1647.0530000000003</v>
      </c>
      <c r="Q283" s="245">
        <f t="shared" si="108"/>
        <v>1651.835</v>
      </c>
      <c r="R283" s="245">
        <f t="shared" si="108"/>
        <v>2433.674</v>
      </c>
      <c r="S283" s="245">
        <f t="shared" si="108"/>
        <v>2848.2550000000001</v>
      </c>
      <c r="T283" s="245">
        <f t="shared" si="108"/>
        <v>2836.8579999999997</v>
      </c>
      <c r="U283" s="245">
        <f t="shared" si="108"/>
        <v>3474.1179999999999</v>
      </c>
      <c r="V283" s="245">
        <f t="shared" si="108"/>
        <v>3635.4369999999999</v>
      </c>
      <c r="W283" s="245">
        <f t="shared" si="108"/>
        <v>4279.5010000000002</v>
      </c>
      <c r="X283" s="245">
        <f>SUM(X271:X282)</f>
        <v>4168.6890000000003</v>
      </c>
      <c r="Y283" s="245">
        <f>SUM(Y271:Y282)</f>
        <v>5419.9139999999998</v>
      </c>
      <c r="Z283" s="273">
        <f>Z40</f>
        <v>5109</v>
      </c>
      <c r="AA283" s="273">
        <f>AA40</f>
        <v>4848</v>
      </c>
      <c r="AB283" s="273">
        <f>AB40</f>
        <v>4851</v>
      </c>
      <c r="AC283" s="273">
        <f>AC40</f>
        <v>4826</v>
      </c>
      <c r="AD283" s="245"/>
    </row>
    <row r="284" spans="1:30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  <c r="AA284" s="271"/>
      <c r="AB284" s="271"/>
      <c r="AC284" s="271"/>
    </row>
    <row r="285" spans="1:30" ht="15.75" thickBot="1">
      <c r="A285" s="247" t="s">
        <v>402</v>
      </c>
      <c r="D285" s="183">
        <v>99.860000000000014</v>
      </c>
      <c r="E285" s="183">
        <v>118.67699999999999</v>
      </c>
      <c r="F285" s="183">
        <v>160.22399999999999</v>
      </c>
      <c r="G285" s="183">
        <v>62.062999999999995</v>
      </c>
      <c r="H285" s="183">
        <v>94.578000000000003</v>
      </c>
      <c r="I285" s="183">
        <v>142.18700000000001</v>
      </c>
    </row>
    <row r="286" spans="1:30" ht="15.75" thickBot="1">
      <c r="A286" s="263"/>
      <c r="B286" s="235" t="str">
        <f>B$2</f>
        <v xml:space="preserve">93/94 </v>
      </c>
      <c r="C286" s="235" t="str">
        <f t="shared" ref="C286:AC286" si="109">C$2</f>
        <v xml:space="preserve">94/95 </v>
      </c>
      <c r="D286" s="235" t="str">
        <f t="shared" si="109"/>
        <v xml:space="preserve">95/96 </v>
      </c>
      <c r="E286" s="235" t="str">
        <f t="shared" si="109"/>
        <v xml:space="preserve">96/97 </v>
      </c>
      <c r="F286" s="235" t="str">
        <f t="shared" si="109"/>
        <v xml:space="preserve">97/98 </v>
      </c>
      <c r="G286" s="235" t="str">
        <f t="shared" si="109"/>
        <v xml:space="preserve">98/99 </v>
      </c>
      <c r="H286" s="235" t="str">
        <f t="shared" si="109"/>
        <v xml:space="preserve">99/00 </v>
      </c>
      <c r="I286" s="235" t="str">
        <f t="shared" si="109"/>
        <v xml:space="preserve">00/01 </v>
      </c>
      <c r="J286" s="235" t="str">
        <f t="shared" si="109"/>
        <v xml:space="preserve">01/02 </v>
      </c>
      <c r="K286" s="235" t="str">
        <f t="shared" si="109"/>
        <v xml:space="preserve">02/03 </v>
      </c>
      <c r="L286" s="235" t="str">
        <f t="shared" si="109"/>
        <v xml:space="preserve">03/04 </v>
      </c>
      <c r="M286" s="235" t="str">
        <f t="shared" si="109"/>
        <v xml:space="preserve">04/05 </v>
      </c>
      <c r="N286" s="235" t="str">
        <f t="shared" si="109"/>
        <v xml:space="preserve">05/06 </v>
      </c>
      <c r="O286" s="235" t="str">
        <f t="shared" si="109"/>
        <v xml:space="preserve">06/07 </v>
      </c>
      <c r="P286" s="235" t="str">
        <f t="shared" si="109"/>
        <v xml:space="preserve">07/08 </v>
      </c>
      <c r="Q286" s="235" t="str">
        <f t="shared" si="109"/>
        <v xml:space="preserve">08/09 </v>
      </c>
      <c r="R286" s="235" t="str">
        <f t="shared" si="109"/>
        <v xml:space="preserve">09/10 </v>
      </c>
      <c r="S286" s="235" t="str">
        <f t="shared" si="109"/>
        <v xml:space="preserve">10/11 </v>
      </c>
      <c r="T286" s="235" t="str">
        <f t="shared" si="109"/>
        <v xml:space="preserve">11/12 </v>
      </c>
      <c r="U286" s="235" t="str">
        <f t="shared" si="109"/>
        <v xml:space="preserve">12/13 </v>
      </c>
      <c r="V286" s="235" t="str">
        <f t="shared" si="109"/>
        <v xml:space="preserve">13/14 </v>
      </c>
      <c r="W286" s="235" t="str">
        <f t="shared" si="109"/>
        <v xml:space="preserve">14/15 </v>
      </c>
      <c r="X286" s="235" t="str">
        <f t="shared" si="109"/>
        <v xml:space="preserve">15/16 </v>
      </c>
      <c r="Y286" s="235" t="str">
        <f t="shared" si="109"/>
        <v xml:space="preserve">16/17 </v>
      </c>
      <c r="Z286" s="235" t="str">
        <f t="shared" si="109"/>
        <v xml:space="preserve">17/18 </v>
      </c>
      <c r="AA286" s="235" t="str">
        <f t="shared" si="109"/>
        <v xml:space="preserve">18/19 </v>
      </c>
      <c r="AB286" s="235" t="str">
        <f t="shared" si="109"/>
        <v xml:space="preserve">19/20 </v>
      </c>
      <c r="AC286" s="235" t="str">
        <f t="shared" si="109"/>
        <v xml:space="preserve">20/21 </v>
      </c>
      <c r="AD286" s="288"/>
    </row>
    <row r="287" spans="1:30">
      <c r="A287" s="247" t="s">
        <v>38</v>
      </c>
      <c r="B287" s="278">
        <f t="shared" ref="B287:Q298" si="110">B$299/12</f>
        <v>32</v>
      </c>
      <c r="C287" s="278">
        <f t="shared" si="110"/>
        <v>44.499999999999979</v>
      </c>
      <c r="D287" s="278">
        <f t="shared" si="110"/>
        <v>45</v>
      </c>
      <c r="E287" s="278">
        <f t="shared" si="110"/>
        <v>28.824999999999999</v>
      </c>
      <c r="F287" s="278">
        <f t="shared" si="110"/>
        <v>29.933333333333341</v>
      </c>
      <c r="G287" s="278">
        <f t="shared" si="110"/>
        <v>35.949999999999996</v>
      </c>
      <c r="H287" s="278">
        <f t="shared" si="110"/>
        <v>47.224582749166665</v>
      </c>
      <c r="I287" s="278">
        <f t="shared" si="110"/>
        <v>27.666666666666657</v>
      </c>
      <c r="J287" s="278">
        <f t="shared" si="110"/>
        <v>36.489324845833323</v>
      </c>
      <c r="K287" s="278">
        <f t="shared" si="110"/>
        <v>46.034166666666671</v>
      </c>
      <c r="L287" s="278">
        <f t="shared" si="110"/>
        <v>31.431666666666661</v>
      </c>
      <c r="M287" s="278">
        <f t="shared" si="110"/>
        <v>11.491750000000005</v>
      </c>
      <c r="N287" s="278">
        <f t="shared" si="110"/>
        <v>58.728416666666647</v>
      </c>
      <c r="O287" s="278">
        <f t="shared" si="110"/>
        <v>44.007499999999972</v>
      </c>
      <c r="P287" s="278">
        <f t="shared" si="110"/>
        <v>4.2766666666666424</v>
      </c>
      <c r="Q287" s="278">
        <f t="shared" si="110"/>
        <v>63.863333333333308</v>
      </c>
      <c r="R287" s="278">
        <f t="shared" ref="R287:AC298" si="111">R$299/12</f>
        <v>47.316833333333307</v>
      </c>
      <c r="S287" s="278">
        <f t="shared" si="111"/>
        <v>1.3993333333333264</v>
      </c>
      <c r="T287" s="278">
        <f t="shared" si="111"/>
        <v>52.07166666666668</v>
      </c>
      <c r="U287" s="278">
        <f t="shared" si="111"/>
        <v>-15.133999999999977</v>
      </c>
      <c r="V287" s="278">
        <f t="shared" si="111"/>
        <v>47.427416666666737</v>
      </c>
      <c r="W287" s="278">
        <f t="shared" si="111"/>
        <v>-55.957500000000017</v>
      </c>
      <c r="X287" s="278">
        <f t="shared" si="111"/>
        <v>-14.618083333333365</v>
      </c>
      <c r="Y287" s="278">
        <f t="shared" si="111"/>
        <v>-39.551583333333305</v>
      </c>
      <c r="Z287" s="276">
        <f t="shared" si="111"/>
        <v>13.75</v>
      </c>
      <c r="AA287" s="276">
        <f t="shared" si="111"/>
        <v>33.333333333333336</v>
      </c>
      <c r="AB287" s="276">
        <f t="shared" si="111"/>
        <v>33.333333333333336</v>
      </c>
      <c r="AC287" s="276">
        <f t="shared" si="111"/>
        <v>35.416666666666664</v>
      </c>
      <c r="AD287" s="245"/>
    </row>
    <row r="288" spans="1:30">
      <c r="A288" s="247" t="s">
        <v>39</v>
      </c>
      <c r="B288" s="278">
        <f t="shared" si="110"/>
        <v>32</v>
      </c>
      <c r="C288" s="278">
        <f t="shared" si="110"/>
        <v>44.499999999999979</v>
      </c>
      <c r="D288" s="278">
        <f t="shared" si="110"/>
        <v>45</v>
      </c>
      <c r="E288" s="278">
        <f t="shared" si="110"/>
        <v>28.824999999999999</v>
      </c>
      <c r="F288" s="278">
        <f t="shared" si="110"/>
        <v>29.933333333333341</v>
      </c>
      <c r="G288" s="278">
        <f t="shared" si="110"/>
        <v>35.949999999999996</v>
      </c>
      <c r="H288" s="278">
        <f t="shared" si="110"/>
        <v>47.224582749166665</v>
      </c>
      <c r="I288" s="278">
        <f t="shared" si="110"/>
        <v>27.666666666666657</v>
      </c>
      <c r="J288" s="278">
        <f t="shared" si="110"/>
        <v>36.489324845833323</v>
      </c>
      <c r="K288" s="278">
        <f t="shared" si="110"/>
        <v>46.034166666666671</v>
      </c>
      <c r="L288" s="278">
        <f t="shared" si="110"/>
        <v>31.431666666666661</v>
      </c>
      <c r="M288" s="278">
        <f t="shared" si="110"/>
        <v>11.491750000000005</v>
      </c>
      <c r="N288" s="278">
        <f t="shared" si="110"/>
        <v>58.728416666666647</v>
      </c>
      <c r="O288" s="278">
        <f t="shared" si="110"/>
        <v>44.007499999999972</v>
      </c>
      <c r="P288" s="278">
        <f t="shared" si="110"/>
        <v>4.2766666666666424</v>
      </c>
      <c r="Q288" s="278">
        <f t="shared" si="110"/>
        <v>63.863333333333308</v>
      </c>
      <c r="R288" s="278">
        <f t="shared" si="111"/>
        <v>47.316833333333307</v>
      </c>
      <c r="S288" s="278">
        <f t="shared" si="111"/>
        <v>1.3993333333333264</v>
      </c>
      <c r="T288" s="278">
        <f t="shared" si="111"/>
        <v>52.07166666666668</v>
      </c>
      <c r="U288" s="278">
        <f t="shared" si="111"/>
        <v>-15.133999999999977</v>
      </c>
      <c r="V288" s="278">
        <f t="shared" si="111"/>
        <v>47.427416666666737</v>
      </c>
      <c r="W288" s="278">
        <f t="shared" si="111"/>
        <v>-55.957500000000017</v>
      </c>
      <c r="X288" s="278">
        <f t="shared" si="111"/>
        <v>-14.618083333333365</v>
      </c>
      <c r="Y288" s="278">
        <f t="shared" si="111"/>
        <v>-39.551583333333305</v>
      </c>
      <c r="Z288" s="276">
        <f t="shared" si="111"/>
        <v>13.75</v>
      </c>
      <c r="AA288" s="276">
        <f>AA$299/12</f>
        <v>33.333333333333336</v>
      </c>
      <c r="AB288" s="276">
        <f>AB$299/12</f>
        <v>33.333333333333336</v>
      </c>
      <c r="AC288" s="276">
        <f>AC$299/12</f>
        <v>35.416666666666664</v>
      </c>
      <c r="AD288" s="245"/>
    </row>
    <row r="289" spans="1:30">
      <c r="A289" s="247" t="s">
        <v>40</v>
      </c>
      <c r="B289" s="278">
        <f t="shared" si="110"/>
        <v>32</v>
      </c>
      <c r="C289" s="278">
        <f t="shared" si="110"/>
        <v>44.499999999999979</v>
      </c>
      <c r="D289" s="278">
        <f t="shared" si="110"/>
        <v>45</v>
      </c>
      <c r="E289" s="278">
        <f t="shared" si="110"/>
        <v>28.824999999999999</v>
      </c>
      <c r="F289" s="278">
        <f t="shared" si="110"/>
        <v>29.933333333333341</v>
      </c>
      <c r="G289" s="278">
        <f t="shared" si="110"/>
        <v>35.949999999999996</v>
      </c>
      <c r="H289" s="278">
        <f t="shared" si="110"/>
        <v>47.224582749166665</v>
      </c>
      <c r="I289" s="278">
        <f t="shared" si="110"/>
        <v>27.666666666666657</v>
      </c>
      <c r="J289" s="278">
        <f t="shared" si="110"/>
        <v>36.489324845833323</v>
      </c>
      <c r="K289" s="278">
        <f t="shared" si="110"/>
        <v>46.034166666666671</v>
      </c>
      <c r="L289" s="278">
        <f t="shared" si="110"/>
        <v>31.431666666666661</v>
      </c>
      <c r="M289" s="278">
        <f t="shared" si="110"/>
        <v>11.491750000000005</v>
      </c>
      <c r="N289" s="278">
        <f t="shared" si="110"/>
        <v>58.728416666666647</v>
      </c>
      <c r="O289" s="278">
        <f t="shared" si="110"/>
        <v>44.007499999999972</v>
      </c>
      <c r="P289" s="278">
        <f t="shared" si="110"/>
        <v>4.2766666666666424</v>
      </c>
      <c r="Q289" s="278">
        <f t="shared" si="110"/>
        <v>63.863333333333308</v>
      </c>
      <c r="R289" s="278">
        <f t="shared" si="111"/>
        <v>47.316833333333307</v>
      </c>
      <c r="S289" s="278">
        <f t="shared" si="111"/>
        <v>1.3993333333333264</v>
      </c>
      <c r="T289" s="278">
        <f t="shared" si="111"/>
        <v>52.07166666666668</v>
      </c>
      <c r="U289" s="278">
        <f t="shared" si="111"/>
        <v>-15.133999999999977</v>
      </c>
      <c r="V289" s="278">
        <f t="shared" si="111"/>
        <v>47.427416666666737</v>
      </c>
      <c r="W289" s="278">
        <f t="shared" si="111"/>
        <v>-55.957500000000017</v>
      </c>
      <c r="X289" s="278">
        <f t="shared" si="111"/>
        <v>-14.618083333333365</v>
      </c>
      <c r="Y289" s="278">
        <f t="shared" si="111"/>
        <v>-39.551583333333305</v>
      </c>
      <c r="Z289" s="276">
        <f t="shared" si="111"/>
        <v>13.75</v>
      </c>
      <c r="AA289" s="276">
        <f t="shared" si="111"/>
        <v>33.333333333333336</v>
      </c>
      <c r="AB289" s="276">
        <f t="shared" si="111"/>
        <v>33.333333333333336</v>
      </c>
      <c r="AC289" s="276">
        <f t="shared" si="111"/>
        <v>35.416666666666664</v>
      </c>
      <c r="AD289" s="245"/>
    </row>
    <row r="290" spans="1:30">
      <c r="A290" s="247" t="s">
        <v>30</v>
      </c>
      <c r="B290" s="278">
        <f t="shared" si="110"/>
        <v>32</v>
      </c>
      <c r="C290" s="278">
        <f t="shared" si="110"/>
        <v>44.499999999999979</v>
      </c>
      <c r="D290" s="278">
        <f t="shared" si="110"/>
        <v>45</v>
      </c>
      <c r="E290" s="278">
        <f t="shared" si="110"/>
        <v>28.824999999999999</v>
      </c>
      <c r="F290" s="278">
        <f t="shared" si="110"/>
        <v>29.933333333333341</v>
      </c>
      <c r="G290" s="278">
        <f t="shared" si="110"/>
        <v>35.949999999999996</v>
      </c>
      <c r="H290" s="278">
        <f t="shared" si="110"/>
        <v>47.224582749166665</v>
      </c>
      <c r="I290" s="278">
        <f t="shared" si="110"/>
        <v>27.666666666666657</v>
      </c>
      <c r="J290" s="278">
        <f t="shared" si="110"/>
        <v>36.489324845833323</v>
      </c>
      <c r="K290" s="278">
        <f t="shared" si="110"/>
        <v>46.034166666666671</v>
      </c>
      <c r="L290" s="278">
        <f t="shared" si="110"/>
        <v>31.431666666666661</v>
      </c>
      <c r="M290" s="278">
        <f t="shared" si="110"/>
        <v>11.491750000000005</v>
      </c>
      <c r="N290" s="278">
        <f t="shared" si="110"/>
        <v>58.728416666666647</v>
      </c>
      <c r="O290" s="278">
        <f t="shared" si="110"/>
        <v>44.007499999999972</v>
      </c>
      <c r="P290" s="278">
        <f t="shared" si="110"/>
        <v>4.2766666666666424</v>
      </c>
      <c r="Q290" s="278">
        <f t="shared" si="110"/>
        <v>63.863333333333308</v>
      </c>
      <c r="R290" s="278">
        <f t="shared" si="111"/>
        <v>47.316833333333307</v>
      </c>
      <c r="S290" s="278">
        <f t="shared" si="111"/>
        <v>1.3993333333333264</v>
      </c>
      <c r="T290" s="278">
        <f t="shared" si="111"/>
        <v>52.07166666666668</v>
      </c>
      <c r="U290" s="278">
        <f t="shared" si="111"/>
        <v>-15.133999999999977</v>
      </c>
      <c r="V290" s="278">
        <f t="shared" si="111"/>
        <v>47.427416666666737</v>
      </c>
      <c r="W290" s="278">
        <f t="shared" si="111"/>
        <v>-55.957500000000017</v>
      </c>
      <c r="X290" s="278">
        <f t="shared" si="111"/>
        <v>-14.618083333333365</v>
      </c>
      <c r="Y290" s="278">
        <f t="shared" si="111"/>
        <v>-39.551583333333305</v>
      </c>
      <c r="Z290" s="276">
        <f t="shared" si="111"/>
        <v>13.75</v>
      </c>
      <c r="AA290" s="276">
        <f t="shared" si="111"/>
        <v>33.333333333333336</v>
      </c>
      <c r="AB290" s="276">
        <f t="shared" si="111"/>
        <v>33.333333333333336</v>
      </c>
      <c r="AC290" s="276">
        <f t="shared" si="111"/>
        <v>35.416666666666664</v>
      </c>
      <c r="AD290" s="245"/>
    </row>
    <row r="291" spans="1:30">
      <c r="A291" s="247" t="s">
        <v>31</v>
      </c>
      <c r="B291" s="278">
        <f t="shared" si="110"/>
        <v>32</v>
      </c>
      <c r="C291" s="278">
        <f t="shared" si="110"/>
        <v>44.499999999999979</v>
      </c>
      <c r="D291" s="278">
        <f t="shared" si="110"/>
        <v>45</v>
      </c>
      <c r="E291" s="278">
        <f t="shared" si="110"/>
        <v>28.824999999999999</v>
      </c>
      <c r="F291" s="278">
        <f t="shared" si="110"/>
        <v>29.933333333333341</v>
      </c>
      <c r="G291" s="278">
        <f t="shared" si="110"/>
        <v>35.949999999999996</v>
      </c>
      <c r="H291" s="278">
        <f t="shared" si="110"/>
        <v>47.224582749166665</v>
      </c>
      <c r="I291" s="278">
        <f t="shared" si="110"/>
        <v>27.666666666666657</v>
      </c>
      <c r="J291" s="278">
        <f t="shared" si="110"/>
        <v>36.489324845833323</v>
      </c>
      <c r="K291" s="278">
        <f t="shared" si="110"/>
        <v>46.034166666666671</v>
      </c>
      <c r="L291" s="278">
        <f t="shared" si="110"/>
        <v>31.431666666666661</v>
      </c>
      <c r="M291" s="278">
        <f t="shared" si="110"/>
        <v>11.491750000000005</v>
      </c>
      <c r="N291" s="278">
        <f t="shared" si="110"/>
        <v>58.728416666666647</v>
      </c>
      <c r="O291" s="278">
        <f t="shared" si="110"/>
        <v>44.007499999999972</v>
      </c>
      <c r="P291" s="278">
        <f t="shared" si="110"/>
        <v>4.2766666666666424</v>
      </c>
      <c r="Q291" s="278">
        <f t="shared" si="110"/>
        <v>63.863333333333308</v>
      </c>
      <c r="R291" s="278">
        <f t="shared" si="111"/>
        <v>47.316833333333307</v>
      </c>
      <c r="S291" s="278">
        <f t="shared" si="111"/>
        <v>1.3993333333333264</v>
      </c>
      <c r="T291" s="278">
        <f t="shared" si="111"/>
        <v>52.07166666666668</v>
      </c>
      <c r="U291" s="278">
        <f t="shared" si="111"/>
        <v>-15.133999999999977</v>
      </c>
      <c r="V291" s="278">
        <f t="shared" si="111"/>
        <v>47.427416666666737</v>
      </c>
      <c r="W291" s="278">
        <f t="shared" si="111"/>
        <v>-55.957500000000017</v>
      </c>
      <c r="X291" s="278">
        <f t="shared" si="111"/>
        <v>-14.618083333333365</v>
      </c>
      <c r="Y291" s="278">
        <f t="shared" si="111"/>
        <v>-39.551583333333305</v>
      </c>
      <c r="Z291" s="276">
        <f t="shared" si="111"/>
        <v>13.75</v>
      </c>
      <c r="AA291" s="276">
        <f t="shared" si="111"/>
        <v>33.333333333333336</v>
      </c>
      <c r="AB291" s="276">
        <f t="shared" si="111"/>
        <v>33.333333333333336</v>
      </c>
      <c r="AC291" s="276">
        <f t="shared" si="111"/>
        <v>35.416666666666664</v>
      </c>
      <c r="AD291" s="245"/>
    </row>
    <row r="292" spans="1:30">
      <c r="A292" s="247" t="s">
        <v>32</v>
      </c>
      <c r="B292" s="278">
        <f t="shared" si="110"/>
        <v>32</v>
      </c>
      <c r="C292" s="278">
        <f t="shared" si="110"/>
        <v>44.499999999999979</v>
      </c>
      <c r="D292" s="278">
        <f t="shared" si="110"/>
        <v>45</v>
      </c>
      <c r="E292" s="278">
        <f t="shared" si="110"/>
        <v>28.824999999999999</v>
      </c>
      <c r="F292" s="278">
        <f t="shared" si="110"/>
        <v>29.933333333333341</v>
      </c>
      <c r="G292" s="278">
        <f t="shared" si="110"/>
        <v>35.949999999999996</v>
      </c>
      <c r="H292" s="278">
        <f t="shared" si="110"/>
        <v>47.224582749166665</v>
      </c>
      <c r="I292" s="278">
        <f t="shared" si="110"/>
        <v>27.666666666666657</v>
      </c>
      <c r="J292" s="278">
        <f t="shared" si="110"/>
        <v>36.489324845833323</v>
      </c>
      <c r="K292" s="278">
        <f t="shared" si="110"/>
        <v>46.034166666666671</v>
      </c>
      <c r="L292" s="278">
        <f t="shared" si="110"/>
        <v>31.431666666666661</v>
      </c>
      <c r="M292" s="278">
        <f t="shared" si="110"/>
        <v>11.491750000000005</v>
      </c>
      <c r="N292" s="278">
        <f t="shared" si="110"/>
        <v>58.728416666666647</v>
      </c>
      <c r="O292" s="278">
        <f t="shared" si="110"/>
        <v>44.007499999999972</v>
      </c>
      <c r="P292" s="278">
        <f t="shared" si="110"/>
        <v>4.2766666666666424</v>
      </c>
      <c r="Q292" s="278">
        <f t="shared" si="110"/>
        <v>63.863333333333308</v>
      </c>
      <c r="R292" s="278">
        <f t="shared" si="111"/>
        <v>47.316833333333307</v>
      </c>
      <c r="S292" s="278">
        <f t="shared" si="111"/>
        <v>1.3993333333333264</v>
      </c>
      <c r="T292" s="278">
        <f t="shared" si="111"/>
        <v>52.07166666666668</v>
      </c>
      <c r="U292" s="278">
        <f t="shared" si="111"/>
        <v>-15.133999999999977</v>
      </c>
      <c r="V292" s="278">
        <f t="shared" si="111"/>
        <v>47.427416666666737</v>
      </c>
      <c r="W292" s="278">
        <f t="shared" si="111"/>
        <v>-55.957500000000017</v>
      </c>
      <c r="X292" s="278">
        <f t="shared" si="111"/>
        <v>-14.618083333333365</v>
      </c>
      <c r="Y292" s="278">
        <f t="shared" si="111"/>
        <v>-39.551583333333305</v>
      </c>
      <c r="Z292" s="276">
        <f t="shared" si="111"/>
        <v>13.75</v>
      </c>
      <c r="AA292" s="276">
        <f t="shared" si="111"/>
        <v>33.333333333333336</v>
      </c>
      <c r="AB292" s="276">
        <f t="shared" si="111"/>
        <v>33.333333333333336</v>
      </c>
      <c r="AC292" s="276">
        <f t="shared" si="111"/>
        <v>35.416666666666664</v>
      </c>
      <c r="AD292" s="245"/>
    </row>
    <row r="293" spans="1:30">
      <c r="A293" s="247" t="s">
        <v>33</v>
      </c>
      <c r="B293" s="278">
        <f t="shared" si="110"/>
        <v>32</v>
      </c>
      <c r="C293" s="278">
        <f t="shared" si="110"/>
        <v>44.499999999999979</v>
      </c>
      <c r="D293" s="278">
        <f t="shared" si="110"/>
        <v>45</v>
      </c>
      <c r="E293" s="278">
        <f t="shared" si="110"/>
        <v>28.824999999999999</v>
      </c>
      <c r="F293" s="278">
        <f t="shared" si="110"/>
        <v>29.933333333333341</v>
      </c>
      <c r="G293" s="278">
        <f t="shared" si="110"/>
        <v>35.949999999999996</v>
      </c>
      <c r="H293" s="278">
        <f t="shared" si="110"/>
        <v>47.224582749166665</v>
      </c>
      <c r="I293" s="278">
        <f t="shared" si="110"/>
        <v>27.666666666666657</v>
      </c>
      <c r="J293" s="278">
        <f t="shared" si="110"/>
        <v>36.489324845833323</v>
      </c>
      <c r="K293" s="278">
        <f t="shared" si="110"/>
        <v>46.034166666666671</v>
      </c>
      <c r="L293" s="278">
        <f t="shared" si="110"/>
        <v>31.431666666666661</v>
      </c>
      <c r="M293" s="278">
        <f t="shared" si="110"/>
        <v>11.491750000000005</v>
      </c>
      <c r="N293" s="278">
        <f t="shared" si="110"/>
        <v>58.728416666666647</v>
      </c>
      <c r="O293" s="278">
        <f t="shared" si="110"/>
        <v>44.007499999999972</v>
      </c>
      <c r="P293" s="278">
        <f t="shared" si="110"/>
        <v>4.2766666666666424</v>
      </c>
      <c r="Q293" s="278">
        <f t="shared" si="110"/>
        <v>63.863333333333308</v>
      </c>
      <c r="R293" s="278">
        <f t="shared" si="111"/>
        <v>47.316833333333307</v>
      </c>
      <c r="S293" s="278">
        <f t="shared" si="111"/>
        <v>1.3993333333333264</v>
      </c>
      <c r="T293" s="278">
        <f t="shared" si="111"/>
        <v>52.07166666666668</v>
      </c>
      <c r="U293" s="278">
        <f t="shared" si="111"/>
        <v>-15.133999999999977</v>
      </c>
      <c r="V293" s="278">
        <f t="shared" si="111"/>
        <v>47.427416666666737</v>
      </c>
      <c r="W293" s="278">
        <f t="shared" si="111"/>
        <v>-55.957500000000017</v>
      </c>
      <c r="X293" s="278">
        <f t="shared" si="111"/>
        <v>-14.618083333333365</v>
      </c>
      <c r="Y293" s="278">
        <f t="shared" si="111"/>
        <v>-39.551583333333305</v>
      </c>
      <c r="Z293" s="276">
        <f t="shared" si="111"/>
        <v>13.75</v>
      </c>
      <c r="AA293" s="276">
        <f t="shared" si="111"/>
        <v>33.333333333333336</v>
      </c>
      <c r="AB293" s="276">
        <f t="shared" si="111"/>
        <v>33.333333333333336</v>
      </c>
      <c r="AC293" s="276">
        <f t="shared" si="111"/>
        <v>35.416666666666664</v>
      </c>
      <c r="AD293" s="245"/>
    </row>
    <row r="294" spans="1:30">
      <c r="A294" s="247" t="s">
        <v>14</v>
      </c>
      <c r="B294" s="278">
        <f t="shared" si="110"/>
        <v>32</v>
      </c>
      <c r="C294" s="278">
        <f t="shared" si="110"/>
        <v>44.499999999999979</v>
      </c>
      <c r="D294" s="278">
        <f t="shared" si="110"/>
        <v>45</v>
      </c>
      <c r="E294" s="278">
        <f t="shared" si="110"/>
        <v>28.824999999999999</v>
      </c>
      <c r="F294" s="278">
        <f t="shared" si="110"/>
        <v>29.933333333333341</v>
      </c>
      <c r="G294" s="278">
        <f t="shared" si="110"/>
        <v>35.949999999999996</v>
      </c>
      <c r="H294" s="278">
        <f t="shared" si="110"/>
        <v>47.224582749166665</v>
      </c>
      <c r="I294" s="278">
        <f t="shared" si="110"/>
        <v>27.666666666666657</v>
      </c>
      <c r="J294" s="278">
        <f t="shared" si="110"/>
        <v>36.489324845833323</v>
      </c>
      <c r="K294" s="278">
        <f t="shared" si="110"/>
        <v>46.034166666666671</v>
      </c>
      <c r="L294" s="278">
        <f t="shared" si="110"/>
        <v>31.431666666666661</v>
      </c>
      <c r="M294" s="278">
        <f t="shared" si="110"/>
        <v>11.491750000000005</v>
      </c>
      <c r="N294" s="278">
        <f t="shared" si="110"/>
        <v>58.728416666666647</v>
      </c>
      <c r="O294" s="278">
        <f t="shared" si="110"/>
        <v>44.007499999999972</v>
      </c>
      <c r="P294" s="278">
        <f t="shared" si="110"/>
        <v>4.2766666666666424</v>
      </c>
      <c r="Q294" s="278">
        <f t="shared" si="110"/>
        <v>63.863333333333308</v>
      </c>
      <c r="R294" s="278">
        <f t="shared" si="111"/>
        <v>47.316833333333307</v>
      </c>
      <c r="S294" s="278">
        <f t="shared" si="111"/>
        <v>1.3993333333333264</v>
      </c>
      <c r="T294" s="278">
        <f t="shared" si="111"/>
        <v>52.07166666666668</v>
      </c>
      <c r="U294" s="278">
        <f t="shared" si="111"/>
        <v>-15.133999999999977</v>
      </c>
      <c r="V294" s="278">
        <f t="shared" si="111"/>
        <v>47.427416666666737</v>
      </c>
      <c r="W294" s="278">
        <f t="shared" si="111"/>
        <v>-55.957500000000017</v>
      </c>
      <c r="X294" s="278">
        <f t="shared" si="111"/>
        <v>-14.618083333333365</v>
      </c>
      <c r="Y294" s="278">
        <f t="shared" si="111"/>
        <v>-39.551583333333305</v>
      </c>
      <c r="Z294" s="276">
        <f t="shared" si="111"/>
        <v>13.75</v>
      </c>
      <c r="AA294" s="276">
        <f t="shared" si="111"/>
        <v>33.333333333333336</v>
      </c>
      <c r="AB294" s="276">
        <f t="shared" si="111"/>
        <v>33.333333333333336</v>
      </c>
      <c r="AC294" s="276">
        <f t="shared" si="111"/>
        <v>35.416666666666664</v>
      </c>
      <c r="AD294" s="245"/>
    </row>
    <row r="295" spans="1:30">
      <c r="A295" s="247" t="s">
        <v>34</v>
      </c>
      <c r="B295" s="278">
        <f t="shared" si="110"/>
        <v>32</v>
      </c>
      <c r="C295" s="278">
        <f t="shared" si="110"/>
        <v>44.499999999999979</v>
      </c>
      <c r="D295" s="278">
        <f t="shared" si="110"/>
        <v>45</v>
      </c>
      <c r="E295" s="278">
        <f t="shared" si="110"/>
        <v>28.824999999999999</v>
      </c>
      <c r="F295" s="278">
        <f t="shared" si="110"/>
        <v>29.933333333333341</v>
      </c>
      <c r="G295" s="278">
        <f t="shared" si="110"/>
        <v>35.949999999999996</v>
      </c>
      <c r="H295" s="278">
        <f t="shared" si="110"/>
        <v>47.224582749166665</v>
      </c>
      <c r="I295" s="278">
        <f t="shared" si="110"/>
        <v>27.666666666666657</v>
      </c>
      <c r="J295" s="278">
        <f t="shared" si="110"/>
        <v>36.489324845833323</v>
      </c>
      <c r="K295" s="278">
        <f t="shared" si="110"/>
        <v>46.034166666666671</v>
      </c>
      <c r="L295" s="278">
        <f t="shared" si="110"/>
        <v>31.431666666666661</v>
      </c>
      <c r="M295" s="278">
        <f t="shared" si="110"/>
        <v>11.491750000000005</v>
      </c>
      <c r="N295" s="278">
        <f t="shared" si="110"/>
        <v>58.728416666666647</v>
      </c>
      <c r="O295" s="278">
        <f t="shared" si="110"/>
        <v>44.007499999999972</v>
      </c>
      <c r="P295" s="278">
        <f t="shared" si="110"/>
        <v>4.2766666666666424</v>
      </c>
      <c r="Q295" s="278">
        <f t="shared" si="110"/>
        <v>63.863333333333308</v>
      </c>
      <c r="R295" s="278">
        <f t="shared" si="111"/>
        <v>47.316833333333307</v>
      </c>
      <c r="S295" s="278">
        <f t="shared" si="111"/>
        <v>1.3993333333333264</v>
      </c>
      <c r="T295" s="278">
        <f t="shared" si="111"/>
        <v>52.07166666666668</v>
      </c>
      <c r="U295" s="278">
        <f t="shared" si="111"/>
        <v>-15.133999999999977</v>
      </c>
      <c r="V295" s="278">
        <f t="shared" si="111"/>
        <v>47.427416666666737</v>
      </c>
      <c r="W295" s="278">
        <f t="shared" si="111"/>
        <v>-55.957500000000017</v>
      </c>
      <c r="X295" s="278">
        <f t="shared" si="111"/>
        <v>-14.618083333333365</v>
      </c>
      <c r="Y295" s="278">
        <f t="shared" si="111"/>
        <v>-39.551583333333305</v>
      </c>
      <c r="Z295" s="276">
        <f t="shared" si="111"/>
        <v>13.75</v>
      </c>
      <c r="AA295" s="276">
        <f t="shared" si="111"/>
        <v>33.333333333333336</v>
      </c>
      <c r="AB295" s="276">
        <f t="shared" si="111"/>
        <v>33.333333333333336</v>
      </c>
      <c r="AC295" s="276">
        <f t="shared" si="111"/>
        <v>35.416666666666664</v>
      </c>
      <c r="AD295" s="245"/>
    </row>
    <row r="296" spans="1:30">
      <c r="A296" s="247" t="s">
        <v>35</v>
      </c>
      <c r="B296" s="278">
        <f t="shared" si="110"/>
        <v>32</v>
      </c>
      <c r="C296" s="278">
        <f t="shared" si="110"/>
        <v>44.499999999999979</v>
      </c>
      <c r="D296" s="278">
        <f t="shared" si="110"/>
        <v>45</v>
      </c>
      <c r="E296" s="278">
        <f t="shared" si="110"/>
        <v>28.824999999999999</v>
      </c>
      <c r="F296" s="278">
        <f t="shared" si="110"/>
        <v>29.933333333333341</v>
      </c>
      <c r="G296" s="278">
        <f t="shared" si="110"/>
        <v>35.949999999999996</v>
      </c>
      <c r="H296" s="278">
        <f t="shared" si="110"/>
        <v>47.224582749166665</v>
      </c>
      <c r="I296" s="278">
        <f t="shared" si="110"/>
        <v>27.666666666666657</v>
      </c>
      <c r="J296" s="278">
        <f t="shared" si="110"/>
        <v>36.489324845833323</v>
      </c>
      <c r="K296" s="278">
        <f t="shared" si="110"/>
        <v>46.034166666666671</v>
      </c>
      <c r="L296" s="278">
        <f t="shared" si="110"/>
        <v>31.431666666666661</v>
      </c>
      <c r="M296" s="278">
        <f t="shared" si="110"/>
        <v>11.491750000000005</v>
      </c>
      <c r="N296" s="278">
        <f t="shared" si="110"/>
        <v>58.728416666666647</v>
      </c>
      <c r="O296" s="278">
        <f t="shared" si="110"/>
        <v>44.007499999999972</v>
      </c>
      <c r="P296" s="278">
        <f t="shared" si="110"/>
        <v>4.2766666666666424</v>
      </c>
      <c r="Q296" s="278">
        <f t="shared" si="110"/>
        <v>63.863333333333308</v>
      </c>
      <c r="R296" s="278">
        <f t="shared" si="111"/>
        <v>47.316833333333307</v>
      </c>
      <c r="S296" s="278">
        <f t="shared" si="111"/>
        <v>1.3993333333333264</v>
      </c>
      <c r="T296" s="278">
        <f t="shared" si="111"/>
        <v>52.07166666666668</v>
      </c>
      <c r="U296" s="278">
        <f t="shared" si="111"/>
        <v>-15.133999999999977</v>
      </c>
      <c r="V296" s="278">
        <f t="shared" si="111"/>
        <v>47.427416666666737</v>
      </c>
      <c r="W296" s="278">
        <f t="shared" si="111"/>
        <v>-55.957500000000017</v>
      </c>
      <c r="X296" s="278">
        <f t="shared" si="111"/>
        <v>-14.618083333333365</v>
      </c>
      <c r="Y296" s="278">
        <f t="shared" si="111"/>
        <v>-39.551583333333305</v>
      </c>
      <c r="Z296" s="276">
        <f t="shared" si="111"/>
        <v>13.75</v>
      </c>
      <c r="AA296" s="276">
        <f t="shared" si="111"/>
        <v>33.333333333333336</v>
      </c>
      <c r="AB296" s="276">
        <f t="shared" si="111"/>
        <v>33.333333333333336</v>
      </c>
      <c r="AC296" s="276">
        <f t="shared" si="111"/>
        <v>35.416666666666664</v>
      </c>
      <c r="AD296" s="245"/>
    </row>
    <row r="297" spans="1:30">
      <c r="A297" s="247" t="s">
        <v>36</v>
      </c>
      <c r="B297" s="278">
        <f t="shared" si="110"/>
        <v>32</v>
      </c>
      <c r="C297" s="278">
        <f t="shared" si="110"/>
        <v>44.499999999999979</v>
      </c>
      <c r="D297" s="278">
        <f t="shared" si="110"/>
        <v>45</v>
      </c>
      <c r="E297" s="278">
        <f t="shared" si="110"/>
        <v>28.824999999999999</v>
      </c>
      <c r="F297" s="278">
        <f t="shared" si="110"/>
        <v>29.933333333333341</v>
      </c>
      <c r="G297" s="278">
        <f t="shared" si="110"/>
        <v>35.949999999999996</v>
      </c>
      <c r="H297" s="278">
        <f t="shared" si="110"/>
        <v>47.224582749166665</v>
      </c>
      <c r="I297" s="278">
        <f t="shared" si="110"/>
        <v>27.666666666666657</v>
      </c>
      <c r="J297" s="278">
        <f t="shared" si="110"/>
        <v>36.489324845833323</v>
      </c>
      <c r="K297" s="278">
        <f t="shared" si="110"/>
        <v>46.034166666666671</v>
      </c>
      <c r="L297" s="278">
        <f t="shared" si="110"/>
        <v>31.431666666666661</v>
      </c>
      <c r="M297" s="278">
        <f t="shared" si="110"/>
        <v>11.491750000000005</v>
      </c>
      <c r="N297" s="278">
        <f t="shared" si="110"/>
        <v>58.728416666666647</v>
      </c>
      <c r="O297" s="278">
        <f t="shared" si="110"/>
        <v>44.007499999999972</v>
      </c>
      <c r="P297" s="278">
        <f t="shared" si="110"/>
        <v>4.2766666666666424</v>
      </c>
      <c r="Q297" s="278">
        <f t="shared" si="110"/>
        <v>63.863333333333308</v>
      </c>
      <c r="R297" s="278">
        <f t="shared" si="111"/>
        <v>47.316833333333307</v>
      </c>
      <c r="S297" s="278">
        <f t="shared" si="111"/>
        <v>1.3993333333333264</v>
      </c>
      <c r="T297" s="278">
        <f t="shared" si="111"/>
        <v>52.07166666666668</v>
      </c>
      <c r="U297" s="278">
        <f t="shared" si="111"/>
        <v>-15.133999999999977</v>
      </c>
      <c r="V297" s="278">
        <f t="shared" si="111"/>
        <v>47.427416666666737</v>
      </c>
      <c r="W297" s="278">
        <f t="shared" si="111"/>
        <v>-55.957500000000017</v>
      </c>
      <c r="X297" s="278">
        <f t="shared" si="111"/>
        <v>-14.618083333333365</v>
      </c>
      <c r="Y297" s="278">
        <f t="shared" si="111"/>
        <v>-39.551583333333305</v>
      </c>
      <c r="Z297" s="276">
        <f t="shared" si="111"/>
        <v>13.75</v>
      </c>
      <c r="AA297" s="276">
        <f t="shared" si="111"/>
        <v>33.333333333333336</v>
      </c>
      <c r="AB297" s="276">
        <f t="shared" si="111"/>
        <v>33.333333333333336</v>
      </c>
      <c r="AC297" s="276">
        <f t="shared" si="111"/>
        <v>35.416666666666664</v>
      </c>
      <c r="AD297" s="245"/>
    </row>
    <row r="298" spans="1:30">
      <c r="A298" s="247" t="s">
        <v>37</v>
      </c>
      <c r="B298" s="278">
        <f t="shared" si="110"/>
        <v>32</v>
      </c>
      <c r="C298" s="278">
        <f t="shared" si="110"/>
        <v>44.499999999999979</v>
      </c>
      <c r="D298" s="278">
        <f t="shared" si="110"/>
        <v>45</v>
      </c>
      <c r="E298" s="278">
        <f t="shared" si="110"/>
        <v>28.824999999999999</v>
      </c>
      <c r="F298" s="278">
        <f t="shared" si="110"/>
        <v>29.933333333333341</v>
      </c>
      <c r="G298" s="278">
        <f t="shared" si="110"/>
        <v>35.949999999999996</v>
      </c>
      <c r="H298" s="278">
        <f t="shared" si="110"/>
        <v>47.224582749166665</v>
      </c>
      <c r="I298" s="278">
        <f t="shared" si="110"/>
        <v>27.666666666666657</v>
      </c>
      <c r="J298" s="278">
        <f t="shared" si="110"/>
        <v>36.489324845833323</v>
      </c>
      <c r="K298" s="278">
        <f t="shared" si="110"/>
        <v>46.034166666666671</v>
      </c>
      <c r="L298" s="278">
        <f t="shared" si="110"/>
        <v>31.431666666666661</v>
      </c>
      <c r="M298" s="278">
        <f t="shared" si="110"/>
        <v>11.491750000000005</v>
      </c>
      <c r="N298" s="278">
        <f t="shared" si="110"/>
        <v>58.728416666666647</v>
      </c>
      <c r="O298" s="278">
        <f t="shared" si="110"/>
        <v>44.007499999999972</v>
      </c>
      <c r="P298" s="278">
        <f t="shared" si="110"/>
        <v>4.2766666666666424</v>
      </c>
      <c r="Q298" s="278">
        <f t="shared" si="110"/>
        <v>63.863333333333308</v>
      </c>
      <c r="R298" s="278">
        <f t="shared" si="111"/>
        <v>47.316833333333307</v>
      </c>
      <c r="S298" s="278">
        <f t="shared" si="111"/>
        <v>1.3993333333333264</v>
      </c>
      <c r="T298" s="278">
        <f t="shared" si="111"/>
        <v>52.07166666666668</v>
      </c>
      <c r="U298" s="278">
        <f t="shared" si="111"/>
        <v>-15.133999999999977</v>
      </c>
      <c r="V298" s="278">
        <f t="shared" si="111"/>
        <v>47.427416666666737</v>
      </c>
      <c r="W298" s="278">
        <f t="shared" si="111"/>
        <v>-55.957500000000017</v>
      </c>
      <c r="X298" s="278">
        <f t="shared" si="111"/>
        <v>-14.618083333333365</v>
      </c>
      <c r="Y298" s="278">
        <f t="shared" si="111"/>
        <v>-39.551583333333305</v>
      </c>
      <c r="Z298" s="276">
        <f t="shared" si="111"/>
        <v>13.75</v>
      </c>
      <c r="AA298" s="276">
        <f t="shared" si="111"/>
        <v>33.333333333333336</v>
      </c>
      <c r="AB298" s="276">
        <f t="shared" si="111"/>
        <v>33.333333333333336</v>
      </c>
      <c r="AC298" s="276">
        <f t="shared" si="111"/>
        <v>35.416666666666664</v>
      </c>
      <c r="AD298" s="245"/>
    </row>
    <row r="299" spans="1:30" ht="15.75" thickBot="1">
      <c r="A299" s="247" t="s">
        <v>138</v>
      </c>
      <c r="B299" s="245">
        <f>B36</f>
        <v>384</v>
      </c>
      <c r="C299" s="245">
        <f t="shared" ref="C299:Y299" si="112">C36</f>
        <v>533.99999999999977</v>
      </c>
      <c r="D299" s="245">
        <f t="shared" si="112"/>
        <v>540</v>
      </c>
      <c r="E299" s="245">
        <f t="shared" si="112"/>
        <v>345.9</v>
      </c>
      <c r="F299" s="245">
        <f t="shared" si="112"/>
        <v>359.2000000000001</v>
      </c>
      <c r="G299" s="245">
        <f t="shared" si="112"/>
        <v>431.4</v>
      </c>
      <c r="H299" s="245">
        <f t="shared" si="112"/>
        <v>566.69499298999995</v>
      </c>
      <c r="I299" s="245">
        <f t="shared" si="112"/>
        <v>331.99999999999989</v>
      </c>
      <c r="J299" s="245">
        <f t="shared" si="112"/>
        <v>437.87189814999988</v>
      </c>
      <c r="K299" s="245">
        <f t="shared" si="112"/>
        <v>552.41000000000008</v>
      </c>
      <c r="L299" s="245">
        <f t="shared" si="112"/>
        <v>377.17999999999995</v>
      </c>
      <c r="M299" s="245">
        <f t="shared" si="112"/>
        <v>137.90100000000007</v>
      </c>
      <c r="N299" s="245">
        <f t="shared" si="112"/>
        <v>704.74099999999976</v>
      </c>
      <c r="O299" s="245">
        <f t="shared" si="112"/>
        <v>528.08999999999969</v>
      </c>
      <c r="P299" s="245">
        <f t="shared" si="112"/>
        <v>51.319999999999709</v>
      </c>
      <c r="Q299" s="245">
        <f t="shared" si="112"/>
        <v>766.35999999999967</v>
      </c>
      <c r="R299" s="245">
        <f t="shared" si="112"/>
        <v>567.80199999999968</v>
      </c>
      <c r="S299" s="245">
        <f t="shared" si="112"/>
        <v>16.791999999999916</v>
      </c>
      <c r="T299" s="245">
        <f t="shared" si="112"/>
        <v>624.86000000000013</v>
      </c>
      <c r="U299" s="245">
        <f t="shared" si="112"/>
        <v>-181.60799999999972</v>
      </c>
      <c r="V299" s="245">
        <f t="shared" si="112"/>
        <v>569.12900000000081</v>
      </c>
      <c r="W299" s="245">
        <f t="shared" si="112"/>
        <v>-671.49000000000024</v>
      </c>
      <c r="X299" s="245">
        <f t="shared" si="112"/>
        <v>-175.41700000000037</v>
      </c>
      <c r="Y299" s="245">
        <f t="shared" si="112"/>
        <v>-474.61899999999969</v>
      </c>
      <c r="Z299" s="273">
        <f>Z36</f>
        <v>165</v>
      </c>
      <c r="AA299" s="273">
        <f>AA36</f>
        <v>400</v>
      </c>
      <c r="AB299" s="273">
        <f>AB36</f>
        <v>400</v>
      </c>
      <c r="AC299" s="273">
        <f>AC36</f>
        <v>425</v>
      </c>
      <c r="AD299" s="245"/>
    </row>
    <row r="300" spans="1:30">
      <c r="A300" s="271"/>
      <c r="B300" s="277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7"/>
      <c r="P300" s="277"/>
      <c r="Q300" s="277"/>
      <c r="R300" s="277"/>
      <c r="S300" s="277"/>
      <c r="T300" s="277"/>
      <c r="U300" s="277"/>
      <c r="V300" s="277"/>
      <c r="W300" s="277"/>
      <c r="X300" s="277"/>
      <c r="Y300" s="277"/>
      <c r="Z300" s="277"/>
      <c r="AA300" s="277"/>
      <c r="AB300" s="277"/>
      <c r="AC300" s="277"/>
    </row>
    <row r="301" spans="1:30" ht="15.75" thickBot="1">
      <c r="A301" s="247" t="s">
        <v>403</v>
      </c>
    </row>
    <row r="302" spans="1:30" ht="15.75" thickBot="1">
      <c r="A302" s="263"/>
      <c r="B302" s="235" t="str">
        <f>B$2</f>
        <v xml:space="preserve">93/94 </v>
      </c>
      <c r="C302" s="235" t="str">
        <f t="shared" ref="C302:AC302" si="113">C$2</f>
        <v xml:space="preserve">94/95 </v>
      </c>
      <c r="D302" s="235" t="str">
        <f t="shared" si="113"/>
        <v xml:space="preserve">95/96 </v>
      </c>
      <c r="E302" s="235" t="str">
        <f t="shared" si="113"/>
        <v xml:space="preserve">96/97 </v>
      </c>
      <c r="F302" s="235" t="str">
        <f t="shared" si="113"/>
        <v xml:space="preserve">97/98 </v>
      </c>
      <c r="G302" s="235" t="str">
        <f t="shared" si="113"/>
        <v xml:space="preserve">98/99 </v>
      </c>
      <c r="H302" s="235" t="str">
        <f t="shared" si="113"/>
        <v xml:space="preserve">99/00 </v>
      </c>
      <c r="I302" s="235" t="str">
        <f t="shared" si="113"/>
        <v xml:space="preserve">00/01 </v>
      </c>
      <c r="J302" s="235" t="str">
        <f t="shared" si="113"/>
        <v xml:space="preserve">01/02 </v>
      </c>
      <c r="K302" s="235" t="str">
        <f t="shared" si="113"/>
        <v xml:space="preserve">02/03 </v>
      </c>
      <c r="L302" s="235" t="str">
        <f t="shared" si="113"/>
        <v xml:space="preserve">03/04 </v>
      </c>
      <c r="M302" s="235" t="str">
        <f t="shared" si="113"/>
        <v xml:space="preserve">04/05 </v>
      </c>
      <c r="N302" s="235" t="str">
        <f t="shared" si="113"/>
        <v xml:space="preserve">05/06 </v>
      </c>
      <c r="O302" s="235" t="str">
        <f t="shared" si="113"/>
        <v xml:space="preserve">06/07 </v>
      </c>
      <c r="P302" s="235" t="str">
        <f t="shared" si="113"/>
        <v xml:space="preserve">07/08 </v>
      </c>
      <c r="Q302" s="235" t="str">
        <f t="shared" si="113"/>
        <v xml:space="preserve">08/09 </v>
      </c>
      <c r="R302" s="235" t="str">
        <f t="shared" si="113"/>
        <v xml:space="preserve">09/10 </v>
      </c>
      <c r="S302" s="235" t="str">
        <f t="shared" si="113"/>
        <v xml:space="preserve">10/11 </v>
      </c>
      <c r="T302" s="235" t="str">
        <f t="shared" si="113"/>
        <v xml:space="preserve">11/12 </v>
      </c>
      <c r="U302" s="235" t="str">
        <f t="shared" si="113"/>
        <v xml:space="preserve">12/13 </v>
      </c>
      <c r="V302" s="235" t="str">
        <f t="shared" si="113"/>
        <v xml:space="preserve">13/14 </v>
      </c>
      <c r="W302" s="235" t="str">
        <f t="shared" si="113"/>
        <v xml:space="preserve">14/15 </v>
      </c>
      <c r="X302" s="235" t="str">
        <f t="shared" si="113"/>
        <v xml:space="preserve">15/16 </v>
      </c>
      <c r="Y302" s="235" t="str">
        <f t="shared" si="113"/>
        <v xml:space="preserve">16/17 </v>
      </c>
      <c r="Z302" s="235" t="str">
        <f t="shared" si="113"/>
        <v xml:space="preserve">17/18 </v>
      </c>
      <c r="AA302" s="235" t="str">
        <f t="shared" si="113"/>
        <v xml:space="preserve">18/19 </v>
      </c>
      <c r="AB302" s="235" t="str">
        <f t="shared" si="113"/>
        <v xml:space="preserve">19/20 </v>
      </c>
      <c r="AC302" s="235" t="str">
        <f t="shared" si="113"/>
        <v xml:space="preserve">20/21 </v>
      </c>
      <c r="AD302" s="288"/>
    </row>
    <row r="303" spans="1:30">
      <c r="A303" s="247" t="s">
        <v>38</v>
      </c>
      <c r="B303" s="278">
        <f>(B$314-B$32)/13+B32</f>
        <v>205.23076923076923</v>
      </c>
      <c r="C303" s="278">
        <f>(C$314-B$314)/13+B314</f>
        <v>189.15384615384616</v>
      </c>
      <c r="D303" s="278">
        <f t="shared" ref="D303:Y303" si="114">(D$314-C$314)/13+C314</f>
        <v>110.30769230769231</v>
      </c>
      <c r="E303" s="278">
        <f t="shared" si="114"/>
        <v>140.38461538461539</v>
      </c>
      <c r="F303" s="278">
        <f t="shared" si="114"/>
        <v>23.76923076923077</v>
      </c>
      <c r="G303" s="278">
        <f t="shared" si="114"/>
        <v>8.8461538461538467</v>
      </c>
      <c r="H303" s="278">
        <f t="shared" si="114"/>
        <v>7.384615384615385</v>
      </c>
      <c r="I303" s="278">
        <f t="shared" si="114"/>
        <v>12.23076923076923</v>
      </c>
      <c r="J303" s="278">
        <f t="shared" si="114"/>
        <v>16.53846153846154</v>
      </c>
      <c r="K303" s="278">
        <f t="shared" si="114"/>
        <v>33</v>
      </c>
      <c r="L303" s="278">
        <f t="shared" si="114"/>
        <v>12</v>
      </c>
      <c r="M303" s="278">
        <f t="shared" si="114"/>
        <v>66.84615384615384</v>
      </c>
      <c r="N303" s="278">
        <f t="shared" si="114"/>
        <v>292.53846153846155</v>
      </c>
      <c r="O303" s="278">
        <f t="shared" si="114"/>
        <v>271.84615384615387</v>
      </c>
      <c r="P303" s="278">
        <f t="shared" si="114"/>
        <v>94.461538461538467</v>
      </c>
      <c r="Q303" s="278">
        <f t="shared" si="114"/>
        <v>157.07692307692307</v>
      </c>
      <c r="R303" s="278">
        <f t="shared" si="114"/>
        <v>256.61538461538464</v>
      </c>
      <c r="S303" s="278">
        <f t="shared" si="114"/>
        <v>155.84615384615384</v>
      </c>
      <c r="T303" s="278">
        <f t="shared" si="114"/>
        <v>310.61538461538464</v>
      </c>
      <c r="U303" s="278">
        <f t="shared" si="114"/>
        <v>450</v>
      </c>
      <c r="V303" s="278">
        <f t="shared" si="114"/>
        <v>308.23076923076923</v>
      </c>
      <c r="W303" s="278">
        <f t="shared" si="114"/>
        <v>331.84615384615387</v>
      </c>
      <c r="X303" s="278">
        <f t="shared" si="114"/>
        <v>287.92307692307691</v>
      </c>
      <c r="Y303" s="278">
        <f t="shared" si="114"/>
        <v>207.69230769230768</v>
      </c>
      <c r="Z303" s="276">
        <f>(Z$314-Z$314)/13+Y314</f>
        <v>120</v>
      </c>
      <c r="AA303" s="276">
        <f>(AA$314-AA$314)/13+Z314</f>
        <v>97</v>
      </c>
      <c r="AB303" s="276">
        <f>(AB$314-AB$314)/13+AA314</f>
        <v>100</v>
      </c>
      <c r="AC303" s="276">
        <f>(AC$314-AC$314)/13+AB314</f>
        <v>100</v>
      </c>
    </row>
    <row r="304" spans="1:30">
      <c r="A304" s="247" t="s">
        <v>39</v>
      </c>
      <c r="B304" s="278">
        <f t="shared" ref="B304:B313" si="115">(B$314-B$32)/13+B303</f>
        <v>204.46153846153845</v>
      </c>
      <c r="C304" s="278">
        <f>(C$314-B$314)/13+C303</f>
        <v>182.30769230769232</v>
      </c>
      <c r="D304" s="278">
        <f t="shared" ref="D304:Y313" si="116">(D$314-C$314)/13+D303</f>
        <v>113.61538461538461</v>
      </c>
      <c r="E304" s="278">
        <f t="shared" si="116"/>
        <v>130.76923076923077</v>
      </c>
      <c r="F304" s="278">
        <f t="shared" si="116"/>
        <v>22.53846153846154</v>
      </c>
      <c r="G304" s="278">
        <f t="shared" si="116"/>
        <v>8.6923076923076934</v>
      </c>
      <c r="H304" s="278">
        <f t="shared" si="116"/>
        <v>7.7692307692307701</v>
      </c>
      <c r="I304" s="278">
        <f t="shared" si="116"/>
        <v>12.46153846153846</v>
      </c>
      <c r="J304" s="278">
        <f t="shared" si="116"/>
        <v>18.07692307692308</v>
      </c>
      <c r="K304" s="278">
        <f t="shared" si="116"/>
        <v>31</v>
      </c>
      <c r="L304" s="278">
        <f t="shared" si="116"/>
        <v>15</v>
      </c>
      <c r="M304" s="278">
        <f t="shared" si="116"/>
        <v>85.692307692307679</v>
      </c>
      <c r="N304" s="278">
        <f t="shared" si="116"/>
        <v>292.07692307692309</v>
      </c>
      <c r="O304" s="278">
        <f t="shared" si="116"/>
        <v>256.69230769230774</v>
      </c>
      <c r="P304" s="278">
        <f t="shared" si="116"/>
        <v>98.923076923076934</v>
      </c>
      <c r="Q304" s="278">
        <f t="shared" si="116"/>
        <v>166.15384615384613</v>
      </c>
      <c r="R304" s="278">
        <f t="shared" si="116"/>
        <v>247.23076923076925</v>
      </c>
      <c r="S304" s="278">
        <f t="shared" si="116"/>
        <v>167.69230769230768</v>
      </c>
      <c r="T304" s="278">
        <f t="shared" si="116"/>
        <v>323.23076923076928</v>
      </c>
      <c r="U304" s="278">
        <f t="shared" si="116"/>
        <v>438</v>
      </c>
      <c r="V304" s="278">
        <f t="shared" si="116"/>
        <v>310.46153846153845</v>
      </c>
      <c r="W304" s="278">
        <f t="shared" si="116"/>
        <v>328.69230769230774</v>
      </c>
      <c r="X304" s="278">
        <f t="shared" si="116"/>
        <v>281.84615384615381</v>
      </c>
      <c r="Y304" s="278">
        <f t="shared" si="116"/>
        <v>200.38461538461536</v>
      </c>
      <c r="Z304" s="276">
        <f t="shared" ref="Z304:AC313" si="117">(Z$314-Z$32)/13+Z303</f>
        <v>118.23076923076923</v>
      </c>
      <c r="AA304" s="276">
        <f t="shared" si="117"/>
        <v>97.230769230769226</v>
      </c>
      <c r="AB304" s="276">
        <f t="shared" si="117"/>
        <v>100</v>
      </c>
      <c r="AC304" s="276">
        <f t="shared" si="117"/>
        <v>100</v>
      </c>
    </row>
    <row r="305" spans="1:30">
      <c r="A305" s="247" t="s">
        <v>40</v>
      </c>
      <c r="B305" s="278">
        <f t="shared" si="115"/>
        <v>203.69230769230768</v>
      </c>
      <c r="C305" s="278">
        <f t="shared" ref="C305:C313" si="118">(C$314-B$314)/13+C304</f>
        <v>175.46153846153848</v>
      </c>
      <c r="D305" s="278">
        <f t="shared" si="116"/>
        <v>116.92307692307692</v>
      </c>
      <c r="E305" s="278">
        <f t="shared" si="116"/>
        <v>121.15384615384616</v>
      </c>
      <c r="F305" s="278">
        <f t="shared" si="116"/>
        <v>21.30769230769231</v>
      </c>
      <c r="G305" s="278">
        <f t="shared" si="116"/>
        <v>8.5384615384615401</v>
      </c>
      <c r="H305" s="278">
        <f t="shared" si="116"/>
        <v>8.1538461538461551</v>
      </c>
      <c r="I305" s="278">
        <f t="shared" si="116"/>
        <v>12.69230769230769</v>
      </c>
      <c r="J305" s="278">
        <f t="shared" si="116"/>
        <v>19.61538461538462</v>
      </c>
      <c r="K305" s="278">
        <f t="shared" si="116"/>
        <v>29</v>
      </c>
      <c r="L305" s="278">
        <f t="shared" si="116"/>
        <v>18</v>
      </c>
      <c r="M305" s="278">
        <f t="shared" si="116"/>
        <v>104.53846153846152</v>
      </c>
      <c r="N305" s="278">
        <f t="shared" si="116"/>
        <v>291.61538461538464</v>
      </c>
      <c r="O305" s="278">
        <f t="shared" si="116"/>
        <v>241.53846153846158</v>
      </c>
      <c r="P305" s="278">
        <f t="shared" si="116"/>
        <v>103.3846153846154</v>
      </c>
      <c r="Q305" s="278">
        <f t="shared" si="116"/>
        <v>175.2307692307692</v>
      </c>
      <c r="R305" s="278">
        <f t="shared" si="116"/>
        <v>237.84615384615387</v>
      </c>
      <c r="S305" s="278">
        <f t="shared" si="116"/>
        <v>179.53846153846152</v>
      </c>
      <c r="T305" s="278">
        <f t="shared" si="116"/>
        <v>335.84615384615392</v>
      </c>
      <c r="U305" s="278">
        <f t="shared" si="116"/>
        <v>426</v>
      </c>
      <c r="V305" s="278">
        <f t="shared" si="116"/>
        <v>312.69230769230768</v>
      </c>
      <c r="W305" s="278">
        <f t="shared" si="116"/>
        <v>325.5384615384616</v>
      </c>
      <c r="X305" s="278">
        <f t="shared" si="116"/>
        <v>275.76923076923072</v>
      </c>
      <c r="Y305" s="278">
        <f t="shared" si="116"/>
        <v>193.07692307692304</v>
      </c>
      <c r="Z305" s="276">
        <f t="shared" si="117"/>
        <v>116.46153846153845</v>
      </c>
      <c r="AA305" s="276">
        <f t="shared" si="117"/>
        <v>97.461538461538453</v>
      </c>
      <c r="AB305" s="276">
        <f t="shared" si="117"/>
        <v>100</v>
      </c>
      <c r="AC305" s="276">
        <f t="shared" si="117"/>
        <v>100</v>
      </c>
    </row>
    <row r="306" spans="1:30">
      <c r="A306" s="247" t="s">
        <v>30</v>
      </c>
      <c r="B306" s="278">
        <f t="shared" si="115"/>
        <v>202.92307692307691</v>
      </c>
      <c r="C306" s="278">
        <f t="shared" si="118"/>
        <v>168.61538461538464</v>
      </c>
      <c r="D306" s="278">
        <f t="shared" si="116"/>
        <v>120.23076923076923</v>
      </c>
      <c r="E306" s="278">
        <f t="shared" si="116"/>
        <v>111.53846153846155</v>
      </c>
      <c r="F306" s="278">
        <f t="shared" si="116"/>
        <v>20.07692307692308</v>
      </c>
      <c r="G306" s="278">
        <f t="shared" si="116"/>
        <v>8.3846153846153868</v>
      </c>
      <c r="H306" s="278">
        <f t="shared" si="116"/>
        <v>8.5384615384615401</v>
      </c>
      <c r="I306" s="278">
        <f t="shared" si="116"/>
        <v>12.92307692307692</v>
      </c>
      <c r="J306" s="278">
        <f t="shared" si="116"/>
        <v>21.15384615384616</v>
      </c>
      <c r="K306" s="278">
        <f t="shared" si="116"/>
        <v>27</v>
      </c>
      <c r="L306" s="278">
        <f t="shared" si="116"/>
        <v>21</v>
      </c>
      <c r="M306" s="278">
        <f t="shared" si="116"/>
        <v>123.38461538461536</v>
      </c>
      <c r="N306" s="278">
        <f t="shared" si="116"/>
        <v>291.15384615384619</v>
      </c>
      <c r="O306" s="278">
        <f t="shared" si="116"/>
        <v>226.38461538461542</v>
      </c>
      <c r="P306" s="278">
        <f t="shared" si="116"/>
        <v>107.84615384615387</v>
      </c>
      <c r="Q306" s="278">
        <f t="shared" si="116"/>
        <v>184.30769230769226</v>
      </c>
      <c r="R306" s="278">
        <f t="shared" si="116"/>
        <v>228.46153846153848</v>
      </c>
      <c r="S306" s="278">
        <f t="shared" si="116"/>
        <v>191.38461538461536</v>
      </c>
      <c r="T306" s="278">
        <f t="shared" si="116"/>
        <v>348.46153846153857</v>
      </c>
      <c r="U306" s="278">
        <f t="shared" si="116"/>
        <v>414</v>
      </c>
      <c r="V306" s="278">
        <f t="shared" si="116"/>
        <v>314.92307692307691</v>
      </c>
      <c r="W306" s="278">
        <f t="shared" si="116"/>
        <v>322.38461538461547</v>
      </c>
      <c r="X306" s="278">
        <f t="shared" si="116"/>
        <v>269.69230769230762</v>
      </c>
      <c r="Y306" s="278">
        <f t="shared" si="116"/>
        <v>185.76923076923072</v>
      </c>
      <c r="Z306" s="276">
        <f t="shared" si="117"/>
        <v>114.69230769230768</v>
      </c>
      <c r="AA306" s="276">
        <f t="shared" si="117"/>
        <v>97.692307692307679</v>
      </c>
      <c r="AB306" s="276">
        <f t="shared" si="117"/>
        <v>100</v>
      </c>
      <c r="AC306" s="276">
        <f t="shared" si="117"/>
        <v>100</v>
      </c>
    </row>
    <row r="307" spans="1:30">
      <c r="A307" s="247" t="s">
        <v>31</v>
      </c>
      <c r="B307" s="278">
        <f t="shared" si="115"/>
        <v>202.15384615384613</v>
      </c>
      <c r="C307" s="278">
        <f t="shared" si="118"/>
        <v>161.7692307692308</v>
      </c>
      <c r="D307" s="278">
        <f t="shared" si="116"/>
        <v>123.53846153846153</v>
      </c>
      <c r="E307" s="278">
        <f t="shared" si="116"/>
        <v>101.92307692307693</v>
      </c>
      <c r="F307" s="278">
        <f t="shared" si="116"/>
        <v>18.84615384615385</v>
      </c>
      <c r="G307" s="278">
        <f t="shared" si="116"/>
        <v>8.2307692307692335</v>
      </c>
      <c r="H307" s="278">
        <f t="shared" si="116"/>
        <v>8.9230769230769251</v>
      </c>
      <c r="I307" s="278">
        <f t="shared" si="116"/>
        <v>13.15384615384615</v>
      </c>
      <c r="J307" s="278">
        <f t="shared" si="116"/>
        <v>22.692307692307701</v>
      </c>
      <c r="K307" s="278">
        <f t="shared" si="116"/>
        <v>25</v>
      </c>
      <c r="L307" s="278">
        <f t="shared" si="116"/>
        <v>24</v>
      </c>
      <c r="M307" s="278">
        <f t="shared" si="116"/>
        <v>142.2307692307692</v>
      </c>
      <c r="N307" s="278">
        <f t="shared" si="116"/>
        <v>290.69230769230774</v>
      </c>
      <c r="O307" s="278">
        <f t="shared" si="116"/>
        <v>211.23076923076925</v>
      </c>
      <c r="P307" s="278">
        <f t="shared" si="116"/>
        <v>112.30769230769234</v>
      </c>
      <c r="Q307" s="278">
        <f t="shared" si="116"/>
        <v>193.38461538461533</v>
      </c>
      <c r="R307" s="278">
        <f t="shared" si="116"/>
        <v>219.07692307692309</v>
      </c>
      <c r="S307" s="278">
        <f t="shared" si="116"/>
        <v>203.2307692307692</v>
      </c>
      <c r="T307" s="278">
        <f t="shared" si="116"/>
        <v>361.07692307692321</v>
      </c>
      <c r="U307" s="278">
        <f t="shared" si="116"/>
        <v>402</v>
      </c>
      <c r="V307" s="278">
        <f t="shared" si="116"/>
        <v>317.15384615384613</v>
      </c>
      <c r="W307" s="278">
        <f t="shared" si="116"/>
        <v>319.23076923076934</v>
      </c>
      <c r="X307" s="278">
        <f t="shared" si="116"/>
        <v>263.61538461538453</v>
      </c>
      <c r="Y307" s="278">
        <f t="shared" si="116"/>
        <v>178.4615384615384</v>
      </c>
      <c r="Z307" s="276">
        <f t="shared" si="117"/>
        <v>112.92307692307691</v>
      </c>
      <c r="AA307" s="276">
        <f t="shared" si="117"/>
        <v>97.923076923076906</v>
      </c>
      <c r="AB307" s="276">
        <f t="shared" si="117"/>
        <v>100</v>
      </c>
      <c r="AC307" s="276">
        <f t="shared" si="117"/>
        <v>100</v>
      </c>
    </row>
    <row r="308" spans="1:30">
      <c r="A308" s="247" t="s">
        <v>32</v>
      </c>
      <c r="B308" s="278">
        <f t="shared" si="115"/>
        <v>201.38461538461536</v>
      </c>
      <c r="C308" s="278">
        <f t="shared" si="118"/>
        <v>154.92307692307696</v>
      </c>
      <c r="D308" s="278">
        <f t="shared" si="116"/>
        <v>126.84615384615384</v>
      </c>
      <c r="E308" s="278">
        <f t="shared" si="116"/>
        <v>92.307692307692321</v>
      </c>
      <c r="F308" s="278">
        <f t="shared" si="116"/>
        <v>17.61538461538462</v>
      </c>
      <c r="G308" s="278">
        <f t="shared" si="116"/>
        <v>8.0769230769230802</v>
      </c>
      <c r="H308" s="278">
        <f t="shared" si="116"/>
        <v>9.3076923076923102</v>
      </c>
      <c r="I308" s="278">
        <f t="shared" si="116"/>
        <v>13.38461538461538</v>
      </c>
      <c r="J308" s="278">
        <f t="shared" si="116"/>
        <v>24.230769230769241</v>
      </c>
      <c r="K308" s="278">
        <f t="shared" si="116"/>
        <v>23</v>
      </c>
      <c r="L308" s="278">
        <f t="shared" si="116"/>
        <v>27</v>
      </c>
      <c r="M308" s="278">
        <f t="shared" si="116"/>
        <v>161.07692307692304</v>
      </c>
      <c r="N308" s="278">
        <f t="shared" si="116"/>
        <v>290.23076923076928</v>
      </c>
      <c r="O308" s="278">
        <f t="shared" si="116"/>
        <v>196.07692307692309</v>
      </c>
      <c r="P308" s="278">
        <f t="shared" si="116"/>
        <v>116.7692307692308</v>
      </c>
      <c r="Q308" s="278">
        <f t="shared" si="116"/>
        <v>202.4615384615384</v>
      </c>
      <c r="R308" s="278">
        <f t="shared" si="116"/>
        <v>209.69230769230771</v>
      </c>
      <c r="S308" s="278">
        <f t="shared" si="116"/>
        <v>215.07692307692304</v>
      </c>
      <c r="T308" s="278">
        <f t="shared" si="116"/>
        <v>373.69230769230785</v>
      </c>
      <c r="U308" s="278">
        <f t="shared" si="116"/>
        <v>390</v>
      </c>
      <c r="V308" s="278">
        <f t="shared" si="116"/>
        <v>319.38461538461536</v>
      </c>
      <c r="W308" s="278">
        <f t="shared" si="116"/>
        <v>316.07692307692321</v>
      </c>
      <c r="X308" s="278">
        <f t="shared" si="116"/>
        <v>257.53846153846143</v>
      </c>
      <c r="Y308" s="278">
        <f t="shared" si="116"/>
        <v>171.15384615384608</v>
      </c>
      <c r="Z308" s="276">
        <f t="shared" si="117"/>
        <v>111.15384615384613</v>
      </c>
      <c r="AA308" s="276">
        <f t="shared" si="117"/>
        <v>98.153846153846132</v>
      </c>
      <c r="AB308" s="276">
        <f t="shared" si="117"/>
        <v>100</v>
      </c>
      <c r="AC308" s="276">
        <f t="shared" si="117"/>
        <v>100</v>
      </c>
    </row>
    <row r="309" spans="1:30">
      <c r="A309" s="247" t="s">
        <v>33</v>
      </c>
      <c r="B309" s="278">
        <f t="shared" si="115"/>
        <v>200.61538461538458</v>
      </c>
      <c r="C309" s="278">
        <f t="shared" si="118"/>
        <v>148.07692307692312</v>
      </c>
      <c r="D309" s="278">
        <f t="shared" si="116"/>
        <v>130.15384615384616</v>
      </c>
      <c r="E309" s="278">
        <f t="shared" si="116"/>
        <v>82.692307692307708</v>
      </c>
      <c r="F309" s="278">
        <f t="shared" si="116"/>
        <v>16.38461538461539</v>
      </c>
      <c r="G309" s="278">
        <f t="shared" si="116"/>
        <v>7.923076923076926</v>
      </c>
      <c r="H309" s="278">
        <f t="shared" si="116"/>
        <v>9.6923076923076952</v>
      </c>
      <c r="I309" s="278">
        <f t="shared" si="116"/>
        <v>13.61538461538461</v>
      </c>
      <c r="J309" s="278">
        <f t="shared" si="116"/>
        <v>25.769230769230781</v>
      </c>
      <c r="K309" s="278">
        <f t="shared" si="116"/>
        <v>21</v>
      </c>
      <c r="L309" s="278">
        <f t="shared" si="116"/>
        <v>30</v>
      </c>
      <c r="M309" s="278">
        <f t="shared" si="116"/>
        <v>179.92307692307688</v>
      </c>
      <c r="N309" s="278">
        <f t="shared" si="116"/>
        <v>289.76923076923083</v>
      </c>
      <c r="O309" s="278">
        <f t="shared" si="116"/>
        <v>180.92307692307693</v>
      </c>
      <c r="P309" s="278">
        <f t="shared" si="116"/>
        <v>121.23076923076927</v>
      </c>
      <c r="Q309" s="278">
        <f t="shared" si="116"/>
        <v>211.53846153846146</v>
      </c>
      <c r="R309" s="278">
        <f t="shared" si="116"/>
        <v>200.30769230769232</v>
      </c>
      <c r="S309" s="278">
        <f t="shared" si="116"/>
        <v>226.92307692307688</v>
      </c>
      <c r="T309" s="278">
        <f t="shared" si="116"/>
        <v>386.30769230769249</v>
      </c>
      <c r="U309" s="278">
        <f t="shared" si="116"/>
        <v>378</v>
      </c>
      <c r="V309" s="278">
        <f t="shared" si="116"/>
        <v>321.61538461538458</v>
      </c>
      <c r="W309" s="278">
        <f t="shared" si="116"/>
        <v>312.92307692307708</v>
      </c>
      <c r="X309" s="278">
        <f t="shared" si="116"/>
        <v>251.46153846153837</v>
      </c>
      <c r="Y309" s="278">
        <f t="shared" si="116"/>
        <v>163.84615384615375</v>
      </c>
      <c r="Z309" s="276">
        <f t="shared" si="117"/>
        <v>109.38461538461536</v>
      </c>
      <c r="AA309" s="276">
        <f t="shared" si="117"/>
        <v>98.384615384615358</v>
      </c>
      <c r="AB309" s="276">
        <f t="shared" si="117"/>
        <v>100</v>
      </c>
      <c r="AC309" s="276">
        <f t="shared" si="117"/>
        <v>100</v>
      </c>
    </row>
    <row r="310" spans="1:30">
      <c r="A310" s="247" t="s">
        <v>14</v>
      </c>
      <c r="B310" s="278">
        <f t="shared" si="115"/>
        <v>199.84615384615381</v>
      </c>
      <c r="C310" s="278">
        <f t="shared" si="118"/>
        <v>141.23076923076928</v>
      </c>
      <c r="D310" s="278">
        <f t="shared" si="116"/>
        <v>133.46153846153848</v>
      </c>
      <c r="E310" s="278">
        <f t="shared" si="116"/>
        <v>73.076923076923094</v>
      </c>
      <c r="F310" s="278">
        <f t="shared" si="116"/>
        <v>15.15384615384616</v>
      </c>
      <c r="G310" s="278">
        <f t="shared" si="116"/>
        <v>7.7692307692307718</v>
      </c>
      <c r="H310" s="278">
        <f t="shared" si="116"/>
        <v>10.07692307692308</v>
      </c>
      <c r="I310" s="278">
        <f t="shared" si="116"/>
        <v>13.84615384615384</v>
      </c>
      <c r="J310" s="278">
        <f t="shared" si="116"/>
        <v>27.307692307692321</v>
      </c>
      <c r="K310" s="278">
        <f t="shared" si="116"/>
        <v>19</v>
      </c>
      <c r="L310" s="278">
        <f t="shared" si="116"/>
        <v>33</v>
      </c>
      <c r="M310" s="278">
        <f t="shared" si="116"/>
        <v>198.76923076923072</v>
      </c>
      <c r="N310" s="278">
        <f t="shared" si="116"/>
        <v>289.30769230769238</v>
      </c>
      <c r="O310" s="278">
        <f t="shared" si="116"/>
        <v>165.76923076923077</v>
      </c>
      <c r="P310" s="278">
        <f t="shared" si="116"/>
        <v>125.69230769230774</v>
      </c>
      <c r="Q310" s="278">
        <f t="shared" si="116"/>
        <v>220.61538461538453</v>
      </c>
      <c r="R310" s="278">
        <f t="shared" si="116"/>
        <v>190.92307692307693</v>
      </c>
      <c r="S310" s="278">
        <f t="shared" si="116"/>
        <v>238.76923076923072</v>
      </c>
      <c r="T310" s="278">
        <f t="shared" si="116"/>
        <v>398.92307692307713</v>
      </c>
      <c r="U310" s="278">
        <f t="shared" si="116"/>
        <v>366</v>
      </c>
      <c r="V310" s="278">
        <f t="shared" si="116"/>
        <v>323.84615384615381</v>
      </c>
      <c r="W310" s="278">
        <f t="shared" si="116"/>
        <v>309.76923076923094</v>
      </c>
      <c r="X310" s="278">
        <f t="shared" si="116"/>
        <v>245.3846153846153</v>
      </c>
      <c r="Y310" s="278">
        <f t="shared" si="116"/>
        <v>156.53846153846143</v>
      </c>
      <c r="Z310" s="276">
        <f t="shared" si="117"/>
        <v>107.61538461538458</v>
      </c>
      <c r="AA310" s="276">
        <f t="shared" si="117"/>
        <v>98.615384615384585</v>
      </c>
      <c r="AB310" s="276">
        <f t="shared" si="117"/>
        <v>100</v>
      </c>
      <c r="AC310" s="276">
        <f t="shared" si="117"/>
        <v>100</v>
      </c>
    </row>
    <row r="311" spans="1:30">
      <c r="A311" s="247" t="s">
        <v>34</v>
      </c>
      <c r="B311" s="278">
        <f t="shared" si="115"/>
        <v>199.07692307692304</v>
      </c>
      <c r="C311" s="278">
        <f t="shared" si="118"/>
        <v>134.38461538461544</v>
      </c>
      <c r="D311" s="278">
        <f t="shared" si="116"/>
        <v>136.7692307692308</v>
      </c>
      <c r="E311" s="278">
        <f t="shared" si="116"/>
        <v>63.461538461538481</v>
      </c>
      <c r="F311" s="278">
        <f t="shared" si="116"/>
        <v>13.92307692307693</v>
      </c>
      <c r="G311" s="278">
        <f t="shared" si="116"/>
        <v>7.6153846153846176</v>
      </c>
      <c r="H311" s="278">
        <f t="shared" si="116"/>
        <v>10.461538461538465</v>
      </c>
      <c r="I311" s="278">
        <f t="shared" si="116"/>
        <v>14.07692307692307</v>
      </c>
      <c r="J311" s="278">
        <f t="shared" si="116"/>
        <v>28.846153846153861</v>
      </c>
      <c r="K311" s="278">
        <f t="shared" si="116"/>
        <v>17</v>
      </c>
      <c r="L311" s="278">
        <f t="shared" si="116"/>
        <v>36</v>
      </c>
      <c r="M311" s="278">
        <f t="shared" si="116"/>
        <v>217.61538461538456</v>
      </c>
      <c r="N311" s="278">
        <f t="shared" si="116"/>
        <v>288.84615384615392</v>
      </c>
      <c r="O311" s="278">
        <f t="shared" si="116"/>
        <v>150.61538461538461</v>
      </c>
      <c r="P311" s="278">
        <f t="shared" si="116"/>
        <v>130.15384615384619</v>
      </c>
      <c r="Q311" s="278">
        <f t="shared" si="116"/>
        <v>229.69230769230759</v>
      </c>
      <c r="R311" s="278">
        <f t="shared" si="116"/>
        <v>181.53846153846155</v>
      </c>
      <c r="S311" s="278">
        <f t="shared" si="116"/>
        <v>250.61538461538456</v>
      </c>
      <c r="T311" s="278">
        <f t="shared" si="116"/>
        <v>411.53846153846177</v>
      </c>
      <c r="U311" s="278">
        <f t="shared" si="116"/>
        <v>354</v>
      </c>
      <c r="V311" s="278">
        <f t="shared" si="116"/>
        <v>326.07692307692304</v>
      </c>
      <c r="W311" s="278">
        <f t="shared" si="116"/>
        <v>306.61538461538481</v>
      </c>
      <c r="X311" s="278">
        <f t="shared" si="116"/>
        <v>239.30769230769224</v>
      </c>
      <c r="Y311" s="278">
        <f t="shared" si="116"/>
        <v>149.23076923076911</v>
      </c>
      <c r="Z311" s="276">
        <f t="shared" si="117"/>
        <v>105.84615384615381</v>
      </c>
      <c r="AA311" s="276">
        <f t="shared" si="117"/>
        <v>98.846153846153811</v>
      </c>
      <c r="AB311" s="276">
        <f t="shared" si="117"/>
        <v>100</v>
      </c>
      <c r="AC311" s="276">
        <f t="shared" si="117"/>
        <v>100</v>
      </c>
    </row>
    <row r="312" spans="1:30">
      <c r="A312" s="247" t="s">
        <v>35</v>
      </c>
      <c r="B312" s="278">
        <f t="shared" si="115"/>
        <v>198.30769230769226</v>
      </c>
      <c r="C312" s="278">
        <f t="shared" si="118"/>
        <v>127.5384615384616</v>
      </c>
      <c r="D312" s="278">
        <f t="shared" si="116"/>
        <v>140.07692307692312</v>
      </c>
      <c r="E312" s="278">
        <f t="shared" si="116"/>
        <v>53.846153846153868</v>
      </c>
      <c r="F312" s="278">
        <f t="shared" si="116"/>
        <v>12.692307692307701</v>
      </c>
      <c r="G312" s="278">
        <f t="shared" si="116"/>
        <v>7.4615384615384635</v>
      </c>
      <c r="H312" s="278">
        <f t="shared" si="116"/>
        <v>10.84615384615385</v>
      </c>
      <c r="I312" s="278">
        <f t="shared" si="116"/>
        <v>14.307692307692299</v>
      </c>
      <c r="J312" s="278">
        <f t="shared" si="116"/>
        <v>30.384615384615401</v>
      </c>
      <c r="K312" s="278">
        <f t="shared" si="116"/>
        <v>15</v>
      </c>
      <c r="L312" s="278">
        <f t="shared" si="116"/>
        <v>39</v>
      </c>
      <c r="M312" s="278">
        <f t="shared" si="116"/>
        <v>236.4615384615384</v>
      </c>
      <c r="N312" s="278">
        <f t="shared" si="116"/>
        <v>288.38461538461547</v>
      </c>
      <c r="O312" s="278">
        <f t="shared" si="116"/>
        <v>135.46153846153845</v>
      </c>
      <c r="P312" s="278">
        <f t="shared" si="116"/>
        <v>134.61538461538464</v>
      </c>
      <c r="Q312" s="278">
        <f t="shared" si="116"/>
        <v>238.76923076923066</v>
      </c>
      <c r="R312" s="278">
        <f t="shared" si="116"/>
        <v>172.15384615384616</v>
      </c>
      <c r="S312" s="278">
        <f t="shared" si="116"/>
        <v>262.4615384615384</v>
      </c>
      <c r="T312" s="278">
        <f t="shared" si="116"/>
        <v>424.15384615384642</v>
      </c>
      <c r="U312" s="278">
        <f t="shared" si="116"/>
        <v>342</v>
      </c>
      <c r="V312" s="278">
        <f t="shared" si="116"/>
        <v>328.30769230769226</v>
      </c>
      <c r="W312" s="278">
        <f t="shared" si="116"/>
        <v>303.46153846153868</v>
      </c>
      <c r="X312" s="278">
        <f t="shared" si="116"/>
        <v>233.23076923076917</v>
      </c>
      <c r="Y312" s="278">
        <f t="shared" si="116"/>
        <v>141.92307692307679</v>
      </c>
      <c r="Z312" s="276">
        <f t="shared" si="117"/>
        <v>104.07692307692304</v>
      </c>
      <c r="AA312" s="276">
        <f t="shared" si="117"/>
        <v>99.076923076923038</v>
      </c>
      <c r="AB312" s="276">
        <f t="shared" si="117"/>
        <v>100</v>
      </c>
      <c r="AC312" s="276">
        <f t="shared" si="117"/>
        <v>100</v>
      </c>
    </row>
    <row r="313" spans="1:30">
      <c r="A313" s="247" t="s">
        <v>36</v>
      </c>
      <c r="B313" s="278">
        <f t="shared" si="115"/>
        <v>197.53846153846149</v>
      </c>
      <c r="C313" s="278">
        <f t="shared" si="118"/>
        <v>120.69230769230776</v>
      </c>
      <c r="D313" s="278">
        <f t="shared" si="116"/>
        <v>143.38461538461544</v>
      </c>
      <c r="E313" s="278">
        <f t="shared" si="116"/>
        <v>44.230769230769255</v>
      </c>
      <c r="F313" s="278">
        <f t="shared" si="116"/>
        <v>11.461538461538471</v>
      </c>
      <c r="G313" s="278">
        <f t="shared" si="116"/>
        <v>7.3076923076923093</v>
      </c>
      <c r="H313" s="278">
        <f t="shared" si="116"/>
        <v>11.230769230769235</v>
      </c>
      <c r="I313" s="278">
        <f t="shared" si="116"/>
        <v>14.538461538461529</v>
      </c>
      <c r="J313" s="278">
        <f t="shared" si="116"/>
        <v>31.923076923076941</v>
      </c>
      <c r="K313" s="278">
        <f t="shared" si="116"/>
        <v>13</v>
      </c>
      <c r="L313" s="278">
        <f t="shared" si="116"/>
        <v>42</v>
      </c>
      <c r="M313" s="278">
        <f t="shared" si="116"/>
        <v>255.30769230769224</v>
      </c>
      <c r="N313" s="278">
        <f t="shared" si="116"/>
        <v>287.92307692307702</v>
      </c>
      <c r="O313" s="278">
        <f t="shared" si="116"/>
        <v>120.30769230769229</v>
      </c>
      <c r="P313" s="278">
        <f t="shared" si="116"/>
        <v>139.07692307692309</v>
      </c>
      <c r="Q313" s="278">
        <f t="shared" si="116"/>
        <v>247.84615384615373</v>
      </c>
      <c r="R313" s="278">
        <f t="shared" si="116"/>
        <v>162.76923076923077</v>
      </c>
      <c r="S313" s="278">
        <f t="shared" si="116"/>
        <v>274.30769230769226</v>
      </c>
      <c r="T313" s="278">
        <f t="shared" si="116"/>
        <v>436.76923076923106</v>
      </c>
      <c r="U313" s="278">
        <f t="shared" si="116"/>
        <v>330</v>
      </c>
      <c r="V313" s="278">
        <f t="shared" si="116"/>
        <v>330.53846153846149</v>
      </c>
      <c r="W313" s="278">
        <f t="shared" si="116"/>
        <v>300.30769230769255</v>
      </c>
      <c r="X313" s="278">
        <f t="shared" si="116"/>
        <v>227.1538461538461</v>
      </c>
      <c r="Y313" s="278">
        <f t="shared" si="116"/>
        <v>134.61538461538447</v>
      </c>
      <c r="Z313" s="276">
        <f t="shared" si="117"/>
        <v>102.30769230769226</v>
      </c>
      <c r="AA313" s="276">
        <f t="shared" si="117"/>
        <v>99.307692307692264</v>
      </c>
      <c r="AB313" s="276">
        <f t="shared" si="117"/>
        <v>100</v>
      </c>
      <c r="AC313" s="276">
        <f t="shared" si="117"/>
        <v>100</v>
      </c>
    </row>
    <row r="314" spans="1:30" ht="15.75" thickBot="1">
      <c r="A314" s="247" t="s">
        <v>37</v>
      </c>
      <c r="B314" s="245">
        <f>B42</f>
        <v>196</v>
      </c>
      <c r="C314" s="245">
        <f t="shared" ref="C314:AC314" si="119">C42</f>
        <v>107</v>
      </c>
      <c r="D314" s="245">
        <f t="shared" si="119"/>
        <v>150</v>
      </c>
      <c r="E314" s="245">
        <f t="shared" si="119"/>
        <v>25</v>
      </c>
      <c r="F314" s="245">
        <f t="shared" si="119"/>
        <v>9</v>
      </c>
      <c r="G314" s="245">
        <f t="shared" si="119"/>
        <v>7</v>
      </c>
      <c r="H314" s="245">
        <f t="shared" si="119"/>
        <v>12</v>
      </c>
      <c r="I314" s="245">
        <f t="shared" si="119"/>
        <v>15</v>
      </c>
      <c r="J314" s="245">
        <f t="shared" si="119"/>
        <v>35</v>
      </c>
      <c r="K314" s="245">
        <f t="shared" si="119"/>
        <v>9</v>
      </c>
      <c r="L314" s="245">
        <f t="shared" si="119"/>
        <v>48</v>
      </c>
      <c r="M314" s="245">
        <f t="shared" si="119"/>
        <v>293</v>
      </c>
      <c r="N314" s="245">
        <f t="shared" si="119"/>
        <v>287</v>
      </c>
      <c r="O314" s="245">
        <f t="shared" si="119"/>
        <v>90</v>
      </c>
      <c r="P314" s="245">
        <f t="shared" si="119"/>
        <v>148</v>
      </c>
      <c r="Q314" s="245">
        <f t="shared" si="119"/>
        <v>266</v>
      </c>
      <c r="R314" s="245">
        <f t="shared" si="119"/>
        <v>144</v>
      </c>
      <c r="S314" s="245">
        <f t="shared" si="119"/>
        <v>298</v>
      </c>
      <c r="T314" s="245">
        <f t="shared" si="119"/>
        <v>462</v>
      </c>
      <c r="U314" s="245">
        <f t="shared" si="119"/>
        <v>306</v>
      </c>
      <c r="V314" s="245">
        <f t="shared" si="119"/>
        <v>335</v>
      </c>
      <c r="W314" s="245">
        <f t="shared" si="119"/>
        <v>294</v>
      </c>
      <c r="X314" s="245">
        <f t="shared" si="119"/>
        <v>215</v>
      </c>
      <c r="Y314" s="245">
        <f t="shared" si="119"/>
        <v>120</v>
      </c>
      <c r="Z314" s="273">
        <f t="shared" si="119"/>
        <v>97</v>
      </c>
      <c r="AA314" s="273">
        <f t="shared" si="119"/>
        <v>100</v>
      </c>
      <c r="AB314" s="273">
        <f t="shared" si="119"/>
        <v>100</v>
      </c>
      <c r="AC314" s="273">
        <f t="shared" si="119"/>
        <v>100</v>
      </c>
    </row>
    <row r="315" spans="1:30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  <c r="AA315" s="271"/>
      <c r="AB315" s="271"/>
      <c r="AC315" s="271"/>
    </row>
    <row r="316" spans="1:30" ht="15.75" thickBot="1">
      <c r="A316" s="247" t="s">
        <v>404</v>
      </c>
    </row>
    <row r="317" spans="1:30" ht="15.75" thickBot="1">
      <c r="A317" s="263"/>
      <c r="B317" s="235" t="str">
        <f>B$2</f>
        <v xml:space="preserve">93/94 </v>
      </c>
      <c r="C317" s="235" t="str">
        <f t="shared" ref="C317:AC317" si="120">C$2</f>
        <v xml:space="preserve">94/95 </v>
      </c>
      <c r="D317" s="235" t="str">
        <f t="shared" si="120"/>
        <v xml:space="preserve">95/96 </v>
      </c>
      <c r="E317" s="235" t="str">
        <f t="shared" si="120"/>
        <v xml:space="preserve">96/97 </v>
      </c>
      <c r="F317" s="235" t="str">
        <f t="shared" si="120"/>
        <v xml:space="preserve">97/98 </v>
      </c>
      <c r="G317" s="235" t="str">
        <f t="shared" si="120"/>
        <v xml:space="preserve">98/99 </v>
      </c>
      <c r="H317" s="235" t="str">
        <f t="shared" si="120"/>
        <v xml:space="preserve">99/00 </v>
      </c>
      <c r="I317" s="235" t="str">
        <f t="shared" si="120"/>
        <v xml:space="preserve">00/01 </v>
      </c>
      <c r="J317" s="235" t="str">
        <f t="shared" si="120"/>
        <v xml:space="preserve">01/02 </v>
      </c>
      <c r="K317" s="235" t="str">
        <f t="shared" si="120"/>
        <v xml:space="preserve">02/03 </v>
      </c>
      <c r="L317" s="235" t="str">
        <f t="shared" si="120"/>
        <v xml:space="preserve">03/04 </v>
      </c>
      <c r="M317" s="235" t="str">
        <f t="shared" si="120"/>
        <v xml:space="preserve">04/05 </v>
      </c>
      <c r="N317" s="235" t="str">
        <f t="shared" si="120"/>
        <v xml:space="preserve">05/06 </v>
      </c>
      <c r="O317" s="235" t="str">
        <f t="shared" si="120"/>
        <v xml:space="preserve">06/07 </v>
      </c>
      <c r="P317" s="235" t="str">
        <f t="shared" si="120"/>
        <v xml:space="preserve">07/08 </v>
      </c>
      <c r="Q317" s="235" t="str">
        <f t="shared" si="120"/>
        <v xml:space="preserve">08/09 </v>
      </c>
      <c r="R317" s="235" t="str">
        <f t="shared" si="120"/>
        <v xml:space="preserve">09/10 </v>
      </c>
      <c r="S317" s="235" t="str">
        <f t="shared" si="120"/>
        <v xml:space="preserve">10/11 </v>
      </c>
      <c r="T317" s="235" t="str">
        <f t="shared" si="120"/>
        <v xml:space="preserve">11/12 </v>
      </c>
      <c r="U317" s="235" t="str">
        <f t="shared" si="120"/>
        <v xml:space="preserve">12/13 </v>
      </c>
      <c r="V317" s="235" t="str">
        <f t="shared" si="120"/>
        <v xml:space="preserve">13/14 </v>
      </c>
      <c r="W317" s="235" t="str">
        <f t="shared" si="120"/>
        <v xml:space="preserve">14/15 </v>
      </c>
      <c r="X317" s="235" t="str">
        <f t="shared" si="120"/>
        <v xml:space="preserve">15/16 </v>
      </c>
      <c r="Y317" s="235" t="str">
        <f t="shared" si="120"/>
        <v xml:space="preserve">16/17 </v>
      </c>
      <c r="Z317" s="235" t="str">
        <f t="shared" si="120"/>
        <v xml:space="preserve">17/18 </v>
      </c>
      <c r="AA317" s="235" t="str">
        <f t="shared" si="120"/>
        <v xml:space="preserve">18/19 </v>
      </c>
      <c r="AB317" s="235" t="str">
        <f t="shared" si="120"/>
        <v xml:space="preserve">19/20 </v>
      </c>
      <c r="AC317" s="235" t="str">
        <f t="shared" si="120"/>
        <v xml:space="preserve">20/21 </v>
      </c>
      <c r="AD317" s="288"/>
    </row>
    <row r="318" spans="1:30">
      <c r="A318" s="247" t="s">
        <v>38</v>
      </c>
    </row>
    <row r="319" spans="1:30">
      <c r="A319" s="247" t="s">
        <v>39</v>
      </c>
    </row>
    <row r="320" spans="1:30">
      <c r="A320" s="247" t="s">
        <v>40</v>
      </c>
    </row>
    <row r="321" spans="1:29">
      <c r="A321" s="247" t="s">
        <v>30</v>
      </c>
    </row>
    <row r="322" spans="1:29">
      <c r="A322" s="247" t="s">
        <v>31</v>
      </c>
    </row>
    <row r="323" spans="1:29">
      <c r="A323" s="247" t="s">
        <v>32</v>
      </c>
    </row>
    <row r="324" spans="1:29">
      <c r="A324" s="247" t="s">
        <v>33</v>
      </c>
    </row>
    <row r="325" spans="1:29">
      <c r="A325" s="247" t="s">
        <v>14</v>
      </c>
    </row>
    <row r="326" spans="1:29">
      <c r="A326" s="247" t="s">
        <v>34</v>
      </c>
    </row>
    <row r="327" spans="1:29">
      <c r="A327" s="247" t="s">
        <v>35</v>
      </c>
    </row>
    <row r="328" spans="1:29">
      <c r="A328" s="247" t="s">
        <v>36</v>
      </c>
    </row>
    <row r="329" spans="1:29">
      <c r="A329" s="247" t="s">
        <v>37</v>
      </c>
    </row>
    <row r="330" spans="1:29" ht="15.75" thickBot="1">
      <c r="A330" s="247" t="s">
        <v>338</v>
      </c>
    </row>
    <row r="331" spans="1:29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  <c r="AA331" s="271"/>
      <c r="AB331" s="271"/>
      <c r="AC331" s="2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</vt:vector>
  </HeadingPairs>
  <TitlesOfParts>
    <vt:vector size="14" baseType="lpstr">
      <vt:lpstr>Corn Grind Forecast for Co-Prod</vt:lpstr>
      <vt:lpstr>Co-Products Production</vt:lpstr>
      <vt:lpstr>Ethanol Balance Sheet</vt:lpstr>
      <vt:lpstr>Monthly Ethanol Data</vt:lpstr>
      <vt:lpstr>Weekly Ethanol Production</vt:lpstr>
      <vt:lpstr>NASS Data</vt:lpstr>
      <vt:lpstr>Corn Oil</vt:lpstr>
      <vt:lpstr>Corn Grind</vt:lpstr>
      <vt:lpstr>Weekly Ethanol Data</vt:lpstr>
      <vt:lpstr>Corn Gluten Meal Balance Sheet</vt:lpstr>
      <vt:lpstr>DDG Balance Sheet</vt:lpstr>
      <vt:lpstr>Corn Gluten Feed Balance Sheet</vt:lpstr>
      <vt:lpstr>Template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2025-07-17T09:40:41Z</dcterms:created>
  <dcterms:modified xsi:type="dcterms:W3CDTF">2025-11-03T07:58:35Z</dcterms:modified>
</cp:coreProperties>
</file>