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oy\OneDrive\"/>
    </mc:Choice>
  </mc:AlternateContent>
  <xr:revisionPtr revIDLastSave="0" documentId="13_ncr:1_{E5D23B5A-403B-4E9F-9461-4BCF3BE05606}" xr6:coauthVersionLast="47" xr6:coauthVersionMax="47" xr10:uidLastSave="{00000000-0000-0000-0000-000000000000}"/>
  <bookViews>
    <workbookView xWindow="0" yWindow="2580" windowWidth="17280" windowHeight="8964" activeTab="4" xr2:uid="{161CC44C-FB0D-4E83-9615-28FE79F0A5BF}"/>
  </bookViews>
  <sheets>
    <sheet name="Q1" sheetId="2" r:id="rId1"/>
    <sheet name="Q2" sheetId="1" r:id="rId2"/>
    <sheet name="Q3" sheetId="3" r:id="rId3"/>
    <sheet name="Q4" sheetId="4" r:id="rId4"/>
    <sheet name="Q5" sheetId="5" r:id="rId5"/>
    <sheet name="Q6" sheetId="6" r:id="rId6"/>
    <sheet name="Q7" sheetId="7" r:id="rId7"/>
    <sheet name="QB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4" i="5" l="1"/>
  <c r="A15" i="5"/>
  <c r="D18" i="5"/>
  <c r="D17" i="5"/>
  <c r="D16" i="5"/>
  <c r="C6" i="5"/>
  <c r="D15" i="5"/>
  <c r="D14" i="5"/>
  <c r="D13" i="5"/>
  <c r="D12" i="5"/>
  <c r="E9" i="5"/>
  <c r="E10" i="5"/>
  <c r="F8" i="5"/>
  <c r="L13" i="6"/>
  <c r="M13" i="6"/>
  <c r="K13" i="6" s="1"/>
  <c r="K15" i="7"/>
  <c r="J15" i="7"/>
  <c r="I15" i="7"/>
  <c r="K14" i="6"/>
  <c r="L14" i="6"/>
  <c r="K15" i="6"/>
  <c r="L15" i="6" s="1"/>
  <c r="K16" i="6"/>
  <c r="L16" i="6" s="1"/>
  <c r="K17" i="6"/>
  <c r="L17" i="6"/>
  <c r="M14" i="6"/>
  <c r="M15" i="6"/>
  <c r="M16" i="6"/>
  <c r="M17" i="6"/>
  <c r="J13" i="6"/>
  <c r="J14" i="6"/>
  <c r="H16" i="7"/>
  <c r="H15" i="7"/>
  <c r="H13" i="7"/>
  <c r="H11" i="7"/>
  <c r="H10" i="7"/>
  <c r="I3" i="5"/>
  <c r="C11" i="7"/>
  <c r="C8" i="7"/>
  <c r="C5" i="7"/>
  <c r="C6" i="7"/>
  <c r="B7" i="5"/>
  <c r="G18" i="4"/>
  <c r="I14" i="4"/>
  <c r="J11" i="4"/>
  <c r="I11" i="4"/>
  <c r="J10" i="4"/>
  <c r="I10" i="4"/>
  <c r="I7" i="4"/>
  <c r="J9" i="4"/>
  <c r="I9" i="4"/>
  <c r="J7" i="4"/>
  <c r="B6" i="5"/>
  <c r="C11" i="8"/>
  <c r="B11" i="8"/>
  <c r="E13" i="3"/>
  <c r="C7" i="8"/>
  <c r="D7" i="8"/>
  <c r="D11" i="7"/>
  <c r="C9" i="7"/>
  <c r="D8" i="7"/>
  <c r="D9" i="7"/>
  <c r="T4" i="7"/>
  <c r="I6" i="7"/>
  <c r="J6" i="7" s="1"/>
  <c r="D6" i="7" s="1"/>
  <c r="I5" i="7"/>
  <c r="J5" i="7" s="1"/>
  <c r="D5" i="7" s="1"/>
  <c r="H7" i="7"/>
  <c r="C15" i="6"/>
  <c r="D15" i="6"/>
  <c r="E14" i="3"/>
  <c r="D9" i="6"/>
  <c r="C9" i="6"/>
  <c r="E8" i="6"/>
  <c r="E7" i="6"/>
  <c r="S4" i="6"/>
  <c r="R4" i="6"/>
  <c r="T3" i="6"/>
  <c r="T2" i="6"/>
  <c r="J16" i="6" s="1"/>
  <c r="N4" i="6"/>
  <c r="M4" i="6"/>
  <c r="O3" i="6"/>
  <c r="O2" i="6"/>
  <c r="J15" i="6" s="1"/>
  <c r="I4" i="6"/>
  <c r="H4" i="6"/>
  <c r="J3" i="6"/>
  <c r="J2" i="6"/>
  <c r="E3" i="6"/>
  <c r="E2" i="6"/>
  <c r="D4" i="6"/>
  <c r="C4" i="6"/>
  <c r="E25" i="3"/>
  <c r="H4" i="5"/>
  <c r="A2" i="5"/>
  <c r="J14" i="4"/>
  <c r="H13" i="4"/>
  <c r="H11" i="4"/>
  <c r="H10" i="4"/>
  <c r="H9" i="4"/>
  <c r="H7" i="4"/>
  <c r="H4" i="4"/>
  <c r="G13" i="4"/>
  <c r="G11" i="4"/>
  <c r="G10" i="4"/>
  <c r="G9" i="4"/>
  <c r="G7" i="4"/>
  <c r="G4" i="4"/>
  <c r="H27" i="4"/>
  <c r="H29" i="4" s="1"/>
  <c r="A24" i="4"/>
  <c r="E24" i="3"/>
  <c r="E23" i="3"/>
  <c r="F21" i="3"/>
  <c r="E21" i="3"/>
  <c r="G20" i="3"/>
  <c r="G19" i="3"/>
  <c r="G21" i="3" s="1"/>
  <c r="G18" i="3"/>
  <c r="G17" i="3"/>
  <c r="F10" i="3"/>
  <c r="F9" i="3"/>
  <c r="E10" i="3"/>
  <c r="E9" i="3"/>
  <c r="F11" i="3"/>
  <c r="E11" i="3"/>
  <c r="G10" i="3"/>
  <c r="G3" i="3"/>
  <c r="G6" i="3"/>
  <c r="G4" i="3"/>
  <c r="G5" i="3"/>
  <c r="G2" i="3"/>
  <c r="E6" i="3"/>
  <c r="F6" i="3"/>
  <c r="E5" i="1"/>
  <c r="E2" i="1"/>
  <c r="D5" i="1"/>
  <c r="E3" i="1"/>
  <c r="E4" i="1"/>
  <c r="B7" i="1"/>
  <c r="D4" i="1"/>
  <c r="D3" i="1"/>
  <c r="D2" i="1"/>
  <c r="C5" i="1"/>
  <c r="B5" i="1"/>
  <c r="F9" i="5" l="1"/>
  <c r="F10" i="5" s="1"/>
  <c r="D10" i="5"/>
  <c r="I7" i="7"/>
  <c r="J7" i="7" s="1"/>
  <c r="O4" i="6"/>
  <c r="J17" i="6"/>
  <c r="J4" i="6"/>
  <c r="E4" i="6"/>
  <c r="T4" i="6"/>
  <c r="E9" i="6"/>
  <c r="H5" i="5"/>
  <c r="B4" i="5"/>
  <c r="J3" i="5"/>
  <c r="G9" i="3"/>
  <c r="G11" i="3" s="1"/>
  <c r="I5" i="5" l="1"/>
  <c r="B9" i="5" s="1"/>
  <c r="J4" i="5"/>
  <c r="B8" i="5" l="1"/>
  <c r="J5" i="5"/>
</calcChain>
</file>

<file path=xl/sharedStrings.xml><?xml version="1.0" encoding="utf-8"?>
<sst xmlns="http://schemas.openxmlformats.org/spreadsheetml/2006/main" count="204" uniqueCount="121">
  <si>
    <t>Freq of Exercie</t>
  </si>
  <si>
    <t>None</t>
  </si>
  <si>
    <t>Once per week</t>
  </si>
  <si>
    <t>Twice per week</t>
  </si>
  <si>
    <t>Women-Years</t>
  </si>
  <si>
    <t>CHD</t>
  </si>
  <si>
    <t>Rate per 10,000</t>
  </si>
  <si>
    <t>Totals</t>
  </si>
  <si>
    <t>66 persons with disease</t>
  </si>
  <si>
    <t>6,500 participants</t>
  </si>
  <si>
    <t>6 years Total</t>
  </si>
  <si>
    <t>38,458 Disease Free P-Y</t>
  </si>
  <si>
    <t>Incidence Rate 66/38458 = 0.0017</t>
  </si>
  <si>
    <t>a.</t>
  </si>
  <si>
    <t xml:space="preserve">Proportion of those w/CHD </t>
  </si>
  <si>
    <t>1000 Cases</t>
  </si>
  <si>
    <t>1000 Controls</t>
  </si>
  <si>
    <t>Sucralose per Week</t>
  </si>
  <si>
    <t>1 to 2</t>
  </si>
  <si>
    <t xml:space="preserve">3 to 5 </t>
  </si>
  <si>
    <t>6+</t>
  </si>
  <si>
    <t># Cases</t>
  </si>
  <si>
    <t># Controls</t>
  </si>
  <si>
    <t>Exposed</t>
  </si>
  <si>
    <t>Not Exposed</t>
  </si>
  <si>
    <t>OR</t>
  </si>
  <si>
    <t xml:space="preserve">RR </t>
  </si>
  <si>
    <t xml:space="preserve">OR Q4 - Q1 </t>
  </si>
  <si>
    <t>OR Q3 - Q1</t>
  </si>
  <si>
    <t>OR Q2 - Q1</t>
  </si>
  <si>
    <t>0 (Q1)</t>
  </si>
  <si>
    <t>1 to 2 (Q2)</t>
  </si>
  <si>
    <t xml:space="preserve">3 to 5 (Q3) </t>
  </si>
  <si>
    <t>6+ (Q4)</t>
  </si>
  <si>
    <t>2 year/24 months</t>
  </si>
  <si>
    <t>20 participants</t>
  </si>
  <si>
    <t>Follow-Up Time (Months)</t>
  </si>
  <si>
    <t>Event</t>
  </si>
  <si>
    <t>Death</t>
  </si>
  <si>
    <t>Censored</t>
  </si>
  <si>
    <t>Survival</t>
  </si>
  <si>
    <t>6 deaths</t>
  </si>
  <si>
    <t>2q0=</t>
  </si>
  <si>
    <t>q= 2-year cumulative probability of death</t>
  </si>
  <si>
    <t>2p0=</t>
  </si>
  <si>
    <t>Life Table Interval</t>
  </si>
  <si>
    <t># Individuals at Risk ni</t>
  </si>
  <si>
    <t>#Events di</t>
  </si>
  <si>
    <t>Conditional Probability of Event (qi=di/ni)</t>
  </si>
  <si>
    <t>Conditional Probability of Survival (pi=1-qi)</t>
  </si>
  <si>
    <t>Cumulative probability of survival (Si)</t>
  </si>
  <si>
    <t>Cumulative probability of event (Si)</t>
  </si>
  <si>
    <t>1% of 105000</t>
  </si>
  <si>
    <t>existing cases</t>
  </si>
  <si>
    <t>40% of non-cases exposed</t>
  </si>
  <si>
    <t>5 years # cases occurred</t>
  </si>
  <si>
    <t>cases exposed</t>
  </si>
  <si>
    <t>Yes</t>
  </si>
  <si>
    <t>No</t>
  </si>
  <si>
    <t>Disease</t>
  </si>
  <si>
    <t>Non-cases unexposed</t>
  </si>
  <si>
    <t xml:space="preserve">existing cases subtracted </t>
  </si>
  <si>
    <t>Weight</t>
  </si>
  <si>
    <t>&lt;150</t>
  </si>
  <si>
    <t xml:space="preserve">CHD </t>
  </si>
  <si>
    <t>No CHD</t>
  </si>
  <si>
    <t>Total</t>
  </si>
  <si>
    <t>Type A</t>
  </si>
  <si>
    <t>Type B</t>
  </si>
  <si>
    <t>150-160</t>
  </si>
  <si>
    <t>160-170</t>
  </si>
  <si>
    <t>170-180</t>
  </si>
  <si>
    <t>&gt;180</t>
  </si>
  <si>
    <t xml:space="preserve"> weight </t>
  </si>
  <si>
    <t>RR</t>
  </si>
  <si>
    <t>Number in Strata</t>
  </si>
  <si>
    <t>C.</t>
  </si>
  <si>
    <t>A. Cases in the community</t>
  </si>
  <si>
    <t>B. Risk ratio</t>
  </si>
  <si>
    <t>D.</t>
  </si>
  <si>
    <t>B. Risk Difference</t>
  </si>
  <si>
    <t>E.</t>
  </si>
  <si>
    <t>26 years folllowing irradiation</t>
  </si>
  <si>
    <t>person-years = date of tratment to date of death or on May 31 1982</t>
  </si>
  <si>
    <t>Person-years of observation = irradiated subjects - 279901 years</t>
  </si>
  <si>
    <t>Person-years of observation = non-irradiated subjects - 280561 years</t>
  </si>
  <si>
    <t>Follow-up deaths from cancer in I group</t>
  </si>
  <si>
    <t>Irradiated (I) children tinea capitis +</t>
  </si>
  <si>
    <t>Non-irradiated (NI) Children tinea-free</t>
  </si>
  <si>
    <t>Follow-up deaths from cancer in NI group</t>
  </si>
  <si>
    <t>A.</t>
  </si>
  <si>
    <t>I</t>
  </si>
  <si>
    <t>NI</t>
  </si>
  <si>
    <t>Unexposed</t>
  </si>
  <si>
    <t>Living</t>
  </si>
  <si>
    <t>per 1,000</t>
  </si>
  <si>
    <t>B.</t>
  </si>
  <si>
    <t>per 100,000</t>
  </si>
  <si>
    <t>Years after diagnosis</t>
  </si>
  <si>
    <t># of cases at the start of period</t>
  </si>
  <si>
    <t># deaths during the period</t>
  </si>
  <si>
    <t>Number of withdrawls during the period</t>
  </si>
  <si>
    <t>q5years</t>
  </si>
  <si>
    <t>S(5years)</t>
  </si>
  <si>
    <t>Actuarial Method</t>
  </si>
  <si>
    <t>Density Method</t>
  </si>
  <si>
    <t>95%CI(RR)</t>
  </si>
  <si>
    <t>SE</t>
  </si>
  <si>
    <t>Cancer Death</t>
  </si>
  <si>
    <t>Group</t>
  </si>
  <si>
    <t>per 100,000 Rounded</t>
  </si>
  <si>
    <t>Cancer deaths per 100,000 Rounded</t>
  </si>
  <si>
    <t>q1-q2</t>
  </si>
  <si>
    <t>%AR</t>
  </si>
  <si>
    <t>A. Prevelance pe</t>
  </si>
  <si>
    <t>1-pe</t>
  </si>
  <si>
    <t>risk exposed q+</t>
  </si>
  <si>
    <t>risk unexposed q-</t>
  </si>
  <si>
    <t>qpop</t>
  </si>
  <si>
    <t>popAR</t>
  </si>
  <si>
    <t>%popAR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</si>
</sst>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00"/>
    <numFmt numFmtId="166" formatCode="0.000"/>
    <numFmt numFmtId="167" formatCode="0.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rgb="FF202124"/>
      <name val="Roboto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3" fontId="0" fillId="0" borderId="1" xfId="0" applyNumberFormat="1" applyFont="1" applyBorder="1" applyAlignment="1">
      <alignment horizontal="center" vertical="center"/>
    </xf>
    <xf numFmtId="3" fontId="0" fillId="0" borderId="1" xfId="0" applyNumberFormat="1" applyBorder="1" applyAlignment="1">
      <alignment horizontal="center"/>
    </xf>
    <xf numFmtId="164" fontId="0" fillId="0" borderId="0" xfId="0" applyNumberFormat="1"/>
    <xf numFmtId="2" fontId="0" fillId="0" borderId="1" xfId="0" applyNumberForma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165" fontId="0" fillId="0" borderId="0" xfId="0" applyNumberFormat="1" applyAlignment="1">
      <alignment horizontal="center"/>
    </xf>
    <xf numFmtId="164" fontId="0" fillId="0" borderId="1" xfId="0" applyNumberFormat="1" applyBorder="1"/>
    <xf numFmtId="16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NumberFormat="1" applyFont="1"/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NumberFormat="1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 wrapText="1"/>
    </xf>
    <xf numFmtId="166" fontId="0" fillId="0" borderId="1" xfId="0" applyNumberFormat="1" applyFont="1" applyBorder="1" applyAlignment="1">
      <alignment horizontal="center" vertical="center" wrapText="1"/>
    </xf>
    <xf numFmtId="166" fontId="0" fillId="0" borderId="1" xfId="0" applyNumberForma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/>
    <xf numFmtId="3" fontId="0" fillId="0" borderId="0" xfId="0" applyNumberFormat="1" applyAlignment="1">
      <alignment horizontal="center" vertical="center"/>
    </xf>
    <xf numFmtId="3" fontId="0" fillId="0" borderId="0" xfId="0" applyNumberFormat="1"/>
    <xf numFmtId="3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166" fontId="0" fillId="0" borderId="0" xfId="0" applyNumberFormat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166" fontId="0" fillId="0" borderId="1" xfId="0" applyNumberForma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5" fillId="0" borderId="0" xfId="0" applyFont="1"/>
    <xf numFmtId="166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'Q4'!$A$3</c:f>
              <c:strCache>
                <c:ptCount val="1"/>
                <c:pt idx="0">
                  <c:v>Follow-Up Time (Months)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'Q4'!$A$4:$A$23</c:f>
              <c:numCache>
                <c:formatCode>General</c:formatCode>
                <c:ptCount val="20"/>
                <c:pt idx="0">
                  <c:v>2</c:v>
                </c:pt>
                <c:pt idx="1">
                  <c:v>4</c:v>
                </c:pt>
                <c:pt idx="2">
                  <c:v>7</c:v>
                </c:pt>
                <c:pt idx="3">
                  <c:v>8</c:v>
                </c:pt>
                <c:pt idx="4">
                  <c:v>12</c:v>
                </c:pt>
                <c:pt idx="5">
                  <c:v>15</c:v>
                </c:pt>
                <c:pt idx="6">
                  <c:v>17</c:v>
                </c:pt>
                <c:pt idx="7">
                  <c:v>19</c:v>
                </c:pt>
                <c:pt idx="8">
                  <c:v>20</c:v>
                </c:pt>
                <c:pt idx="9">
                  <c:v>23</c:v>
                </c:pt>
                <c:pt idx="10">
                  <c:v>24</c:v>
                </c:pt>
                <c:pt idx="11">
                  <c:v>24</c:v>
                </c:pt>
                <c:pt idx="12">
                  <c:v>24</c:v>
                </c:pt>
                <c:pt idx="13">
                  <c:v>24</c:v>
                </c:pt>
                <c:pt idx="14">
                  <c:v>24</c:v>
                </c:pt>
                <c:pt idx="15">
                  <c:v>24</c:v>
                </c:pt>
                <c:pt idx="16">
                  <c:v>24</c:v>
                </c:pt>
                <c:pt idx="17">
                  <c:v>24</c:v>
                </c:pt>
                <c:pt idx="18">
                  <c:v>24</c:v>
                </c:pt>
                <c:pt idx="19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ED-4D36-BB4E-01887107E9B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2052227936"/>
        <c:axId val="2052222944"/>
      </c:barChart>
      <c:catAx>
        <c:axId val="2052227936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2222944"/>
        <c:crosses val="autoZero"/>
        <c:auto val="1"/>
        <c:lblAlgn val="ctr"/>
        <c:lblOffset val="100"/>
        <c:noMultiLvlLbl val="0"/>
      </c:catAx>
      <c:valAx>
        <c:axId val="2052222944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2227936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24</xdr:row>
      <xdr:rowOff>41910</xdr:rowOff>
    </xdr:from>
    <xdr:to>
      <xdr:col>5</xdr:col>
      <xdr:colOff>228600</xdr:colOff>
      <xdr:row>45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4D436C-04C4-4F9C-BAE0-4134BB4851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7C85B-93E6-43F1-8AF0-67A153209EAF}">
  <dimension ref="A1:E1"/>
  <sheetViews>
    <sheetView workbookViewId="0">
      <selection activeCell="E1" sqref="E1"/>
    </sheetView>
  </sheetViews>
  <sheetFormatPr defaultRowHeight="14.4" x14ac:dyDescent="0.3"/>
  <cols>
    <col min="1" max="1" width="11.44140625" bestFit="1" customWidth="1"/>
    <col min="2" max="2" width="20.44140625" bestFit="1" customWidth="1"/>
    <col min="3" max="3" width="15.5546875" bestFit="1" customWidth="1"/>
    <col min="4" max="4" width="20" bestFit="1" customWidth="1"/>
    <col min="5" max="5" width="21.5546875" bestFit="1" customWidth="1"/>
  </cols>
  <sheetData>
    <row r="1" spans="1:5" ht="28.8" x14ac:dyDescent="0.3">
      <c r="A1" s="3" t="s">
        <v>10</v>
      </c>
      <c r="B1" s="3" t="s">
        <v>8</v>
      </c>
      <c r="C1" s="3" t="s">
        <v>9</v>
      </c>
      <c r="D1" s="3" t="s">
        <v>11</v>
      </c>
      <c r="E1" s="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65655-8342-4AE8-8412-63B4648F94B1}">
  <dimension ref="A1:E12"/>
  <sheetViews>
    <sheetView workbookViewId="0">
      <selection sqref="A1:E5"/>
    </sheetView>
  </sheetViews>
  <sheetFormatPr defaultRowHeight="14.4" x14ac:dyDescent="0.3"/>
  <cols>
    <col min="1" max="1" width="13.77734375" bestFit="1" customWidth="1"/>
    <col min="2" max="2" width="12.5546875" bestFit="1" customWidth="1"/>
    <col min="4" max="4" width="13.88671875" bestFit="1" customWidth="1"/>
    <col min="5" max="5" width="16.44140625" customWidth="1"/>
  </cols>
  <sheetData>
    <row r="1" spans="1:5" ht="28.8" x14ac:dyDescent="0.3">
      <c r="A1" s="4" t="s">
        <v>0</v>
      </c>
      <c r="B1" s="4" t="s">
        <v>4</v>
      </c>
      <c r="C1" s="4" t="s">
        <v>5</v>
      </c>
      <c r="D1" s="4" t="s">
        <v>6</v>
      </c>
      <c r="E1" s="37" t="s">
        <v>14</v>
      </c>
    </row>
    <row r="2" spans="1:5" x14ac:dyDescent="0.3">
      <c r="A2" s="5" t="s">
        <v>1</v>
      </c>
      <c r="B2" s="8">
        <v>32843</v>
      </c>
      <c r="C2" s="5">
        <v>23</v>
      </c>
      <c r="D2" s="11">
        <f>(C2/B2)*10000</f>
        <v>7.0030143409554553</v>
      </c>
      <c r="E2" s="16">
        <f>C2/$C$5</f>
        <v>0.34328358208955223</v>
      </c>
    </row>
    <row r="3" spans="1:5" x14ac:dyDescent="0.3">
      <c r="A3" s="5" t="s">
        <v>2</v>
      </c>
      <c r="B3" s="8">
        <v>117205</v>
      </c>
      <c r="C3" s="5">
        <v>40</v>
      </c>
      <c r="D3" s="11">
        <f>(C3/B3)*10000</f>
        <v>3.4128236849963738</v>
      </c>
      <c r="E3" s="16">
        <f t="shared" ref="E3:E4" si="0">C3/$C$5</f>
        <v>0.59701492537313428</v>
      </c>
    </row>
    <row r="4" spans="1:5" x14ac:dyDescent="0.3">
      <c r="A4" s="5" t="s">
        <v>3</v>
      </c>
      <c r="B4" s="8">
        <v>25111</v>
      </c>
      <c r="C4" s="5">
        <v>4</v>
      </c>
      <c r="D4" s="11">
        <f>(C4/B4)*10000</f>
        <v>1.5929274023336386</v>
      </c>
      <c r="E4" s="16">
        <f t="shared" si="0"/>
        <v>5.9701492537313432E-2</v>
      </c>
    </row>
    <row r="5" spans="1:5" x14ac:dyDescent="0.3">
      <c r="A5" s="12" t="s">
        <v>7</v>
      </c>
      <c r="B5" s="9">
        <f>SUM(B2:B4)</f>
        <v>175159</v>
      </c>
      <c r="C5" s="6">
        <f>SUM(C2:C4)</f>
        <v>67</v>
      </c>
      <c r="D5" s="11">
        <f>(C5/B5)*10000</f>
        <v>3.8250960555837841</v>
      </c>
      <c r="E5" s="16">
        <f>SUM(E2:E4)</f>
        <v>0.99999999999999989</v>
      </c>
    </row>
    <row r="7" spans="1:5" x14ac:dyDescent="0.3">
      <c r="A7" s="14" t="s">
        <v>13</v>
      </c>
      <c r="B7" s="15">
        <f>C3/C5</f>
        <v>0.59701492537313428</v>
      </c>
    </row>
    <row r="8" spans="1:5" x14ac:dyDescent="0.3">
      <c r="A8" s="14"/>
    </row>
    <row r="10" spans="1:5" x14ac:dyDescent="0.3">
      <c r="D10" s="10"/>
    </row>
    <row r="11" spans="1:5" x14ac:dyDescent="0.3">
      <c r="D11" s="10"/>
    </row>
    <row r="12" spans="1:5" x14ac:dyDescent="0.3">
      <c r="D12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E01C0-7FB7-468B-8AF2-C5537394A5EE}">
  <dimension ref="A1:H25"/>
  <sheetViews>
    <sheetView zoomScale="93" workbookViewId="0">
      <selection activeCell="F12" sqref="F12"/>
    </sheetView>
  </sheetViews>
  <sheetFormatPr defaultRowHeight="14.4" x14ac:dyDescent="0.3"/>
  <cols>
    <col min="1" max="1" width="10.109375" bestFit="1" customWidth="1"/>
    <col min="2" max="2" width="12.33203125" bestFit="1" customWidth="1"/>
    <col min="4" max="4" width="17.21875" bestFit="1" customWidth="1"/>
    <col min="5" max="5" width="7.109375" bestFit="1" customWidth="1"/>
    <col min="6" max="6" width="9.33203125" bestFit="1" customWidth="1"/>
  </cols>
  <sheetData>
    <row r="1" spans="1:7" x14ac:dyDescent="0.3">
      <c r="A1" t="s">
        <v>15</v>
      </c>
      <c r="B1" t="s">
        <v>16</v>
      </c>
      <c r="D1" s="3" t="s">
        <v>17</v>
      </c>
      <c r="E1" s="3" t="s">
        <v>21</v>
      </c>
      <c r="F1" s="3" t="s">
        <v>22</v>
      </c>
      <c r="G1" s="3" t="s">
        <v>7</v>
      </c>
    </row>
    <row r="2" spans="1:7" x14ac:dyDescent="0.3">
      <c r="D2" s="3">
        <v>0</v>
      </c>
      <c r="E2" s="3">
        <v>500</v>
      </c>
      <c r="F2" s="3">
        <v>800</v>
      </c>
      <c r="G2" s="3">
        <f>SUM(E2:F2)</f>
        <v>1300</v>
      </c>
    </row>
    <row r="3" spans="1:7" x14ac:dyDescent="0.3">
      <c r="D3" s="17" t="s">
        <v>18</v>
      </c>
      <c r="E3" s="3">
        <v>50</v>
      </c>
      <c r="F3" s="3">
        <v>100</v>
      </c>
      <c r="G3" s="3">
        <f t="shared" ref="G3:G5" si="0">SUM(E3:F3)</f>
        <v>150</v>
      </c>
    </row>
    <row r="4" spans="1:7" x14ac:dyDescent="0.3">
      <c r="D4" s="3" t="s">
        <v>19</v>
      </c>
      <c r="E4" s="3">
        <v>150</v>
      </c>
      <c r="F4" s="3">
        <v>50</v>
      </c>
      <c r="G4" s="3">
        <f t="shared" si="0"/>
        <v>200</v>
      </c>
    </row>
    <row r="5" spans="1:7" x14ac:dyDescent="0.3">
      <c r="D5" s="3" t="s">
        <v>20</v>
      </c>
      <c r="E5" s="3">
        <v>300</v>
      </c>
      <c r="F5" s="3">
        <v>50</v>
      </c>
      <c r="G5" s="3">
        <f t="shared" si="0"/>
        <v>350</v>
      </c>
    </row>
    <row r="6" spans="1:7" x14ac:dyDescent="0.3">
      <c r="D6" s="3" t="s">
        <v>7</v>
      </c>
      <c r="E6" s="3">
        <f>SUM(E2:E5)</f>
        <v>1000</v>
      </c>
      <c r="F6" s="3">
        <f>SUM(F2:F5)</f>
        <v>1000</v>
      </c>
      <c r="G6" s="3">
        <f>SUM(G2:G5)</f>
        <v>2000</v>
      </c>
    </row>
    <row r="8" spans="1:7" x14ac:dyDescent="0.3">
      <c r="D8" s="3" t="s">
        <v>17</v>
      </c>
      <c r="E8" s="3" t="s">
        <v>21</v>
      </c>
      <c r="F8" s="3" t="s">
        <v>22</v>
      </c>
      <c r="G8" s="18" t="s">
        <v>7</v>
      </c>
    </row>
    <row r="9" spans="1:7" x14ac:dyDescent="0.3">
      <c r="D9" s="3" t="s">
        <v>23</v>
      </c>
      <c r="E9" s="3">
        <f>SUM(E3:E5)</f>
        <v>500</v>
      </c>
      <c r="F9" s="3">
        <f>SUM(F3:F5)</f>
        <v>200</v>
      </c>
      <c r="G9" s="3">
        <f>SUM(E9:F9)</f>
        <v>700</v>
      </c>
    </row>
    <row r="10" spans="1:7" x14ac:dyDescent="0.3">
      <c r="D10" s="3" t="s">
        <v>24</v>
      </c>
      <c r="E10" s="3">
        <f>E2</f>
        <v>500</v>
      </c>
      <c r="F10" s="3">
        <f>F2</f>
        <v>800</v>
      </c>
      <c r="G10" s="3">
        <f>SUM(E10:F10)</f>
        <v>1300</v>
      </c>
    </row>
    <row r="11" spans="1:7" x14ac:dyDescent="0.3">
      <c r="D11" s="18" t="s">
        <v>7</v>
      </c>
      <c r="E11" s="3">
        <f>SUM(E9:E10)</f>
        <v>1000</v>
      </c>
      <c r="F11" s="3">
        <f>SUM(F9:F10)</f>
        <v>1000</v>
      </c>
      <c r="G11" s="3">
        <f>SUM(G9:G10)</f>
        <v>2000</v>
      </c>
    </row>
    <row r="13" spans="1:7" x14ac:dyDescent="0.3">
      <c r="D13" s="19" t="s">
        <v>25</v>
      </c>
      <c r="E13">
        <f>(E9*F10)/(F9*E10)</f>
        <v>4</v>
      </c>
    </row>
    <row r="14" spans="1:7" x14ac:dyDescent="0.3">
      <c r="D14" s="19" t="s">
        <v>26</v>
      </c>
      <c r="E14">
        <f>(500/(500+200))/(500/(500+800))</f>
        <v>1.857142857142857</v>
      </c>
    </row>
    <row r="16" spans="1:7" x14ac:dyDescent="0.3">
      <c r="D16" s="3" t="s">
        <v>17</v>
      </c>
      <c r="E16" s="3" t="s">
        <v>21</v>
      </c>
      <c r="F16" s="3" t="s">
        <v>22</v>
      </c>
      <c r="G16" s="3" t="s">
        <v>7</v>
      </c>
    </row>
    <row r="17" spans="4:8" x14ac:dyDescent="0.3">
      <c r="D17" s="3" t="s">
        <v>30</v>
      </c>
      <c r="E17" s="3">
        <v>500</v>
      </c>
      <c r="F17" s="3">
        <v>800</v>
      </c>
      <c r="G17" s="3">
        <f>SUM(E17:F17)</f>
        <v>1300</v>
      </c>
      <c r="H17" s="20"/>
    </row>
    <row r="18" spans="4:8" x14ac:dyDescent="0.3">
      <c r="D18" s="17" t="s">
        <v>31</v>
      </c>
      <c r="E18" s="3">
        <v>50</v>
      </c>
      <c r="F18" s="3">
        <v>100</v>
      </c>
      <c r="G18" s="3">
        <f t="shared" ref="G18:G20" si="1">SUM(E18:F18)</f>
        <v>150</v>
      </c>
      <c r="H18" s="20"/>
    </row>
    <row r="19" spans="4:8" x14ac:dyDescent="0.3">
      <c r="D19" s="3" t="s">
        <v>32</v>
      </c>
      <c r="E19" s="3">
        <v>150</v>
      </c>
      <c r="F19" s="3">
        <v>50</v>
      </c>
      <c r="G19" s="3">
        <f t="shared" si="1"/>
        <v>200</v>
      </c>
      <c r="H19" s="20"/>
    </row>
    <row r="20" spans="4:8" x14ac:dyDescent="0.3">
      <c r="D20" s="3" t="s">
        <v>33</v>
      </c>
      <c r="E20" s="3">
        <v>300</v>
      </c>
      <c r="F20" s="3">
        <v>50</v>
      </c>
      <c r="G20" s="3">
        <f t="shared" si="1"/>
        <v>350</v>
      </c>
      <c r="H20" s="20"/>
    </row>
    <row r="21" spans="4:8" x14ac:dyDescent="0.3">
      <c r="D21" s="3" t="s">
        <v>7</v>
      </c>
      <c r="E21" s="3">
        <f>SUM(E17:E20)</f>
        <v>1000</v>
      </c>
      <c r="F21" s="3">
        <f>SUM(F17:F20)</f>
        <v>1000</v>
      </c>
      <c r="G21" s="3">
        <f>SUM(G17:G20)</f>
        <v>2000</v>
      </c>
    </row>
    <row r="23" spans="4:8" x14ac:dyDescent="0.3">
      <c r="D23" s="18" t="s">
        <v>27</v>
      </c>
      <c r="E23" s="7">
        <f>(E20*F17)/(F20*E17)</f>
        <v>9.6</v>
      </c>
    </row>
    <row r="24" spans="4:8" x14ac:dyDescent="0.3">
      <c r="D24" s="18" t="s">
        <v>28</v>
      </c>
      <c r="E24" s="7">
        <f>(E19*F17)/(F19*E17)</f>
        <v>4.8</v>
      </c>
    </row>
    <row r="25" spans="4:8" x14ac:dyDescent="0.3">
      <c r="D25" s="18" t="s">
        <v>29</v>
      </c>
      <c r="E25" s="7">
        <f>(E18*F17)/(F18*E17)</f>
        <v>0.8</v>
      </c>
    </row>
  </sheetData>
  <pageMargins left="0.7" right="0.7" top="0.75" bottom="0.75" header="0.3" footer="0.3"/>
  <pageSetup orientation="portrait" r:id="rId1"/>
  <ignoredErrors>
    <ignoredError sqref="G2:G5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5083A-FB1A-4D00-9D9F-3E65F11D1753}">
  <dimension ref="A1:J29"/>
  <sheetViews>
    <sheetView topLeftCell="F3" workbookViewId="0">
      <selection activeCell="G19" sqref="G19"/>
    </sheetView>
  </sheetViews>
  <sheetFormatPr defaultRowHeight="14.4" x14ac:dyDescent="0.3"/>
  <cols>
    <col min="1" max="1" width="22" bestFit="1" customWidth="1"/>
    <col min="2" max="2" width="19.5546875" bestFit="1" customWidth="1"/>
    <col min="3" max="3" width="9.109375" customWidth="1"/>
    <col min="4" max="4" width="16" style="24" customWidth="1"/>
    <col min="5" max="5" width="14.88671875" style="24" customWidth="1"/>
    <col min="6" max="6" width="9.5546875" style="24" bestFit="1" customWidth="1"/>
    <col min="7" max="7" width="14.88671875" style="24" customWidth="1"/>
    <col min="8" max="8" width="17.21875" style="24" customWidth="1"/>
    <col min="9" max="9" width="14.6640625" style="2" customWidth="1"/>
    <col min="10" max="10" width="18.109375" style="2" customWidth="1"/>
  </cols>
  <sheetData>
    <row r="1" spans="1:10" x14ac:dyDescent="0.3">
      <c r="A1" t="s">
        <v>34</v>
      </c>
      <c r="B1" t="s">
        <v>35</v>
      </c>
      <c r="C1" t="s">
        <v>41</v>
      </c>
    </row>
    <row r="3" spans="1:10" ht="43.2" x14ac:dyDescent="0.3">
      <c r="A3" s="21" t="s">
        <v>36</v>
      </c>
      <c r="B3" s="21" t="s">
        <v>37</v>
      </c>
      <c r="C3" s="21"/>
      <c r="D3" s="27" t="s">
        <v>36</v>
      </c>
      <c r="E3" s="27" t="s">
        <v>46</v>
      </c>
      <c r="F3" s="27" t="s">
        <v>47</v>
      </c>
      <c r="G3" s="27" t="s">
        <v>48</v>
      </c>
      <c r="H3" s="27" t="s">
        <v>49</v>
      </c>
      <c r="I3" s="27" t="s">
        <v>50</v>
      </c>
      <c r="J3" s="27" t="s">
        <v>51</v>
      </c>
    </row>
    <row r="4" spans="1:10" x14ac:dyDescent="0.3">
      <c r="A4" s="2">
        <v>2</v>
      </c>
      <c r="B4" s="2" t="s">
        <v>38</v>
      </c>
      <c r="C4" s="2"/>
      <c r="D4" s="13">
        <v>2</v>
      </c>
      <c r="E4" s="28">
        <v>20</v>
      </c>
      <c r="F4" s="28">
        <v>1</v>
      </c>
      <c r="G4" s="29">
        <f>F4/E4</f>
        <v>0.05</v>
      </c>
      <c r="H4" s="28">
        <f>1-G4</f>
        <v>0.95</v>
      </c>
      <c r="I4" s="5">
        <v>0.95</v>
      </c>
      <c r="J4" s="5">
        <v>0.05</v>
      </c>
    </row>
    <row r="5" spans="1:10" x14ac:dyDescent="0.3">
      <c r="A5" s="2">
        <v>4</v>
      </c>
      <c r="B5" s="2" t="s">
        <v>39</v>
      </c>
      <c r="C5" s="2"/>
      <c r="D5" s="13">
        <v>4</v>
      </c>
      <c r="E5" s="28">
        <v>19</v>
      </c>
      <c r="F5" s="29"/>
      <c r="G5" s="13"/>
      <c r="H5" s="13"/>
      <c r="I5" s="5"/>
      <c r="J5" s="32"/>
    </row>
    <row r="6" spans="1:10" x14ac:dyDescent="0.3">
      <c r="A6" s="2">
        <v>7</v>
      </c>
      <c r="B6" s="2" t="s">
        <v>39</v>
      </c>
      <c r="C6" s="22"/>
      <c r="D6" s="13">
        <v>7</v>
      </c>
      <c r="E6" s="13">
        <v>18</v>
      </c>
      <c r="F6" s="13"/>
      <c r="G6" s="13"/>
      <c r="H6" s="13"/>
      <c r="I6" s="3"/>
      <c r="J6" s="3"/>
    </row>
    <row r="7" spans="1:10" x14ac:dyDescent="0.3">
      <c r="A7" s="2">
        <v>8</v>
      </c>
      <c r="B7" s="2" t="s">
        <v>38</v>
      </c>
      <c r="C7" s="22"/>
      <c r="D7" s="13">
        <v>8</v>
      </c>
      <c r="E7" s="13">
        <v>17</v>
      </c>
      <c r="F7" s="13">
        <v>1</v>
      </c>
      <c r="G7" s="30">
        <f>F7/E7</f>
        <v>5.8823529411764705E-2</v>
      </c>
      <c r="H7" s="30">
        <f>1-G7</f>
        <v>0.94117647058823528</v>
      </c>
      <c r="I7" s="55">
        <f>H7*H4</f>
        <v>0.89411764705882346</v>
      </c>
      <c r="J7" s="55">
        <f>1-I7</f>
        <v>0.10588235294117654</v>
      </c>
    </row>
    <row r="8" spans="1:10" x14ac:dyDescent="0.3">
      <c r="A8" s="2">
        <v>12</v>
      </c>
      <c r="B8" s="2" t="s">
        <v>39</v>
      </c>
      <c r="C8" s="22"/>
      <c r="D8" s="13">
        <v>12</v>
      </c>
      <c r="E8" s="13">
        <v>16</v>
      </c>
      <c r="F8" s="13"/>
      <c r="G8" s="31"/>
      <c r="H8" s="31"/>
      <c r="I8" s="55"/>
      <c r="J8" s="55"/>
    </row>
    <row r="9" spans="1:10" x14ac:dyDescent="0.3">
      <c r="A9" s="2">
        <v>15</v>
      </c>
      <c r="B9" s="2" t="s">
        <v>38</v>
      </c>
      <c r="C9" s="22"/>
      <c r="D9" s="13">
        <v>15</v>
      </c>
      <c r="E9" s="13">
        <v>15</v>
      </c>
      <c r="F9" s="13">
        <v>1</v>
      </c>
      <c r="G9" s="30">
        <f>F9/E9</f>
        <v>6.6666666666666666E-2</v>
      </c>
      <c r="H9" s="30">
        <f>1-G9</f>
        <v>0.93333333333333335</v>
      </c>
      <c r="I9" s="55">
        <f>H9*H7*H4</f>
        <v>0.83450980392156859</v>
      </c>
      <c r="J9" s="55">
        <f>1-I9</f>
        <v>0.16549019607843141</v>
      </c>
    </row>
    <row r="10" spans="1:10" x14ac:dyDescent="0.3">
      <c r="A10" s="2">
        <v>17</v>
      </c>
      <c r="B10" s="2" t="s">
        <v>38</v>
      </c>
      <c r="C10" s="22"/>
      <c r="D10" s="13">
        <v>17</v>
      </c>
      <c r="E10" s="13">
        <v>14</v>
      </c>
      <c r="F10" s="13">
        <v>1</v>
      </c>
      <c r="G10" s="30">
        <f>F10/E10</f>
        <v>7.1428571428571425E-2</v>
      </c>
      <c r="H10" s="30">
        <f>1-G10</f>
        <v>0.9285714285714286</v>
      </c>
      <c r="I10" s="55">
        <f>H10*H9*H7*H4</f>
        <v>0.77490196078431373</v>
      </c>
      <c r="J10" s="55">
        <f>1-I10</f>
        <v>0.22509803921568627</v>
      </c>
    </row>
    <row r="11" spans="1:10" x14ac:dyDescent="0.3">
      <c r="A11" s="2">
        <v>19</v>
      </c>
      <c r="B11" s="2" t="s">
        <v>38</v>
      </c>
      <c r="C11" s="23"/>
      <c r="D11" s="13">
        <v>19</v>
      </c>
      <c r="E11" s="13">
        <v>13</v>
      </c>
      <c r="F11" s="13">
        <v>1</v>
      </c>
      <c r="G11" s="30">
        <f>F11/E11</f>
        <v>7.6923076923076927E-2</v>
      </c>
      <c r="H11" s="30">
        <f>1-G11</f>
        <v>0.92307692307692313</v>
      </c>
      <c r="I11" s="55">
        <f>H11*H10*H9*H7*H4</f>
        <v>0.71529411764705875</v>
      </c>
      <c r="J11" s="55">
        <f>1-I11</f>
        <v>0.28470588235294125</v>
      </c>
    </row>
    <row r="12" spans="1:10" x14ac:dyDescent="0.3">
      <c r="A12" s="2">
        <v>20</v>
      </c>
      <c r="B12" s="2" t="s">
        <v>39</v>
      </c>
      <c r="C12" s="22"/>
      <c r="D12" s="13">
        <v>20</v>
      </c>
      <c r="E12" s="13">
        <v>12</v>
      </c>
      <c r="F12" s="13"/>
      <c r="G12" s="31"/>
      <c r="H12" s="31"/>
      <c r="I12" s="55"/>
      <c r="J12" s="55"/>
    </row>
    <row r="13" spans="1:10" x14ac:dyDescent="0.3">
      <c r="A13" s="2">
        <v>23</v>
      </c>
      <c r="B13" s="2" t="s">
        <v>38</v>
      </c>
      <c r="C13" s="22"/>
      <c r="D13" s="13">
        <v>23</v>
      </c>
      <c r="E13" s="13">
        <v>11</v>
      </c>
      <c r="F13" s="13">
        <v>1</v>
      </c>
      <c r="G13" s="30">
        <f>F13/E13</f>
        <v>9.0909090909090912E-2</v>
      </c>
      <c r="H13" s="30">
        <f>1-G13</f>
        <v>0.90909090909090906</v>
      </c>
      <c r="I13" s="55"/>
      <c r="J13" s="55"/>
    </row>
    <row r="14" spans="1:10" x14ac:dyDescent="0.3">
      <c r="A14" s="1">
        <v>24</v>
      </c>
      <c r="B14" s="2" t="s">
        <v>40</v>
      </c>
      <c r="C14" s="22"/>
      <c r="D14" s="13">
        <v>24</v>
      </c>
      <c r="E14" s="13">
        <v>10</v>
      </c>
      <c r="F14" s="13"/>
      <c r="G14" s="13"/>
      <c r="H14" s="13"/>
      <c r="I14" s="55">
        <f>H13*H11*H10*H9*H7*H4</f>
        <v>0.65026737967914428</v>
      </c>
      <c r="J14" s="55">
        <f>1-I14</f>
        <v>0.34973262032085572</v>
      </c>
    </row>
    <row r="15" spans="1:10" x14ac:dyDescent="0.3">
      <c r="A15" s="2">
        <v>24</v>
      </c>
      <c r="B15" s="2" t="s">
        <v>40</v>
      </c>
      <c r="C15" s="22"/>
      <c r="D15" s="25"/>
    </row>
    <row r="16" spans="1:10" x14ac:dyDescent="0.3">
      <c r="A16" s="1">
        <v>24</v>
      </c>
      <c r="B16" s="2" t="s">
        <v>40</v>
      </c>
      <c r="C16" s="22"/>
    </row>
    <row r="17" spans="1:8" x14ac:dyDescent="0.3">
      <c r="A17" s="2">
        <v>24</v>
      </c>
      <c r="B17" s="2" t="s">
        <v>40</v>
      </c>
      <c r="C17" s="22"/>
    </row>
    <row r="18" spans="1:8" x14ac:dyDescent="0.3">
      <c r="A18" s="1">
        <v>24</v>
      </c>
      <c r="B18" s="2" t="s">
        <v>40</v>
      </c>
      <c r="C18" s="22"/>
      <c r="G18" s="24">
        <f>14/20</f>
        <v>0.7</v>
      </c>
    </row>
    <row r="19" spans="1:8" x14ac:dyDescent="0.3">
      <c r="A19" s="2">
        <v>24</v>
      </c>
      <c r="B19" s="2" t="s">
        <v>40</v>
      </c>
      <c r="C19" s="22"/>
    </row>
    <row r="20" spans="1:8" x14ac:dyDescent="0.3">
      <c r="A20" s="1">
        <v>24</v>
      </c>
      <c r="B20" s="2" t="s">
        <v>40</v>
      </c>
      <c r="C20" s="22"/>
    </row>
    <row r="21" spans="1:8" x14ac:dyDescent="0.3">
      <c r="A21" s="2">
        <v>24</v>
      </c>
      <c r="B21" s="2" t="s">
        <v>40</v>
      </c>
      <c r="C21" s="22"/>
    </row>
    <row r="22" spans="1:8" x14ac:dyDescent="0.3">
      <c r="A22" s="1">
        <v>24</v>
      </c>
      <c r="B22" s="2" t="s">
        <v>40</v>
      </c>
      <c r="C22" s="22"/>
    </row>
    <row r="23" spans="1:8" x14ac:dyDescent="0.3">
      <c r="A23" s="2">
        <v>24</v>
      </c>
      <c r="B23" s="2" t="s">
        <v>40</v>
      </c>
      <c r="C23" s="22"/>
    </row>
    <row r="24" spans="1:8" x14ac:dyDescent="0.3">
      <c r="A24" s="2">
        <f>SUM(A4:A23)</f>
        <v>367</v>
      </c>
    </row>
    <row r="26" spans="1:8" ht="28.8" x14ac:dyDescent="0.3">
      <c r="G26" s="24" t="s">
        <v>45</v>
      </c>
    </row>
    <row r="27" spans="1:8" x14ac:dyDescent="0.3">
      <c r="G27" s="25" t="s">
        <v>42</v>
      </c>
      <c r="H27" s="25">
        <f>6/(20-(0.5*4))</f>
        <v>0.33333333333333331</v>
      </c>
    </row>
    <row r="28" spans="1:8" ht="57.6" x14ac:dyDescent="0.3">
      <c r="G28" s="25" t="s">
        <v>43</v>
      </c>
      <c r="H28" s="25"/>
    </row>
    <row r="29" spans="1:8" x14ac:dyDescent="0.3">
      <c r="G29" s="25" t="s">
        <v>44</v>
      </c>
      <c r="H29" s="26">
        <f>1-H27</f>
        <v>0.66666666666666674</v>
      </c>
    </row>
  </sheetData>
  <phoneticPr fontId="2" type="noConversion"/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E5454-2845-484E-94FA-EC51E0A0A911}">
  <dimension ref="A1:J18"/>
  <sheetViews>
    <sheetView tabSelected="1" zoomScale="115" zoomScaleNormal="115" workbookViewId="0">
      <selection activeCell="A15" sqref="A15"/>
    </sheetView>
  </sheetViews>
  <sheetFormatPr defaultRowHeight="14.4" x14ac:dyDescent="0.3"/>
  <cols>
    <col min="1" max="1" width="14.77734375" style="24" customWidth="1"/>
    <col min="2" max="2" width="12" style="24" bestFit="1" customWidth="1"/>
    <col min="3" max="3" width="22.6640625" style="24" bestFit="1" customWidth="1"/>
    <col min="4" max="4" width="15.88671875" style="24" customWidth="1"/>
    <col min="5" max="5" width="12.6640625" style="24" bestFit="1" customWidth="1"/>
    <col min="6" max="6" width="12.6640625" style="24" customWidth="1"/>
    <col min="7" max="7" width="8.88671875" style="24"/>
    <col min="8" max="8" width="11.33203125" style="2" bestFit="1" customWidth="1"/>
    <col min="9" max="10" width="8.88671875" style="2"/>
  </cols>
  <sheetData>
    <row r="1" spans="1:10" ht="28.8" x14ac:dyDescent="0.3">
      <c r="A1" s="13" t="s">
        <v>52</v>
      </c>
      <c r="B1" s="13" t="s">
        <v>53</v>
      </c>
      <c r="C1" s="13" t="s">
        <v>54</v>
      </c>
      <c r="D1" s="58" t="s">
        <v>55</v>
      </c>
      <c r="E1" s="13" t="s">
        <v>56</v>
      </c>
      <c r="F1" s="35"/>
      <c r="H1" s="56" t="s">
        <v>59</v>
      </c>
      <c r="I1" s="56"/>
    </row>
    <row r="2" spans="1:10" x14ac:dyDescent="0.3">
      <c r="A2" s="13">
        <f>105000*0.01</f>
        <v>1050</v>
      </c>
      <c r="B2" s="13">
        <v>50</v>
      </c>
      <c r="C2" s="13"/>
      <c r="D2" s="58">
        <v>55</v>
      </c>
      <c r="E2" s="13">
        <v>40</v>
      </c>
      <c r="F2" s="35"/>
      <c r="G2" s="24" t="s">
        <v>23</v>
      </c>
      <c r="H2" s="2" t="s">
        <v>57</v>
      </c>
      <c r="I2" s="2" t="s">
        <v>58</v>
      </c>
    </row>
    <row r="3" spans="1:10" ht="28.8" x14ac:dyDescent="0.3">
      <c r="A3" s="13">
        <v>105000</v>
      </c>
      <c r="B3" s="13" t="s">
        <v>61</v>
      </c>
      <c r="C3" s="13" t="s">
        <v>60</v>
      </c>
      <c r="G3" s="24" t="s">
        <v>57</v>
      </c>
      <c r="H3" s="3">
        <v>40</v>
      </c>
      <c r="I3" s="3">
        <f>400-40</f>
        <v>360</v>
      </c>
      <c r="J3" s="2">
        <f>SUM(H3:I3)</f>
        <v>400</v>
      </c>
    </row>
    <row r="4" spans="1:10" x14ac:dyDescent="0.3">
      <c r="A4" s="13">
        <v>105000</v>
      </c>
      <c r="B4" s="13">
        <f>A2-B2</f>
        <v>1000</v>
      </c>
      <c r="C4" s="13"/>
      <c r="G4" s="24" t="s">
        <v>58</v>
      </c>
      <c r="H4" s="3">
        <f>D2-H3</f>
        <v>15</v>
      </c>
      <c r="I4" s="3">
        <v>585</v>
      </c>
      <c r="J4" s="2">
        <f>SUM(H4:I4)</f>
        <v>600</v>
      </c>
    </row>
    <row r="5" spans="1:10" x14ac:dyDescent="0.3">
      <c r="C5" s="24" t="s">
        <v>115</v>
      </c>
      <c r="H5" s="2">
        <f>SUM(H3:H4)</f>
        <v>55</v>
      </c>
      <c r="I5" s="2">
        <f>SUM(I3:I4)</f>
        <v>945</v>
      </c>
      <c r="J5" s="2">
        <f>SUM(J3:J4)</f>
        <v>1000</v>
      </c>
    </row>
    <row r="6" spans="1:10" x14ac:dyDescent="0.3">
      <c r="A6" s="13" t="s">
        <v>114</v>
      </c>
      <c r="B6" s="31">
        <f>(B2)/A2</f>
        <v>4.7619047619047616E-2</v>
      </c>
      <c r="C6" s="47">
        <f>1-B6</f>
        <v>0.95238095238095233</v>
      </c>
      <c r="D6" s="56" t="s">
        <v>59</v>
      </c>
      <c r="E6" s="56"/>
      <c r="F6" s="49"/>
    </row>
    <row r="7" spans="1:10" ht="28.8" x14ac:dyDescent="0.3">
      <c r="A7" s="13" t="s">
        <v>77</v>
      </c>
      <c r="B7" s="13">
        <f>B6*A3</f>
        <v>5000</v>
      </c>
      <c r="C7" s="24" t="s">
        <v>23</v>
      </c>
      <c r="D7" s="49" t="s">
        <v>57</v>
      </c>
      <c r="E7" s="49" t="s">
        <v>58</v>
      </c>
      <c r="F7" s="49"/>
    </row>
    <row r="8" spans="1:10" x14ac:dyDescent="0.3">
      <c r="A8" s="13" t="s">
        <v>78</v>
      </c>
      <c r="B8" s="48">
        <f>(H3/J3)/(H4/J4)</f>
        <v>4</v>
      </c>
      <c r="C8" s="24" t="s">
        <v>57</v>
      </c>
      <c r="D8" s="50">
        <v>40</v>
      </c>
      <c r="E8" s="50">
        <v>360</v>
      </c>
      <c r="F8" s="49">
        <f>SUM(D8:E8)</f>
        <v>400</v>
      </c>
      <c r="I8" s="49"/>
    </row>
    <row r="9" spans="1:10" ht="28.8" x14ac:dyDescent="0.3">
      <c r="A9" s="13" t="s">
        <v>80</v>
      </c>
      <c r="B9" s="48">
        <f>(H3/H5)-(I3/I5)</f>
        <v>0.34632034632034636</v>
      </c>
      <c r="C9" s="24" t="s">
        <v>58</v>
      </c>
      <c r="D9" s="50">
        <v>15</v>
      </c>
      <c r="E9" s="50">
        <f>E10-E8</f>
        <v>585</v>
      </c>
      <c r="F9" s="49">
        <f>SUM(D9:E9)</f>
        <v>600</v>
      </c>
    </row>
    <row r="10" spans="1:10" x14ac:dyDescent="0.3">
      <c r="A10" s="13"/>
      <c r="B10" s="13"/>
      <c r="D10" s="49">
        <f>SUM(D8:D9)</f>
        <v>55</v>
      </c>
      <c r="E10" s="49">
        <f>1000-D10</f>
        <v>945</v>
      </c>
      <c r="F10" s="49">
        <f>SUM(F8:F9)</f>
        <v>1000</v>
      </c>
      <c r="H10" s="38"/>
    </row>
    <row r="11" spans="1:10" x14ac:dyDescent="0.3">
      <c r="A11" s="13"/>
      <c r="B11" s="48"/>
    </row>
    <row r="12" spans="1:10" x14ac:dyDescent="0.3">
      <c r="A12" s="51" t="s">
        <v>81</v>
      </c>
      <c r="B12" s="52"/>
      <c r="C12" s="24" t="s">
        <v>116</v>
      </c>
      <c r="D12" s="24">
        <f>D8/F8</f>
        <v>0.1</v>
      </c>
      <c r="F12" s="24">
        <v>1000</v>
      </c>
    </row>
    <row r="13" spans="1:10" x14ac:dyDescent="0.3">
      <c r="C13" s="24" t="s">
        <v>117</v>
      </c>
      <c r="D13" s="24">
        <f>D9/F9</f>
        <v>2.5000000000000001E-2</v>
      </c>
    </row>
    <row r="14" spans="1:10" x14ac:dyDescent="0.3">
      <c r="A14" s="24">
        <f>55/5000</f>
        <v>1.0999999999999999E-2</v>
      </c>
      <c r="C14" s="24" t="s">
        <v>112</v>
      </c>
      <c r="D14" s="24">
        <f>D12-D13</f>
        <v>7.5000000000000011E-2</v>
      </c>
    </row>
    <row r="15" spans="1:10" x14ac:dyDescent="0.3">
      <c r="A15" s="24">
        <f>0.011*0.048</f>
        <v>5.2799999999999993E-4</v>
      </c>
      <c r="C15" s="24" t="s">
        <v>113</v>
      </c>
      <c r="D15" s="24">
        <f>(D14/D12)*100</f>
        <v>75.000000000000014</v>
      </c>
    </row>
    <row r="16" spans="1:10" x14ac:dyDescent="0.3">
      <c r="C16" s="24" t="s">
        <v>118</v>
      </c>
      <c r="D16" s="24">
        <f>(D12*B6)+(D13*C6)</f>
        <v>2.8571428571428571E-2</v>
      </c>
    </row>
    <row r="17" spans="3:4" x14ac:dyDescent="0.3">
      <c r="C17" s="24" t="s">
        <v>119</v>
      </c>
      <c r="D17" s="24">
        <f>D16-D13</f>
        <v>3.5714285714285691E-3</v>
      </c>
    </row>
    <row r="18" spans="3:4" x14ac:dyDescent="0.3">
      <c r="C18" s="24" t="s">
        <v>120</v>
      </c>
      <c r="D18" s="24">
        <f>((D16-D13)/D16)*100</f>
        <v>12.499999999999993</v>
      </c>
    </row>
  </sheetData>
  <mergeCells count="2">
    <mergeCell ref="H1:I1"/>
    <mergeCell ref="D6:E6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7FFEE-1882-4861-9564-648D476A075B}">
  <dimension ref="A1:T20"/>
  <sheetViews>
    <sheetView topLeftCell="C1" workbookViewId="0">
      <selection activeCell="D19" sqref="D19"/>
    </sheetView>
  </sheetViews>
  <sheetFormatPr defaultRowHeight="14.4" x14ac:dyDescent="0.3"/>
  <cols>
    <col min="9" max="9" width="9.77734375" customWidth="1"/>
    <col min="10" max="10" width="7.109375" customWidth="1"/>
  </cols>
  <sheetData>
    <row r="1" spans="1:20" x14ac:dyDescent="0.3">
      <c r="B1" t="s">
        <v>62</v>
      </c>
      <c r="C1" t="s">
        <v>64</v>
      </c>
      <c r="D1" t="s">
        <v>65</v>
      </c>
      <c r="E1" t="s">
        <v>66</v>
      </c>
      <c r="G1" t="s">
        <v>62</v>
      </c>
      <c r="H1" t="s">
        <v>64</v>
      </c>
      <c r="I1" t="s">
        <v>65</v>
      </c>
      <c r="J1" t="s">
        <v>66</v>
      </c>
      <c r="L1" t="s">
        <v>62</v>
      </c>
      <c r="M1" t="s">
        <v>64</v>
      </c>
      <c r="N1" t="s">
        <v>65</v>
      </c>
      <c r="O1" t="s">
        <v>66</v>
      </c>
      <c r="Q1" t="s">
        <v>62</v>
      </c>
      <c r="R1" t="s">
        <v>64</v>
      </c>
      <c r="S1" t="s">
        <v>65</v>
      </c>
      <c r="T1" t="s">
        <v>66</v>
      </c>
    </row>
    <row r="2" spans="1:20" x14ac:dyDescent="0.3">
      <c r="A2" s="36" t="s">
        <v>63</v>
      </c>
      <c r="B2" t="s">
        <v>67</v>
      </c>
      <c r="C2" s="7">
        <v>22</v>
      </c>
      <c r="D2" s="7">
        <v>253</v>
      </c>
      <c r="E2">
        <f>SUM(C2:D2)</f>
        <v>275</v>
      </c>
      <c r="F2" s="36" t="s">
        <v>69</v>
      </c>
      <c r="G2" t="s">
        <v>67</v>
      </c>
      <c r="H2" s="7">
        <v>21</v>
      </c>
      <c r="I2" s="7">
        <v>235</v>
      </c>
      <c r="J2">
        <f>SUM(H2:I2)</f>
        <v>256</v>
      </c>
      <c r="K2" s="36" t="s">
        <v>70</v>
      </c>
      <c r="L2" t="s">
        <v>67</v>
      </c>
      <c r="M2" s="7">
        <v>29</v>
      </c>
      <c r="N2" s="7">
        <v>297</v>
      </c>
      <c r="O2">
        <f>SUM(M2:N2)</f>
        <v>326</v>
      </c>
      <c r="P2" s="36" t="s">
        <v>71</v>
      </c>
      <c r="Q2" t="s">
        <v>67</v>
      </c>
      <c r="R2" s="7">
        <v>47</v>
      </c>
      <c r="S2" s="7">
        <v>248</v>
      </c>
      <c r="T2">
        <f>SUM(R2:S2)</f>
        <v>295</v>
      </c>
    </row>
    <row r="3" spans="1:20" x14ac:dyDescent="0.3">
      <c r="B3" t="s">
        <v>68</v>
      </c>
      <c r="C3" s="7">
        <v>10</v>
      </c>
      <c r="D3" s="7">
        <v>305</v>
      </c>
      <c r="E3">
        <f t="shared" ref="E3:E4" si="0">SUM(C3:D3)</f>
        <v>315</v>
      </c>
      <c r="G3" t="s">
        <v>68</v>
      </c>
      <c r="H3" s="7">
        <v>10</v>
      </c>
      <c r="I3" s="7">
        <v>270</v>
      </c>
      <c r="J3">
        <f t="shared" ref="J3:J4" si="1">SUM(H3:I3)</f>
        <v>280</v>
      </c>
      <c r="L3" t="s">
        <v>68</v>
      </c>
      <c r="M3" s="7">
        <v>21</v>
      </c>
      <c r="N3" s="7">
        <v>297</v>
      </c>
      <c r="O3">
        <f t="shared" ref="O3:O4" si="2">SUM(M3:N3)</f>
        <v>318</v>
      </c>
      <c r="Q3" t="s">
        <v>68</v>
      </c>
      <c r="R3" s="7">
        <v>19</v>
      </c>
      <c r="S3" s="7">
        <v>253</v>
      </c>
      <c r="T3">
        <f t="shared" ref="T3:T4" si="3">SUM(R3:S3)</f>
        <v>272</v>
      </c>
    </row>
    <row r="4" spans="1:20" x14ac:dyDescent="0.3">
      <c r="B4" t="s">
        <v>66</v>
      </c>
      <c r="C4">
        <f>SUM(C2:C3)</f>
        <v>32</v>
      </c>
      <c r="D4">
        <f>SUM(D2:D3)</f>
        <v>558</v>
      </c>
      <c r="E4">
        <f t="shared" si="0"/>
        <v>590</v>
      </c>
      <c r="G4" t="s">
        <v>66</v>
      </c>
      <c r="H4">
        <f>SUM(H2:H3)</f>
        <v>31</v>
      </c>
      <c r="I4">
        <f>SUM(I2:I3)</f>
        <v>505</v>
      </c>
      <c r="J4">
        <f t="shared" si="1"/>
        <v>536</v>
      </c>
      <c r="L4" t="s">
        <v>66</v>
      </c>
      <c r="M4">
        <f>SUM(M2:M3)</f>
        <v>50</v>
      </c>
      <c r="N4">
        <f>SUM(N2:N3)</f>
        <v>594</v>
      </c>
      <c r="O4">
        <f t="shared" si="2"/>
        <v>644</v>
      </c>
      <c r="Q4" t="s">
        <v>66</v>
      </c>
      <c r="R4">
        <f>SUM(R2:R3)</f>
        <v>66</v>
      </c>
      <c r="S4">
        <f>SUM(S2:S3)</f>
        <v>501</v>
      </c>
      <c r="T4">
        <f t="shared" si="3"/>
        <v>567</v>
      </c>
    </row>
    <row r="6" spans="1:20" x14ac:dyDescent="0.3">
      <c r="B6" t="s">
        <v>62</v>
      </c>
      <c r="C6" t="s">
        <v>64</v>
      </c>
      <c r="D6" t="s">
        <v>65</v>
      </c>
      <c r="E6" t="s">
        <v>66</v>
      </c>
    </row>
    <row r="7" spans="1:20" x14ac:dyDescent="0.3">
      <c r="A7" s="36" t="s">
        <v>72</v>
      </c>
      <c r="B7" t="s">
        <v>67</v>
      </c>
      <c r="C7" s="7">
        <v>59</v>
      </c>
      <c r="D7" s="7">
        <v>378</v>
      </c>
      <c r="E7">
        <f>SUM(C7:D7)</f>
        <v>437</v>
      </c>
    </row>
    <row r="8" spans="1:20" x14ac:dyDescent="0.3">
      <c r="B8" t="s">
        <v>68</v>
      </c>
      <c r="C8" s="7">
        <v>19</v>
      </c>
      <c r="D8" s="7">
        <v>361</v>
      </c>
      <c r="E8">
        <f t="shared" ref="E8:E9" si="4">SUM(C8:D8)</f>
        <v>380</v>
      </c>
    </row>
    <row r="9" spans="1:20" x14ac:dyDescent="0.3">
      <c r="B9" t="s">
        <v>66</v>
      </c>
      <c r="C9">
        <f>SUM(C7:C8)</f>
        <v>78</v>
      </c>
      <c r="D9">
        <f>SUM(D7:D8)</f>
        <v>739</v>
      </c>
      <c r="E9">
        <f t="shared" si="4"/>
        <v>817</v>
      </c>
    </row>
    <row r="12" spans="1:20" ht="28.8" x14ac:dyDescent="0.3">
      <c r="H12" s="3" t="s">
        <v>73</v>
      </c>
      <c r="I12" s="13" t="s">
        <v>75</v>
      </c>
      <c r="J12" s="3" t="s">
        <v>74</v>
      </c>
      <c r="K12" s="57" t="s">
        <v>106</v>
      </c>
      <c r="L12" s="57"/>
      <c r="M12" s="6" t="s">
        <v>107</v>
      </c>
    </row>
    <row r="13" spans="1:20" x14ac:dyDescent="0.3">
      <c r="H13" s="3" t="s">
        <v>63</v>
      </c>
      <c r="I13" s="3">
        <v>590</v>
      </c>
      <c r="J13" s="3">
        <f>C15/D15</f>
        <v>2.52</v>
      </c>
      <c r="K13" s="3">
        <f>LOG(J13*$K$20^(-1.96*(M13)*(LOG(J13))))</f>
        <v>0.29327109262993406</v>
      </c>
      <c r="L13" s="39">
        <f>(J13)*$K$20^(1.96*(M13)*(LOG(K13)))</f>
        <v>1.8108951560400863</v>
      </c>
      <c r="M13" s="53">
        <f>SQRT((((E2-C2)/E2)/E2)+(((E3-C3)/C3)/E3))</f>
        <v>0.3164977904675661</v>
      </c>
    </row>
    <row r="14" spans="1:20" x14ac:dyDescent="0.3">
      <c r="H14" s="3" t="s">
        <v>69</v>
      </c>
      <c r="I14" s="3">
        <v>536</v>
      </c>
      <c r="J14" s="3">
        <f>(H2/J2)/(H3/J3)</f>
        <v>2.296875</v>
      </c>
      <c r="K14" s="39">
        <f t="shared" ref="K14:K17" si="5">J14*$K$20^(-1.96*(M14)*(LOG(J14)))</f>
        <v>2.1645395241239682</v>
      </c>
      <c r="L14" s="39">
        <f t="shared" ref="L14:L17" si="6">J14*$K$20^(1.96*(M14)*(LOG(K14)))</f>
        <v>2.4270015052150673</v>
      </c>
      <c r="M14" s="53">
        <f>SQRT(0.003586+0.003444)</f>
        <v>8.3845095265018335E-2</v>
      </c>
    </row>
    <row r="15" spans="1:20" x14ac:dyDescent="0.3">
      <c r="C15" s="40">
        <f>C2/E2</f>
        <v>0.08</v>
      </c>
      <c r="D15" s="40">
        <f>C3/E3</f>
        <v>3.1746031746031744E-2</v>
      </c>
      <c r="H15" s="3" t="s">
        <v>70</v>
      </c>
      <c r="I15" s="3">
        <v>644</v>
      </c>
      <c r="J15" s="3">
        <f>(M2/O2)/(M3/O3)</f>
        <v>1.3470639789658194</v>
      </c>
      <c r="K15" s="39">
        <f t="shared" si="5"/>
        <v>1.2561767248212132</v>
      </c>
      <c r="L15" s="39">
        <f t="shared" si="6"/>
        <v>1.4210603301451823</v>
      </c>
      <c r="M15" s="53">
        <f>SQRT(0.031415+0.044474)</f>
        <v>0.27547958182050442</v>
      </c>
    </row>
    <row r="16" spans="1:20" x14ac:dyDescent="0.3">
      <c r="C16" s="40"/>
      <c r="D16" s="40"/>
      <c r="H16" s="3" t="s">
        <v>71</v>
      </c>
      <c r="I16" s="3">
        <v>567</v>
      </c>
      <c r="J16" s="3">
        <f>(R2/T2)/(R3/T3)</f>
        <v>2.2808206958073147</v>
      </c>
      <c r="K16" s="39">
        <f t="shared" si="5"/>
        <v>1.902363151688389</v>
      </c>
      <c r="L16" s="39">
        <f t="shared" si="6"/>
        <v>2.6275408623590217</v>
      </c>
      <c r="M16" s="53">
        <f>SQRT(0.017887+0.048955)</f>
        <v>0.25853819833827263</v>
      </c>
    </row>
    <row r="17" spans="8:13" x14ac:dyDescent="0.3">
      <c r="H17" s="18" t="s">
        <v>72</v>
      </c>
      <c r="I17" s="6">
        <v>817</v>
      </c>
      <c r="J17" s="7">
        <f>(C7/E7)/(C8/E8)</f>
        <v>2.7002288329519453</v>
      </c>
      <c r="K17" s="39">
        <f t="shared" si="5"/>
        <v>2.1778739409070642</v>
      </c>
      <c r="L17" s="39">
        <f t="shared" si="6"/>
        <v>3.1956620428183369</v>
      </c>
      <c r="M17" s="53">
        <f>SQRT(0.014661+0.05)</f>
        <v>0.25428527287281111</v>
      </c>
    </row>
    <row r="20" spans="8:13" x14ac:dyDescent="0.3">
      <c r="K20" s="54">
        <v>2.718</v>
      </c>
    </row>
  </sheetData>
  <mergeCells count="1">
    <mergeCell ref="K12:L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76E9E-5891-420F-9C20-0B28CA33E09B}">
  <dimension ref="A1:T16"/>
  <sheetViews>
    <sheetView topLeftCell="G1" workbookViewId="0">
      <selection activeCell="K15" sqref="K15"/>
    </sheetView>
  </sheetViews>
  <sheetFormatPr defaultRowHeight="14.4" x14ac:dyDescent="0.3"/>
  <cols>
    <col min="1" max="1" width="13.33203125" style="33" customWidth="1"/>
    <col min="2" max="2" width="11.88671875" style="33" customWidth="1"/>
    <col min="3" max="3" width="17.88671875" style="33" customWidth="1"/>
    <col min="4" max="5" width="10.5546875" style="33" bestFit="1" customWidth="1"/>
    <col min="6" max="6" width="8.88671875" style="33"/>
    <col min="7" max="8" width="12" style="33" bestFit="1" customWidth="1"/>
    <col min="9" max="11" width="8.88671875" style="33"/>
    <col min="18" max="18" width="11" customWidth="1"/>
  </cols>
  <sheetData>
    <row r="1" spans="1:20" ht="72" x14ac:dyDescent="0.3">
      <c r="A1" s="24" t="s">
        <v>87</v>
      </c>
      <c r="B1" s="24" t="s">
        <v>88</v>
      </c>
      <c r="C1" s="24" t="s">
        <v>82</v>
      </c>
      <c r="D1" s="24" t="s">
        <v>86</v>
      </c>
      <c r="E1" s="24" t="s">
        <v>89</v>
      </c>
      <c r="F1" s="24"/>
      <c r="M1" t="s">
        <v>83</v>
      </c>
    </row>
    <row r="2" spans="1:20" x14ac:dyDescent="0.3">
      <c r="A2" s="41">
        <v>10834</v>
      </c>
      <c r="B2" s="41">
        <v>10834</v>
      </c>
      <c r="C2" s="41"/>
      <c r="D2" s="41">
        <v>49</v>
      </c>
      <c r="E2" s="41">
        <v>44</v>
      </c>
      <c r="M2" t="s">
        <v>84</v>
      </c>
      <c r="S2" s="42">
        <v>279901</v>
      </c>
      <c r="T2" s="42"/>
    </row>
    <row r="3" spans="1:20" x14ac:dyDescent="0.3">
      <c r="M3" t="s">
        <v>85</v>
      </c>
      <c r="S3" s="42">
        <v>280561</v>
      </c>
      <c r="T3" s="42"/>
    </row>
    <row r="4" spans="1:20" x14ac:dyDescent="0.3">
      <c r="B4" s="33" t="s">
        <v>109</v>
      </c>
      <c r="C4" s="34"/>
      <c r="D4" s="33" t="s">
        <v>95</v>
      </c>
      <c r="E4" s="33" t="s">
        <v>95</v>
      </c>
      <c r="H4" s="33" t="s">
        <v>108</v>
      </c>
      <c r="I4" s="33" t="s">
        <v>94</v>
      </c>
      <c r="J4" s="33" t="s">
        <v>7</v>
      </c>
      <c r="S4" s="42"/>
      <c r="T4" s="42">
        <f>SUM(S2:S3)</f>
        <v>560462</v>
      </c>
    </row>
    <row r="5" spans="1:20" x14ac:dyDescent="0.3">
      <c r="A5" s="33" t="s">
        <v>90</v>
      </c>
      <c r="B5" s="3" t="s">
        <v>91</v>
      </c>
      <c r="C5" s="44">
        <f>H5/J5</f>
        <v>4.5227985970094147E-3</v>
      </c>
      <c r="D5" s="45">
        <f>C5*1000</f>
        <v>4.5227985970094151</v>
      </c>
      <c r="E5" s="3">
        <v>5</v>
      </c>
      <c r="G5" s="33" t="s">
        <v>23</v>
      </c>
      <c r="H5" s="3">
        <v>49</v>
      </c>
      <c r="I5" s="43">
        <f>A2-D2</f>
        <v>10785</v>
      </c>
      <c r="J5" s="41">
        <f>SUM(H5:I5)</f>
        <v>10834</v>
      </c>
    </row>
    <row r="6" spans="1:20" x14ac:dyDescent="0.3">
      <c r="B6" s="3" t="s">
        <v>92</v>
      </c>
      <c r="C6" s="44">
        <f>H6/J6</f>
        <v>4.061288536090087E-3</v>
      </c>
      <c r="D6" s="45">
        <f>C6*1000</f>
        <v>4.0612885360900872</v>
      </c>
      <c r="E6" s="3">
        <v>4</v>
      </c>
      <c r="G6" s="33" t="s">
        <v>93</v>
      </c>
      <c r="H6" s="3">
        <v>44</v>
      </c>
      <c r="I6" s="43">
        <f>B2-E2</f>
        <v>10790</v>
      </c>
      <c r="J6" s="41">
        <f t="shared" ref="J6:J7" si="0">SUM(H6:I6)</f>
        <v>10834</v>
      </c>
    </row>
    <row r="7" spans="1:20" x14ac:dyDescent="0.3">
      <c r="B7" s="34" t="s">
        <v>109</v>
      </c>
      <c r="C7" s="34"/>
      <c r="D7" s="33" t="s">
        <v>97</v>
      </c>
      <c r="E7" s="33" t="s">
        <v>110</v>
      </c>
      <c r="G7" s="33" t="s">
        <v>7</v>
      </c>
      <c r="H7" s="33">
        <f>SUM(H5:H6)</f>
        <v>93</v>
      </c>
      <c r="I7" s="41">
        <f>SUM(I5:I6)</f>
        <v>21575</v>
      </c>
      <c r="J7" s="41">
        <f t="shared" si="0"/>
        <v>21668</v>
      </c>
    </row>
    <row r="8" spans="1:20" x14ac:dyDescent="0.3">
      <c r="A8" s="33" t="s">
        <v>96</v>
      </c>
      <c r="B8" s="3" t="s">
        <v>91</v>
      </c>
      <c r="C8" s="46">
        <f>H5/T4</f>
        <v>8.7427872005595378E-5</v>
      </c>
      <c r="D8" s="45">
        <f>C8*100000</f>
        <v>8.7427872005595386</v>
      </c>
      <c r="E8" s="3">
        <v>9</v>
      </c>
    </row>
    <row r="9" spans="1:20" x14ac:dyDescent="0.3">
      <c r="B9" s="3" t="s">
        <v>92</v>
      </c>
      <c r="C9" s="46">
        <f>H6/T4</f>
        <v>7.8506660576453004E-5</v>
      </c>
      <c r="D9" s="45">
        <f>C9*100000</f>
        <v>7.8506660576453005</v>
      </c>
      <c r="E9" s="3">
        <v>8</v>
      </c>
    </row>
    <row r="10" spans="1:20" x14ac:dyDescent="0.3">
      <c r="B10" s="34" t="s">
        <v>109</v>
      </c>
      <c r="C10" s="34"/>
      <c r="D10" s="33" t="s">
        <v>97</v>
      </c>
      <c r="E10" s="33" t="s">
        <v>111</v>
      </c>
      <c r="H10" s="33">
        <f>H5/279901</f>
        <v>1.7506189688497006E-4</v>
      </c>
    </row>
    <row r="11" spans="1:20" x14ac:dyDescent="0.3">
      <c r="A11" s="33" t="s">
        <v>76</v>
      </c>
      <c r="B11" s="3" t="s">
        <v>91</v>
      </c>
      <c r="C11" s="3">
        <f>H5/S2</f>
        <v>1.7506189688497006E-4</v>
      </c>
      <c r="D11" s="3">
        <f>C11*100000</f>
        <v>17.506189688497006</v>
      </c>
      <c r="E11" s="3">
        <v>18</v>
      </c>
      <c r="H11" s="33">
        <f>44/280561</f>
        <v>1.5682863976105018E-4</v>
      </c>
    </row>
    <row r="13" spans="1:20" x14ac:dyDescent="0.3">
      <c r="A13" s="33" t="s">
        <v>79</v>
      </c>
      <c r="H13" s="33">
        <f>17.51-15.68</f>
        <v>1.8300000000000018</v>
      </c>
    </row>
    <row r="15" spans="1:20" x14ac:dyDescent="0.3">
      <c r="H15" s="33">
        <f>(1.104-1)/1.104</f>
        <v>9.4202898550724709E-2</v>
      </c>
      <c r="I15" s="33">
        <f>1.104-1</f>
        <v>0.10400000000000009</v>
      </c>
      <c r="J15" s="33">
        <f>I15/1.104</f>
        <v>9.4202898550724709E-2</v>
      </c>
      <c r="K15" s="33">
        <f>J15*100</f>
        <v>9.4202898550724701</v>
      </c>
    </row>
    <row r="16" spans="1:20" x14ac:dyDescent="0.3">
      <c r="H16" s="33">
        <f>(1.1163-1/1.1163)</f>
        <v>0.22048346322673129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54390-2EB8-4B0B-95CD-6306BF07ACF0}">
  <dimension ref="A1:D13"/>
  <sheetViews>
    <sheetView workbookViewId="0">
      <selection activeCell="C12" sqref="C12"/>
    </sheetView>
  </sheetViews>
  <sheetFormatPr defaultRowHeight="14.4" x14ac:dyDescent="0.3"/>
  <cols>
    <col min="1" max="4" width="19.6640625" style="24" customWidth="1"/>
  </cols>
  <sheetData>
    <row r="1" spans="1:4" ht="28.8" x14ac:dyDescent="0.3">
      <c r="A1" s="24" t="s">
        <v>98</v>
      </c>
      <c r="B1" s="24" t="s">
        <v>99</v>
      </c>
      <c r="C1" s="24" t="s">
        <v>100</v>
      </c>
      <c r="D1" s="24" t="s">
        <v>101</v>
      </c>
    </row>
    <row r="2" spans="1:4" x14ac:dyDescent="0.3">
      <c r="A2" s="13">
        <v>1</v>
      </c>
      <c r="B2" s="13">
        <v>1000</v>
      </c>
      <c r="C2" s="13">
        <v>217</v>
      </c>
      <c r="D2" s="13">
        <v>55</v>
      </c>
    </row>
    <row r="3" spans="1:4" x14ac:dyDescent="0.3">
      <c r="A3" s="13">
        <v>2</v>
      </c>
      <c r="B3" s="13">
        <v>731</v>
      </c>
      <c r="C3" s="13">
        <v>117</v>
      </c>
      <c r="D3" s="13">
        <v>63</v>
      </c>
    </row>
    <row r="4" spans="1:4" x14ac:dyDescent="0.3">
      <c r="A4" s="13">
        <v>3</v>
      </c>
      <c r="B4" s="13">
        <v>551</v>
      </c>
      <c r="C4" s="13">
        <v>57</v>
      </c>
      <c r="D4" s="13">
        <v>47</v>
      </c>
    </row>
    <row r="5" spans="1:4" x14ac:dyDescent="0.3">
      <c r="A5" s="13">
        <v>4</v>
      </c>
      <c r="B5" s="13">
        <v>447</v>
      </c>
      <c r="C5" s="13">
        <v>30</v>
      </c>
      <c r="D5" s="13">
        <v>45</v>
      </c>
    </row>
    <row r="6" spans="1:4" x14ac:dyDescent="0.3">
      <c r="A6" s="13">
        <v>5</v>
      </c>
      <c r="B6" s="13">
        <v>372</v>
      </c>
      <c r="C6" s="13">
        <v>16</v>
      </c>
      <c r="D6" s="13">
        <v>38</v>
      </c>
    </row>
    <row r="7" spans="1:4" x14ac:dyDescent="0.3">
      <c r="C7" s="24">
        <f t="shared" ref="C7:D7" si="0">SUM(C2:C6)</f>
        <v>437</v>
      </c>
      <c r="D7" s="24">
        <f t="shared" si="0"/>
        <v>248</v>
      </c>
    </row>
    <row r="10" spans="1:4" x14ac:dyDescent="0.3">
      <c r="B10" s="24" t="s">
        <v>102</v>
      </c>
      <c r="C10" s="24" t="s">
        <v>103</v>
      </c>
    </row>
    <row r="11" spans="1:4" x14ac:dyDescent="0.3">
      <c r="A11" s="24" t="s">
        <v>104</v>
      </c>
      <c r="B11" s="47">
        <f>(C7/(B2-(0.5*D7)))</f>
        <v>0.49885844748858449</v>
      </c>
      <c r="C11" s="47">
        <f>1-B11</f>
        <v>0.50114155251141557</v>
      </c>
    </row>
    <row r="13" spans="1:4" x14ac:dyDescent="0.3">
      <c r="A13" s="2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Q1</vt:lpstr>
      <vt:lpstr>Q2</vt:lpstr>
      <vt:lpstr>Q3</vt:lpstr>
      <vt:lpstr>Q4</vt:lpstr>
      <vt:lpstr>Q5</vt:lpstr>
      <vt:lpstr>Q6</vt:lpstr>
      <vt:lpstr>Q7</vt:lpstr>
      <vt:lpstr>QB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Roy</dc:creator>
  <cp:lastModifiedBy>Victoria Roy</cp:lastModifiedBy>
  <dcterms:created xsi:type="dcterms:W3CDTF">2021-09-06T20:26:59Z</dcterms:created>
  <dcterms:modified xsi:type="dcterms:W3CDTF">2021-09-23T20:41:24Z</dcterms:modified>
</cp:coreProperties>
</file>