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https://bryantu-my.sharepoint.com/personal/vsilverman_bryant_edu/Documents/Documents/Semester 5/AM451/"/>
    </mc:Choice>
  </mc:AlternateContent>
  <xr:revisionPtr revIDLastSave="12" documentId="8_{0B6FC7D7-6389-435A-B535-29FB532F03D4}" xr6:coauthVersionLast="47" xr6:coauthVersionMax="47" xr10:uidLastSave="{1118E7E2-C601-4D03-BC96-82CFC534A712}"/>
  <bookViews>
    <workbookView xWindow="-110" yWindow="-110" windowWidth="19420" windowHeight="10300" firstSheet="5" activeTab="10" xr2:uid="{AF9CED39-D702-48BF-A0C7-5FB922243502}"/>
  </bookViews>
  <sheets>
    <sheet name="read_me" sheetId="1" r:id="rId1"/>
    <sheet name="summary" sheetId="6" r:id="rId2"/>
    <sheet name="data" sheetId="2" r:id="rId3"/>
    <sheet name="ss_calc" sheetId="3" r:id="rId4"/>
    <sheet name="collection_age" sheetId="13" r:id="rId5"/>
    <sheet name="bend_pts" sheetId="11" r:id="rId6"/>
    <sheet name="TWB" sheetId="12" r:id="rId7"/>
    <sheet name="COLA_reductions" sheetId="10" r:id="rId8"/>
    <sheet name="extrema" sheetId="14" r:id="rId9"/>
    <sheet name="multivariate" sheetId="16" r:id="rId10"/>
    <sheet name="conclusion" sheetId="5" r:id="rId11"/>
    <sheet name="appendix" sheetId="4" r:id="rId12"/>
    <sheet name="glossary" sheetId="15" r:id="rId13"/>
    <sheet name="notes" sheetId="7" state="hidden" r:id="rId14"/>
    <sheet name="PPA_try" sheetId="8" state="hidden" r:id="rId15"/>
    <sheet name="collection_age_OLD" sheetId="9" state="hidden" r:id="rId16"/>
  </sheets>
  <definedNames>
    <definedName name="_xlnm._FilterDatabase" localSheetId="7" hidden="1">COLA_reductions!$B$36:$H$150</definedName>
    <definedName name="_xlnm._FilterDatabase" localSheetId="2" hidden="1">data!$B$8:$E$50</definedName>
    <definedName name="BP_table">appendix!$C$4:$E$56</definedName>
    <definedName name="COLA_table">appendix!$G$4:$H$51</definedName>
    <definedName name="NAWI_table">appendix!$J$4:$K$79</definedName>
    <definedName name="TWB_table">appendix!$P$4:$Q$64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5" l="1"/>
  <c r="D12" i="5"/>
  <c r="D13" i="5"/>
  <c r="D16" i="5"/>
  <c r="D6" i="5"/>
  <c r="D8" i="5"/>
  <c r="D17" i="5"/>
  <c r="D18" i="5"/>
  <c r="D7" i="5"/>
  <c r="AI10" i="14"/>
  <c r="AX10" i="14" s="1"/>
  <c r="N23" i="3"/>
  <c r="N6" i="3"/>
  <c r="AS7" i="14" s="1"/>
  <c r="AT7" i="14" s="1"/>
  <c r="C48" i="13"/>
  <c r="C49" i="13"/>
  <c r="C50" i="13"/>
  <c r="C51" i="13"/>
  <c r="C52" i="13"/>
  <c r="C53" i="13"/>
  <c r="C54" i="13"/>
  <c r="C55" i="13"/>
  <c r="C56" i="13"/>
  <c r="C57" i="13"/>
  <c r="C47" i="13"/>
  <c r="C32" i="13"/>
  <c r="C33" i="13"/>
  <c r="C34" i="13"/>
  <c r="C35" i="13"/>
  <c r="C36" i="13"/>
  <c r="C37" i="13"/>
  <c r="C38" i="13"/>
  <c r="C39" i="13"/>
  <c r="C40" i="13"/>
  <c r="C41" i="13"/>
  <c r="C31" i="13"/>
  <c r="C15" i="13"/>
  <c r="C16" i="13"/>
  <c r="C17" i="13"/>
  <c r="C18" i="13"/>
  <c r="C19" i="13"/>
  <c r="C20" i="13"/>
  <c r="C21" i="13"/>
  <c r="C22" i="13"/>
  <c r="C23" i="13"/>
  <c r="C24" i="13"/>
  <c r="C14" i="13"/>
  <c r="C47" i="11"/>
  <c r="C48" i="11"/>
  <c r="C49" i="11"/>
  <c r="C50" i="11"/>
  <c r="C51" i="11"/>
  <c r="C46" i="11"/>
  <c r="BB5" i="14"/>
  <c r="BA10" i="14"/>
  <c r="D30" i="6"/>
  <c r="D29" i="6"/>
  <c r="D28" i="6"/>
  <c r="AN5" i="14"/>
  <c r="AL12" i="14"/>
  <c r="BA12" i="14" s="1"/>
  <c r="AL13" i="14"/>
  <c r="BA13" i="14" s="1"/>
  <c r="AL14" i="14"/>
  <c r="BA14" i="14" s="1"/>
  <c r="AL15" i="14"/>
  <c r="BA15" i="14" s="1"/>
  <c r="AL16" i="14"/>
  <c r="BA16" i="14" s="1"/>
  <c r="AL17" i="14"/>
  <c r="BA17" i="14" s="1"/>
  <c r="AL18" i="14"/>
  <c r="BA18" i="14" s="1"/>
  <c r="AL19" i="14"/>
  <c r="BA19" i="14" s="1"/>
  <c r="AL20" i="14"/>
  <c r="BA20" i="14" s="1"/>
  <c r="AL21" i="14"/>
  <c r="BA21" i="14" s="1"/>
  <c r="AL22" i="14"/>
  <c r="BA22" i="14" s="1"/>
  <c r="AL23" i="14"/>
  <c r="BA23" i="14" s="1"/>
  <c r="AL24" i="14"/>
  <c r="BA24" i="14" s="1"/>
  <c r="AL25" i="14"/>
  <c r="BA25" i="14" s="1"/>
  <c r="AL26" i="14"/>
  <c r="BA26" i="14" s="1"/>
  <c r="AL27" i="14"/>
  <c r="BA27" i="14" s="1"/>
  <c r="AL28" i="14"/>
  <c r="BA28" i="14" s="1"/>
  <c r="AL29" i="14"/>
  <c r="BA29" i="14" s="1"/>
  <c r="AL30" i="14"/>
  <c r="BA30" i="14" s="1"/>
  <c r="AL31" i="14"/>
  <c r="BA31" i="14" s="1"/>
  <c r="AL32" i="14"/>
  <c r="BA32" i="14" s="1"/>
  <c r="AL33" i="14"/>
  <c r="BA33" i="14" s="1"/>
  <c r="AL34" i="14"/>
  <c r="BA34" i="14" s="1"/>
  <c r="AL35" i="14"/>
  <c r="BA35" i="14" s="1"/>
  <c r="AL36" i="14"/>
  <c r="BA36" i="14" s="1"/>
  <c r="AL37" i="14"/>
  <c r="BA37" i="14" s="1"/>
  <c r="AL38" i="14"/>
  <c r="BA38" i="14" s="1"/>
  <c r="AL39" i="14"/>
  <c r="BA39" i="14" s="1"/>
  <c r="AL40" i="14"/>
  <c r="BA40" i="14" s="1"/>
  <c r="AL41" i="14"/>
  <c r="BA41" i="14" s="1"/>
  <c r="AL42" i="14"/>
  <c r="BA42" i="14" s="1"/>
  <c r="AL43" i="14"/>
  <c r="AL44" i="14"/>
  <c r="AL45" i="14"/>
  <c r="AL11" i="14"/>
  <c r="BA11" i="14" s="1"/>
  <c r="AN10" i="14"/>
  <c r="BC10" i="14" s="1"/>
  <c r="AO10" i="14"/>
  <c r="BD10" i="14" s="1"/>
  <c r="AM10" i="14"/>
  <c r="BB10" i="14" s="1"/>
  <c r="AK10" i="14"/>
  <c r="AZ10" i="14" s="1"/>
  <c r="AJ10" i="14"/>
  <c r="AY10" i="14" s="1"/>
  <c r="AH10" i="14"/>
  <c r="AW10" i="14" s="1"/>
  <c r="U15" i="16"/>
  <c r="M15" i="16"/>
  <c r="M16" i="16" s="1"/>
  <c r="N22" i="3"/>
  <c r="D28" i="11"/>
  <c r="D27" i="11"/>
  <c r="C28" i="11"/>
  <c r="C27" i="11"/>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 i="3"/>
  <c r="K74" i="4"/>
  <c r="K75" i="4" s="1"/>
  <c r="K76" i="4" s="1"/>
  <c r="J74" i="4"/>
  <c r="J75" i="4" s="1"/>
  <c r="J76" i="4" s="1"/>
  <c r="J77" i="4" s="1"/>
  <c r="J78" i="4" s="1"/>
  <c r="J79" i="4" s="1"/>
  <c r="D5" i="10"/>
  <c r="Q59" i="4"/>
  <c r="Q60" i="4" s="1"/>
  <c r="Q61" i="4" s="1"/>
  <c r="Q62" i="4" s="1"/>
  <c r="Q63" i="4" s="1"/>
  <c r="Q64" i="4" s="1"/>
  <c r="P59" i="4"/>
  <c r="P60" i="4" s="1"/>
  <c r="P61" i="4" s="1"/>
  <c r="P62" i="4" s="1"/>
  <c r="P63" i="4" s="1"/>
  <c r="P64" i="4" s="1"/>
  <c r="D27" i="6"/>
  <c r="D26" i="6"/>
  <c r="D25" i="6"/>
  <c r="D24" i="6"/>
  <c r="D23" i="6"/>
  <c r="D22" i="6"/>
  <c r="D20" i="6"/>
  <c r="D19" i="6"/>
  <c r="D18" i="6"/>
  <c r="D17" i="6"/>
  <c r="D16" i="6"/>
  <c r="D11" i="6"/>
  <c r="D12" i="6"/>
  <c r="D13" i="6"/>
  <c r="D14" i="6"/>
  <c r="D15" i="6"/>
  <c r="M74" i="13"/>
  <c r="M64" i="13"/>
  <c r="M73" i="13" s="1"/>
  <c r="M63" i="13"/>
  <c r="M72" i="13" s="1"/>
  <c r="M54" i="13"/>
  <c r="M62" i="13" s="1"/>
  <c r="M71" i="13" s="1"/>
  <c r="M55" i="13"/>
  <c r="M47" i="13"/>
  <c r="M37" i="13"/>
  <c r="M43" i="13" s="1"/>
  <c r="M50" i="13" s="1"/>
  <c r="M58" i="13" s="1"/>
  <c r="M67" i="13" s="1"/>
  <c r="M36" i="13"/>
  <c r="M42" i="13" s="1"/>
  <c r="M49" i="13" s="1"/>
  <c r="M57" i="13" s="1"/>
  <c r="M66" i="13" s="1"/>
  <c r="M32" i="13"/>
  <c r="M33" i="13" s="1"/>
  <c r="AD5" i="14" a="1"/>
  <c r="AD5" i="14" s="1"/>
  <c r="U4" i="14"/>
  <c r="B12" i="14"/>
  <c r="B13" i="14" s="1"/>
  <c r="B14" i="14" s="1"/>
  <c r="B15" i="14" s="1"/>
  <c r="B16" i="14" s="1"/>
  <c r="B17" i="14" s="1"/>
  <c r="B18" i="14" s="1"/>
  <c r="B19" i="14" s="1"/>
  <c r="B20" i="14" s="1"/>
  <c r="B21" i="14" s="1"/>
  <c r="B22" i="14" s="1"/>
  <c r="B23" i="14" s="1"/>
  <c r="B24" i="14" s="1"/>
  <c r="B25" i="14" s="1"/>
  <c r="B26" i="14" s="1"/>
  <c r="B27" i="14" s="1"/>
  <c r="B28" i="14" s="1"/>
  <c r="B29" i="14" s="1"/>
  <c r="B30" i="14" s="1"/>
  <c r="B31" i="14" s="1"/>
  <c r="B32" i="14" s="1"/>
  <c r="B33" i="14" s="1"/>
  <c r="B34" i="14" s="1"/>
  <c r="B35" i="14" s="1"/>
  <c r="B36" i="14" s="1"/>
  <c r="B37" i="14" s="1"/>
  <c r="B38" i="14" s="1"/>
  <c r="B39" i="14" s="1"/>
  <c r="B40" i="14" s="1"/>
  <c r="B41" i="14" s="1"/>
  <c r="B42" i="14" s="1"/>
  <c r="B43" i="14" s="1"/>
  <c r="B44" i="14" s="1"/>
  <c r="B45" i="14" s="1"/>
  <c r="B46" i="14" s="1"/>
  <c r="B47" i="14" s="1"/>
  <c r="B48" i="14" s="1"/>
  <c r="B49" i="14" s="1"/>
  <c r="B50" i="14" s="1"/>
  <c r="B51" i="14" s="1"/>
  <c r="B52" i="14" s="1"/>
  <c r="N4" i="14"/>
  <c r="K11" i="14"/>
  <c r="R11" i="14" s="1"/>
  <c r="AA11" i="14" s="1"/>
  <c r="AH11" i="14" s="1"/>
  <c r="AW11" i="14" s="1"/>
  <c r="G2" i="14"/>
  <c r="G5" i="14"/>
  <c r="D12" i="14"/>
  <c r="L12" i="14" s="1"/>
  <c r="D13" i="14"/>
  <c r="L13" i="14" s="1"/>
  <c r="D14" i="14"/>
  <c r="L14" i="14" s="1"/>
  <c r="D15" i="14"/>
  <c r="L15" i="14" s="1"/>
  <c r="S15" i="14" s="1"/>
  <c r="D16" i="14"/>
  <c r="L16" i="14" s="1"/>
  <c r="D17" i="14"/>
  <c r="L17" i="14" s="1"/>
  <c r="S17" i="14" s="1"/>
  <c r="D18" i="14"/>
  <c r="L18" i="14" s="1"/>
  <c r="D19" i="14"/>
  <c r="L19" i="14" s="1"/>
  <c r="D20" i="14"/>
  <c r="L20" i="14" s="1"/>
  <c r="D21" i="14"/>
  <c r="L21" i="14" s="1"/>
  <c r="D22" i="14"/>
  <c r="L22" i="14" s="1"/>
  <c r="S22" i="14" s="1"/>
  <c r="D23" i="14"/>
  <c r="L23" i="14" s="1"/>
  <c r="S23" i="14" s="1"/>
  <c r="D24" i="14"/>
  <c r="L24" i="14" s="1"/>
  <c r="D25" i="14"/>
  <c r="L25" i="14" s="1"/>
  <c r="S25" i="14" s="1"/>
  <c r="D26" i="14"/>
  <c r="L26" i="14" s="1"/>
  <c r="D27" i="14"/>
  <c r="L27" i="14" s="1"/>
  <c r="D28" i="14"/>
  <c r="L28" i="14" s="1"/>
  <c r="D29" i="14"/>
  <c r="L29" i="14" s="1"/>
  <c r="S29" i="14" s="1"/>
  <c r="D30" i="14"/>
  <c r="L30" i="14" s="1"/>
  <c r="S30" i="14" s="1"/>
  <c r="D31" i="14"/>
  <c r="L31" i="14" s="1"/>
  <c r="D32" i="14"/>
  <c r="L32" i="14" s="1"/>
  <c r="D33" i="14"/>
  <c r="L33" i="14" s="1"/>
  <c r="S33" i="14" s="1"/>
  <c r="D34" i="14"/>
  <c r="L34" i="14" s="1"/>
  <c r="D35" i="14"/>
  <c r="L35" i="14" s="1"/>
  <c r="D36" i="14"/>
  <c r="L36" i="14" s="1"/>
  <c r="D37" i="14"/>
  <c r="L37" i="14" s="1"/>
  <c r="D38" i="14"/>
  <c r="L38" i="14" s="1"/>
  <c r="S38" i="14" s="1"/>
  <c r="D39" i="14"/>
  <c r="L39" i="14" s="1"/>
  <c r="S39" i="14" s="1"/>
  <c r="D40" i="14"/>
  <c r="L40" i="14" s="1"/>
  <c r="D41" i="14"/>
  <c r="L41" i="14" s="1"/>
  <c r="S41" i="14" s="1"/>
  <c r="D42" i="14"/>
  <c r="L42" i="14" s="1"/>
  <c r="D43" i="14"/>
  <c r="L43" i="14" s="1"/>
  <c r="D44" i="14"/>
  <c r="L44" i="14" s="1"/>
  <c r="D45" i="14"/>
  <c r="L45" i="14" s="1"/>
  <c r="D46" i="14"/>
  <c r="L46" i="14" s="1"/>
  <c r="S46" i="14" s="1"/>
  <c r="D47" i="14"/>
  <c r="L47" i="14" s="1"/>
  <c r="S47" i="14" s="1"/>
  <c r="D48" i="14"/>
  <c r="L48" i="14" s="1"/>
  <c r="D49" i="14"/>
  <c r="L49" i="14" s="1"/>
  <c r="S49" i="14" s="1"/>
  <c r="D50" i="14"/>
  <c r="L50" i="14" s="1"/>
  <c r="D51" i="14"/>
  <c r="L51" i="14" s="1"/>
  <c r="D52" i="14"/>
  <c r="L52" i="14" s="1"/>
  <c r="C12" i="14"/>
  <c r="C13" i="14" s="1"/>
  <c r="C14" i="14" s="1"/>
  <c r="C15" i="14" s="1"/>
  <c r="C16" i="14" s="1"/>
  <c r="C17" i="14" s="1"/>
  <c r="C18" i="14" s="1"/>
  <c r="C19" i="14" s="1"/>
  <c r="C20" i="14" s="1"/>
  <c r="C21" i="14" s="1"/>
  <c r="C22" i="14" s="1"/>
  <c r="C23" i="14" s="1"/>
  <c r="C24" i="14" s="1"/>
  <c r="C25" i="14" s="1"/>
  <c r="C26" i="14" s="1"/>
  <c r="C27" i="14" s="1"/>
  <c r="C28" i="14" s="1"/>
  <c r="C29" i="14" s="1"/>
  <c r="C30" i="14" s="1"/>
  <c r="C31" i="14" s="1"/>
  <c r="C32" i="14" s="1"/>
  <c r="C33" i="14" s="1"/>
  <c r="C34" i="14" s="1"/>
  <c r="C35" i="14" s="1"/>
  <c r="C36" i="14" s="1"/>
  <c r="C37" i="14" s="1"/>
  <c r="C38" i="14" s="1"/>
  <c r="C39" i="14" s="1"/>
  <c r="C40" i="14" s="1"/>
  <c r="C41" i="14" s="1"/>
  <c r="C42" i="14" s="1"/>
  <c r="C43" i="14" s="1"/>
  <c r="C44" i="14" s="1"/>
  <c r="C45" i="14" s="1"/>
  <c r="C46" i="14" s="1"/>
  <c r="C47" i="14" s="1"/>
  <c r="C48" i="14" s="1"/>
  <c r="C49" i="14" s="1"/>
  <c r="C50" i="14" s="1"/>
  <c r="C51" i="14" s="1"/>
  <c r="C52" i="14" s="1"/>
  <c r="K52" i="14" s="1"/>
  <c r="R52" i="14" s="1"/>
  <c r="AA52" i="14" s="1"/>
  <c r="D11" i="14"/>
  <c r="L11" i="14" s="1"/>
  <c r="AQ4" i="12"/>
  <c r="AQ8" i="12"/>
  <c r="AI9" i="12"/>
  <c r="AI10" i="12" s="1"/>
  <c r="AI11" i="12" s="1"/>
  <c r="AI12" i="12" s="1"/>
  <c r="AI13" i="12" s="1"/>
  <c r="AI14" i="12" s="1"/>
  <c r="AI15" i="12" s="1"/>
  <c r="AI16" i="12" s="1"/>
  <c r="AI17" i="12" s="1"/>
  <c r="AI18" i="12" s="1"/>
  <c r="AI19" i="12" s="1"/>
  <c r="AI20" i="12" s="1"/>
  <c r="AI21" i="12" s="1"/>
  <c r="AI22" i="12" s="1"/>
  <c r="AI23" i="12" s="1"/>
  <c r="AI24" i="12" s="1"/>
  <c r="AI25" i="12" s="1"/>
  <c r="AI26" i="12" s="1"/>
  <c r="AI27" i="12" s="1"/>
  <c r="AI28" i="12" s="1"/>
  <c r="AI29" i="12" s="1"/>
  <c r="AI30" i="12" s="1"/>
  <c r="AI31" i="12" s="1"/>
  <c r="AI32" i="12" s="1"/>
  <c r="AI33" i="12" s="1"/>
  <c r="AI34" i="12" s="1"/>
  <c r="AI35" i="12" s="1"/>
  <c r="AI36" i="12" s="1"/>
  <c r="AI37" i="12" s="1"/>
  <c r="AI38" i="12" s="1"/>
  <c r="AI39" i="12" s="1"/>
  <c r="AI40" i="12" s="1"/>
  <c r="AI41" i="12" s="1"/>
  <c r="AI42" i="12" s="1"/>
  <c r="AI43" i="12" s="1"/>
  <c r="AI44" i="12" s="1"/>
  <c r="AI45" i="12" s="1"/>
  <c r="AI46" i="12" s="1"/>
  <c r="AI47" i="12" s="1"/>
  <c r="AI48" i="12" s="1"/>
  <c r="AI49" i="12" s="1"/>
  <c r="AL49" i="12" s="1"/>
  <c r="AA6" i="12"/>
  <c r="E7" i="12"/>
  <c r="D7" i="12"/>
  <c r="C7" i="12"/>
  <c r="D22" i="10"/>
  <c r="D23" i="10" s="1"/>
  <c r="D24" i="10" s="1"/>
  <c r="D25" i="10" s="1"/>
  <c r="C22" i="10"/>
  <c r="C23" i="10" s="1"/>
  <c r="C24" i="10" s="1"/>
  <c r="C25" i="10" s="1"/>
  <c r="C13" i="10"/>
  <c r="G38" i="10"/>
  <c r="G39" i="10" s="1"/>
  <c r="G40" i="10" s="1"/>
  <c r="G41" i="10" s="1"/>
  <c r="G42" i="10" s="1"/>
  <c r="C37" i="10"/>
  <c r="C38" i="10" s="1"/>
  <c r="C39" i="10" s="1"/>
  <c r="C40" i="10" s="1"/>
  <c r="C41" i="10" s="1"/>
  <c r="C42" i="10" s="1"/>
  <c r="C43" i="10" s="1"/>
  <c r="C44" i="10" s="1"/>
  <c r="C45" i="10" s="1"/>
  <c r="C46" i="10" s="1"/>
  <c r="C47" i="10" s="1"/>
  <c r="C48" i="10" s="1"/>
  <c r="C49" i="10" s="1"/>
  <c r="C50" i="10" s="1"/>
  <c r="C51" i="10" s="1"/>
  <c r="C52" i="10" s="1"/>
  <c r="C53" i="10" s="1"/>
  <c r="C54" i="10" s="1"/>
  <c r="C55" i="10" s="1"/>
  <c r="C74" i="10" s="1"/>
  <c r="C93" i="10" s="1"/>
  <c r="C112" i="10" s="1"/>
  <c r="C131" i="10" s="1"/>
  <c r="C150" i="10" s="1"/>
  <c r="D32" i="9"/>
  <c r="D33" i="9" s="1"/>
  <c r="D34" i="9" s="1"/>
  <c r="D35" i="9" s="1"/>
  <c r="D31" i="9"/>
  <c r="D30" i="9"/>
  <c r="D33" i="10"/>
  <c r="E33" i="10" s="1"/>
  <c r="F33" i="10" s="1"/>
  <c r="G33" i="10" s="1"/>
  <c r="H33" i="10" s="1"/>
  <c r="D6" i="10"/>
  <c r="B48" i="13"/>
  <c r="B49" i="13" s="1"/>
  <c r="G32" i="13"/>
  <c r="B32" i="13"/>
  <c r="B33" i="13" s="1"/>
  <c r="B34" i="13" s="1"/>
  <c r="B35" i="13" s="1"/>
  <c r="B36" i="13" s="1"/>
  <c r="B37" i="13" s="1"/>
  <c r="B38" i="13" s="1"/>
  <c r="B39" i="13" s="1"/>
  <c r="B40" i="13" s="1"/>
  <c r="B41" i="13" s="1"/>
  <c r="B15" i="13"/>
  <c r="B16" i="13" s="1"/>
  <c r="B17" i="13" s="1"/>
  <c r="B18" i="13" s="1"/>
  <c r="B19" i="13" s="1"/>
  <c r="B20" i="13" s="1"/>
  <c r="B21" i="13" s="1"/>
  <c r="B22" i="13" s="1"/>
  <c r="B23" i="13" s="1"/>
  <c r="B24" i="13" s="1"/>
  <c r="H4" i="13"/>
  <c r="E45" i="2"/>
  <c r="E10" i="2"/>
  <c r="D12" i="10"/>
  <c r="E12" i="10" s="1"/>
  <c r="F12" i="10" s="1"/>
  <c r="G12" i="10" s="1"/>
  <c r="H12" i="10" s="1"/>
  <c r="I12" i="10" s="1"/>
  <c r="J12" i="10" s="1"/>
  <c r="K12" i="10" s="1"/>
  <c r="L12" i="10" s="1"/>
  <c r="L13" i="10" s="1"/>
  <c r="H7" i="12"/>
  <c r="B36" i="12"/>
  <c r="K36" i="12" s="1"/>
  <c r="L36" i="12" s="1"/>
  <c r="B37" i="12"/>
  <c r="K37" i="12" s="1"/>
  <c r="O37" i="12" s="1"/>
  <c r="B38" i="12"/>
  <c r="K38" i="12" s="1"/>
  <c r="I38" i="12" s="1"/>
  <c r="B39" i="12"/>
  <c r="K39" i="12" s="1"/>
  <c r="M39" i="12" s="1"/>
  <c r="B40" i="12"/>
  <c r="K40" i="12" s="1"/>
  <c r="P40" i="12" s="1"/>
  <c r="B41" i="12"/>
  <c r="K41" i="12" s="1"/>
  <c r="J41" i="12" s="1"/>
  <c r="B42" i="12"/>
  <c r="K42" i="12" s="1"/>
  <c r="N42" i="12" s="1"/>
  <c r="B43" i="12"/>
  <c r="K43" i="12" s="1"/>
  <c r="B44" i="12"/>
  <c r="B45" i="12" s="1"/>
  <c r="B46" i="12" s="1"/>
  <c r="B47" i="12" s="1"/>
  <c r="B48" i="12" s="1"/>
  <c r="B49" i="12" s="1"/>
  <c r="B8" i="12"/>
  <c r="K8" i="12" s="1"/>
  <c r="P8" i="12" s="1"/>
  <c r="B9" i="12"/>
  <c r="K9" i="12" s="1"/>
  <c r="J9" i="12" s="1"/>
  <c r="B10" i="12"/>
  <c r="K10" i="12" s="1"/>
  <c r="N10" i="12" s="1"/>
  <c r="B11" i="12"/>
  <c r="K11" i="12" s="1"/>
  <c r="B12" i="12"/>
  <c r="K12" i="12" s="1"/>
  <c r="L12" i="12" s="1"/>
  <c r="B13" i="12"/>
  <c r="K13" i="12" s="1"/>
  <c r="O13" i="12" s="1"/>
  <c r="B14" i="12"/>
  <c r="K14" i="12" s="1"/>
  <c r="I14" i="12" s="1"/>
  <c r="B15" i="12"/>
  <c r="K15" i="12" s="1"/>
  <c r="M15" i="12" s="1"/>
  <c r="B16" i="12"/>
  <c r="K16" i="12" s="1"/>
  <c r="P16" i="12" s="1"/>
  <c r="B17" i="12"/>
  <c r="K17" i="12" s="1"/>
  <c r="J17" i="12" s="1"/>
  <c r="B18" i="12"/>
  <c r="K18" i="12" s="1"/>
  <c r="N18" i="12" s="1"/>
  <c r="B19" i="12"/>
  <c r="K19" i="12" s="1"/>
  <c r="B20" i="12"/>
  <c r="K20" i="12" s="1"/>
  <c r="L20" i="12" s="1"/>
  <c r="B21" i="12"/>
  <c r="K21" i="12" s="1"/>
  <c r="O21" i="12" s="1"/>
  <c r="B22" i="12"/>
  <c r="K22" i="12" s="1"/>
  <c r="I22" i="12" s="1"/>
  <c r="B23" i="12"/>
  <c r="K23" i="12" s="1"/>
  <c r="M23" i="12" s="1"/>
  <c r="B24" i="12"/>
  <c r="K24" i="12" s="1"/>
  <c r="P24" i="12" s="1"/>
  <c r="B25" i="12"/>
  <c r="K25" i="12" s="1"/>
  <c r="J25" i="12" s="1"/>
  <c r="B26" i="12"/>
  <c r="K26" i="12" s="1"/>
  <c r="N26" i="12" s="1"/>
  <c r="B27" i="12"/>
  <c r="K27" i="12" s="1"/>
  <c r="B28" i="12"/>
  <c r="K28" i="12" s="1"/>
  <c r="L28" i="12" s="1"/>
  <c r="B29" i="12"/>
  <c r="K29" i="12" s="1"/>
  <c r="O29" i="12" s="1"/>
  <c r="B30" i="12"/>
  <c r="K30" i="12" s="1"/>
  <c r="I30" i="12" s="1"/>
  <c r="B31" i="12"/>
  <c r="K31" i="12" s="1"/>
  <c r="M31" i="12" s="1"/>
  <c r="B32" i="12"/>
  <c r="K32" i="12" s="1"/>
  <c r="P32" i="12" s="1"/>
  <c r="B33" i="12"/>
  <c r="K33" i="12" s="1"/>
  <c r="J33" i="12" s="1"/>
  <c r="B34" i="12"/>
  <c r="K34" i="12" s="1"/>
  <c r="N34" i="12" s="1"/>
  <c r="B35" i="12"/>
  <c r="K35" i="12" s="1"/>
  <c r="B59" i="11"/>
  <c r="B60" i="11" s="1"/>
  <c r="B61" i="11" s="1"/>
  <c r="B62" i="11" s="1"/>
  <c r="B63" i="11" s="1"/>
  <c r="B64" i="11" s="1"/>
  <c r="C64" i="11" s="1"/>
  <c r="B47" i="11"/>
  <c r="B48" i="11" s="1"/>
  <c r="B49" i="11" s="1"/>
  <c r="B50" i="11" s="1"/>
  <c r="B51" i="11" s="1"/>
  <c r="B28" i="11"/>
  <c r="B29" i="11" s="1"/>
  <c r="J4" i="9"/>
  <c r="J3" i="9"/>
  <c r="P9" i="9"/>
  <c r="O8" i="9"/>
  <c r="O10" i="9" s="1"/>
  <c r="O12" i="9" s="1"/>
  <c r="O14" i="9" s="1"/>
  <c r="O16" i="9" s="1"/>
  <c r="J9" i="9"/>
  <c r="I8" i="9"/>
  <c r="I10" i="9" s="1"/>
  <c r="I12" i="9" s="1"/>
  <c r="I14" i="9" s="1"/>
  <c r="I16" i="9" s="1"/>
  <c r="V9" i="9"/>
  <c r="V10" i="9" s="1"/>
  <c r="V11" i="9" s="1"/>
  <c r="V12" i="9" s="1"/>
  <c r="V13" i="9" s="1"/>
  <c r="V14" i="9" s="1"/>
  <c r="V15" i="9" s="1"/>
  <c r="V16" i="9" s="1"/>
  <c r="V17" i="9" s="1"/>
  <c r="V18" i="9" s="1"/>
  <c r="V19" i="9" s="1"/>
  <c r="V20" i="9" s="1"/>
  <c r="V21" i="9" s="1"/>
  <c r="V22" i="9" s="1"/>
  <c r="V23" i="9" s="1"/>
  <c r="V24" i="9" s="1"/>
  <c r="V25" i="9" s="1"/>
  <c r="V26" i="9" s="1"/>
  <c r="U8" i="9"/>
  <c r="U10" i="9" s="1"/>
  <c r="U12" i="9" s="1"/>
  <c r="U14" i="9" s="1"/>
  <c r="U16" i="9" s="1"/>
  <c r="C8" i="9"/>
  <c r="C10" i="9" s="1"/>
  <c r="C12" i="9" s="1"/>
  <c r="C14" i="9" s="1"/>
  <c r="C16" i="9" s="1"/>
  <c r="U18" i="9" s="1"/>
  <c r="U20" i="9" s="1"/>
  <c r="U22" i="9" s="1"/>
  <c r="U24" i="9" s="1"/>
  <c r="U26" i="9" s="1"/>
  <c r="AX33" i="14" l="1"/>
  <c r="AX13" i="14"/>
  <c r="AX30" i="14"/>
  <c r="AX29" i="14"/>
  <c r="AX25" i="14"/>
  <c r="AX22" i="14"/>
  <c r="AX41" i="14"/>
  <c r="AX21" i="14"/>
  <c r="AX38" i="14"/>
  <c r="AX17" i="14"/>
  <c r="AX37" i="14"/>
  <c r="AX14" i="14"/>
  <c r="AX36" i="14"/>
  <c r="AX28" i="14"/>
  <c r="AX20" i="14"/>
  <c r="AX12" i="14"/>
  <c r="AX11" i="14"/>
  <c r="AX35" i="14"/>
  <c r="AX27" i="14"/>
  <c r="AX19" i="14"/>
  <c r="AX42" i="14"/>
  <c r="AX18" i="14"/>
  <c r="AX40" i="14"/>
  <c r="AX32" i="14"/>
  <c r="AX24" i="14"/>
  <c r="AX16" i="14"/>
  <c r="AX34" i="14"/>
  <c r="AX26" i="14"/>
  <c r="AX39" i="14"/>
  <c r="AX31" i="14"/>
  <c r="AX23" i="14"/>
  <c r="AX15" i="14"/>
  <c r="Q6" i="3"/>
  <c r="M17" i="16"/>
  <c r="U16" i="16"/>
  <c r="F42" i="3"/>
  <c r="G41" i="3"/>
  <c r="F41" i="3"/>
  <c r="F43" i="3"/>
  <c r="K46" i="12"/>
  <c r="H46" i="12" s="1"/>
  <c r="K45" i="12"/>
  <c r="K49" i="12"/>
  <c r="O49" i="12" s="1"/>
  <c r="K77" i="4"/>
  <c r="G43" i="3"/>
  <c r="G42" i="3"/>
  <c r="K44" i="12"/>
  <c r="C44" i="12" s="1"/>
  <c r="S44" i="12" s="1"/>
  <c r="AJ44" i="12" s="1"/>
  <c r="F45" i="3"/>
  <c r="K48" i="12"/>
  <c r="M48" i="12" s="1"/>
  <c r="E48" i="12" s="1"/>
  <c r="U48" i="12" s="1"/>
  <c r="F44" i="3"/>
  <c r="K47" i="12"/>
  <c r="F47" i="12" s="1"/>
  <c r="C63" i="11"/>
  <c r="C62" i="11"/>
  <c r="C61" i="11"/>
  <c r="C60" i="11"/>
  <c r="C59" i="11"/>
  <c r="C58" i="11"/>
  <c r="M34" i="13"/>
  <c r="M38" i="13"/>
  <c r="M44" i="13" s="1"/>
  <c r="M51" i="13" s="1"/>
  <c r="M59" i="13" s="1"/>
  <c r="M68" i="13" s="1"/>
  <c r="AL48" i="12"/>
  <c r="AL47" i="12"/>
  <c r="S21" i="14"/>
  <c r="S45" i="14"/>
  <c r="K36" i="14"/>
  <c r="R36" i="14" s="1"/>
  <c r="AA36" i="14" s="1"/>
  <c r="AH36" i="14" s="1"/>
  <c r="AW36" i="14" s="1"/>
  <c r="K30" i="14"/>
  <c r="R30" i="14" s="1"/>
  <c r="AA30" i="14" s="1"/>
  <c r="AH30" i="14" s="1"/>
  <c r="AW30" i="14" s="1"/>
  <c r="K12" i="14"/>
  <c r="R12" i="14" s="1"/>
  <c r="AA12" i="14" s="1"/>
  <c r="AH12" i="14" s="1"/>
  <c r="AW12" i="14" s="1"/>
  <c r="S31" i="14"/>
  <c r="S48" i="14"/>
  <c r="S40" i="14"/>
  <c r="S32" i="14"/>
  <c r="S24" i="14"/>
  <c r="S16" i="14"/>
  <c r="K37" i="14"/>
  <c r="R37" i="14" s="1"/>
  <c r="AA37" i="14" s="1"/>
  <c r="AH37" i="14" s="1"/>
  <c r="AW37" i="14" s="1"/>
  <c r="S11" i="14"/>
  <c r="S37" i="14"/>
  <c r="S13" i="14"/>
  <c r="K29" i="14"/>
  <c r="R29" i="14" s="1"/>
  <c r="AA29" i="14" s="1"/>
  <c r="AH29" i="14" s="1"/>
  <c r="AW29" i="14" s="1"/>
  <c r="S52" i="14"/>
  <c r="S44" i="14"/>
  <c r="S36" i="14"/>
  <c r="S28" i="14"/>
  <c r="S20" i="14"/>
  <c r="S12" i="14"/>
  <c r="S14" i="14"/>
  <c r="K14" i="14"/>
  <c r="R14" i="14" s="1"/>
  <c r="AA14" i="14" s="1"/>
  <c r="AH14" i="14" s="1"/>
  <c r="AW14" i="14" s="1"/>
  <c r="S51" i="14"/>
  <c r="S43" i="14"/>
  <c r="S35" i="14"/>
  <c r="S27" i="14"/>
  <c r="S19" i="14"/>
  <c r="K13" i="14"/>
  <c r="R13" i="14" s="1"/>
  <c r="AA13" i="14" s="1"/>
  <c r="AH13" i="14" s="1"/>
  <c r="AW13" i="14" s="1"/>
  <c r="S50" i="14"/>
  <c r="S42" i="14"/>
  <c r="S34" i="14"/>
  <c r="S26" i="14"/>
  <c r="S18" i="14"/>
  <c r="K46" i="14"/>
  <c r="R46" i="14" s="1"/>
  <c r="AA46" i="14" s="1"/>
  <c r="K28" i="14"/>
  <c r="R28" i="14" s="1"/>
  <c r="AA28" i="14" s="1"/>
  <c r="AH28" i="14" s="1"/>
  <c r="AW28" i="14" s="1"/>
  <c r="K45" i="14"/>
  <c r="R45" i="14" s="1"/>
  <c r="AA45" i="14" s="1"/>
  <c r="AH45" i="14" s="1"/>
  <c r="K22" i="14"/>
  <c r="R22" i="14" s="1"/>
  <c r="AA22" i="14" s="1"/>
  <c r="AH22" i="14" s="1"/>
  <c r="AW22" i="14" s="1"/>
  <c r="K44" i="14"/>
  <c r="R44" i="14" s="1"/>
  <c r="AA44" i="14" s="1"/>
  <c r="AH44" i="14" s="1"/>
  <c r="K21" i="14"/>
  <c r="R21" i="14" s="1"/>
  <c r="AA21" i="14" s="1"/>
  <c r="AH21" i="14" s="1"/>
  <c r="AW21" i="14" s="1"/>
  <c r="K38" i="14"/>
  <c r="R38" i="14" s="1"/>
  <c r="AA38" i="14" s="1"/>
  <c r="AH38" i="14" s="1"/>
  <c r="AW38" i="14" s="1"/>
  <c r="K20" i="14"/>
  <c r="R20" i="14" s="1"/>
  <c r="AA20" i="14" s="1"/>
  <c r="AH20" i="14" s="1"/>
  <c r="AW20" i="14" s="1"/>
  <c r="K51" i="14"/>
  <c r="R51" i="14" s="1"/>
  <c r="AA51" i="14" s="1"/>
  <c r="K43" i="14"/>
  <c r="R43" i="14" s="1"/>
  <c r="AA43" i="14" s="1"/>
  <c r="AH43" i="14" s="1"/>
  <c r="K35" i="14"/>
  <c r="R35" i="14" s="1"/>
  <c r="AA35" i="14" s="1"/>
  <c r="AH35" i="14" s="1"/>
  <c r="AW35" i="14" s="1"/>
  <c r="K27" i="14"/>
  <c r="R27" i="14" s="1"/>
  <c r="AA27" i="14" s="1"/>
  <c r="AH27" i="14" s="1"/>
  <c r="AW27" i="14" s="1"/>
  <c r="K19" i="14"/>
  <c r="R19" i="14" s="1"/>
  <c r="AA19" i="14" s="1"/>
  <c r="AH19" i="14" s="1"/>
  <c r="AW19" i="14" s="1"/>
  <c r="K50" i="14"/>
  <c r="R50" i="14" s="1"/>
  <c r="AA50" i="14" s="1"/>
  <c r="K42" i="14"/>
  <c r="R42" i="14" s="1"/>
  <c r="AA42" i="14" s="1"/>
  <c r="AH42" i="14" s="1"/>
  <c r="AW42" i="14" s="1"/>
  <c r="K34" i="14"/>
  <c r="R34" i="14" s="1"/>
  <c r="AA34" i="14" s="1"/>
  <c r="AH34" i="14" s="1"/>
  <c r="AW34" i="14" s="1"/>
  <c r="K26" i="14"/>
  <c r="R26" i="14" s="1"/>
  <c r="AA26" i="14" s="1"/>
  <c r="AH26" i="14" s="1"/>
  <c r="AW26" i="14" s="1"/>
  <c r="K18" i="14"/>
  <c r="R18" i="14" s="1"/>
  <c r="AA18" i="14" s="1"/>
  <c r="AH18" i="14" s="1"/>
  <c r="AW18" i="14" s="1"/>
  <c r="K49" i="14"/>
  <c r="R49" i="14" s="1"/>
  <c r="AA49" i="14" s="1"/>
  <c r="K41" i="14"/>
  <c r="R41" i="14" s="1"/>
  <c r="AA41" i="14" s="1"/>
  <c r="AH41" i="14" s="1"/>
  <c r="AW41" i="14" s="1"/>
  <c r="K33" i="14"/>
  <c r="R33" i="14" s="1"/>
  <c r="AA33" i="14" s="1"/>
  <c r="AH33" i="14" s="1"/>
  <c r="AW33" i="14" s="1"/>
  <c r="K25" i="14"/>
  <c r="R25" i="14" s="1"/>
  <c r="AA25" i="14" s="1"/>
  <c r="AH25" i="14" s="1"/>
  <c r="AW25" i="14" s="1"/>
  <c r="K17" i="14"/>
  <c r="R17" i="14" s="1"/>
  <c r="AA17" i="14" s="1"/>
  <c r="AH17" i="14" s="1"/>
  <c r="AW17" i="14" s="1"/>
  <c r="K48" i="14"/>
  <c r="R48" i="14" s="1"/>
  <c r="AA48" i="14" s="1"/>
  <c r="K40" i="14"/>
  <c r="R40" i="14" s="1"/>
  <c r="AA40" i="14" s="1"/>
  <c r="AH40" i="14" s="1"/>
  <c r="AW40" i="14" s="1"/>
  <c r="K32" i="14"/>
  <c r="R32" i="14" s="1"/>
  <c r="AA32" i="14" s="1"/>
  <c r="AH32" i="14" s="1"/>
  <c r="AW32" i="14" s="1"/>
  <c r="K24" i="14"/>
  <c r="R24" i="14" s="1"/>
  <c r="AA24" i="14" s="1"/>
  <c r="AH24" i="14" s="1"/>
  <c r="AW24" i="14" s="1"/>
  <c r="K16" i="14"/>
  <c r="R16" i="14" s="1"/>
  <c r="AA16" i="14" s="1"/>
  <c r="AH16" i="14" s="1"/>
  <c r="AW16" i="14" s="1"/>
  <c r="K47" i="14"/>
  <c r="R47" i="14" s="1"/>
  <c r="AA47" i="14" s="1"/>
  <c r="K39" i="14"/>
  <c r="R39" i="14" s="1"/>
  <c r="AA39" i="14" s="1"/>
  <c r="AH39" i="14" s="1"/>
  <c r="AW39" i="14" s="1"/>
  <c r="K31" i="14"/>
  <c r="R31" i="14" s="1"/>
  <c r="AA31" i="14" s="1"/>
  <c r="AH31" i="14" s="1"/>
  <c r="AW31" i="14" s="1"/>
  <c r="K23" i="14"/>
  <c r="R23" i="14" s="1"/>
  <c r="AA23" i="14" s="1"/>
  <c r="AH23" i="14" s="1"/>
  <c r="AW23" i="14" s="1"/>
  <c r="K15" i="14"/>
  <c r="R15" i="14" s="1"/>
  <c r="AA15" i="14" s="1"/>
  <c r="AH15" i="14" s="1"/>
  <c r="AW15" i="14" s="1"/>
  <c r="C43" i="12"/>
  <c r="S43" i="12" s="1"/>
  <c r="AJ43" i="12" s="1"/>
  <c r="C35" i="12"/>
  <c r="S35" i="12" s="1"/>
  <c r="AJ35" i="12" s="1"/>
  <c r="C27" i="12"/>
  <c r="S27" i="12" s="1"/>
  <c r="AJ27" i="12" s="1"/>
  <c r="C19" i="12"/>
  <c r="S19" i="12" s="1"/>
  <c r="AJ19" i="12" s="1"/>
  <c r="C11" i="12"/>
  <c r="S11" i="12" s="1"/>
  <c r="AJ11" i="12" s="1"/>
  <c r="E39" i="12"/>
  <c r="U39" i="12" s="1"/>
  <c r="E31" i="12"/>
  <c r="U31" i="12" s="1"/>
  <c r="E23" i="12"/>
  <c r="U23" i="12" s="1"/>
  <c r="E15" i="12"/>
  <c r="U15" i="12" s="1"/>
  <c r="D36" i="12"/>
  <c r="T36" i="12" s="1"/>
  <c r="D28" i="12"/>
  <c r="T28" i="12" s="1"/>
  <c r="D20" i="12"/>
  <c r="T20" i="12" s="1"/>
  <c r="D12" i="12"/>
  <c r="T12" i="12" s="1"/>
  <c r="C37" i="12"/>
  <c r="S37" i="12" s="1"/>
  <c r="AJ37" i="12" s="1"/>
  <c r="C45" i="12"/>
  <c r="S45" i="12" s="1"/>
  <c r="AJ45" i="12" s="1"/>
  <c r="C13" i="12"/>
  <c r="S13" i="12" s="1"/>
  <c r="AJ13" i="12" s="1"/>
  <c r="C36" i="12"/>
  <c r="S36" i="12" s="1"/>
  <c r="AJ36" i="12" s="1"/>
  <c r="C28" i="12"/>
  <c r="S28" i="12" s="1"/>
  <c r="AJ28" i="12" s="1"/>
  <c r="C20" i="12"/>
  <c r="S20" i="12" s="1"/>
  <c r="AJ20" i="12" s="1"/>
  <c r="C12" i="12"/>
  <c r="S12" i="12" s="1"/>
  <c r="AJ12" i="12" s="1"/>
  <c r="C29" i="12"/>
  <c r="S29" i="12" s="1"/>
  <c r="AJ29" i="12" s="1"/>
  <c r="C8" i="12"/>
  <c r="S8" i="12" s="1"/>
  <c r="AJ8" i="12" s="1"/>
  <c r="C42" i="12"/>
  <c r="S42" i="12" s="1"/>
  <c r="AJ42" i="12" s="1"/>
  <c r="C34" i="12"/>
  <c r="S34" i="12" s="1"/>
  <c r="AJ34" i="12" s="1"/>
  <c r="C26" i="12"/>
  <c r="S26" i="12" s="1"/>
  <c r="AJ26" i="12" s="1"/>
  <c r="C18" i="12"/>
  <c r="S18" i="12" s="1"/>
  <c r="AJ18" i="12" s="1"/>
  <c r="C10" i="12"/>
  <c r="S10" i="12" s="1"/>
  <c r="AJ10" i="12" s="1"/>
  <c r="C21" i="12"/>
  <c r="S21" i="12" s="1"/>
  <c r="AJ21" i="12" s="1"/>
  <c r="C41" i="12"/>
  <c r="S41" i="12" s="1"/>
  <c r="AJ41" i="12" s="1"/>
  <c r="C33" i="12"/>
  <c r="S33" i="12" s="1"/>
  <c r="AJ33" i="12" s="1"/>
  <c r="C25" i="12"/>
  <c r="S25" i="12" s="1"/>
  <c r="AJ25" i="12" s="1"/>
  <c r="C17" i="12"/>
  <c r="S17" i="12" s="1"/>
  <c r="AJ17" i="12" s="1"/>
  <c r="C9" i="12"/>
  <c r="S9" i="12" s="1"/>
  <c r="AJ9" i="12" s="1"/>
  <c r="C40" i="12"/>
  <c r="S40" i="12" s="1"/>
  <c r="AJ40" i="12" s="1"/>
  <c r="C32" i="12"/>
  <c r="S32" i="12" s="1"/>
  <c r="AJ32" i="12" s="1"/>
  <c r="C24" i="12"/>
  <c r="S24" i="12" s="1"/>
  <c r="AJ24" i="12" s="1"/>
  <c r="C16" i="12"/>
  <c r="S16" i="12" s="1"/>
  <c r="AJ16" i="12" s="1"/>
  <c r="C39" i="12"/>
  <c r="S39" i="12" s="1"/>
  <c r="AJ39" i="12" s="1"/>
  <c r="C31" i="12"/>
  <c r="S31" i="12" s="1"/>
  <c r="AJ31" i="12" s="1"/>
  <c r="C23" i="12"/>
  <c r="S23" i="12" s="1"/>
  <c r="AJ23" i="12" s="1"/>
  <c r="C15" i="12"/>
  <c r="S15" i="12" s="1"/>
  <c r="AJ15" i="12" s="1"/>
  <c r="C46" i="12"/>
  <c r="S46" i="12" s="1"/>
  <c r="AJ46" i="12" s="1"/>
  <c r="C38" i="12"/>
  <c r="S38" i="12" s="1"/>
  <c r="AJ38" i="12" s="1"/>
  <c r="C30" i="12"/>
  <c r="S30" i="12" s="1"/>
  <c r="AJ30" i="12" s="1"/>
  <c r="C22" i="12"/>
  <c r="S22" i="12" s="1"/>
  <c r="AJ22" i="12" s="1"/>
  <c r="C14" i="12"/>
  <c r="S14" i="12" s="1"/>
  <c r="AJ14" i="12" s="1"/>
  <c r="L17" i="12"/>
  <c r="D17" i="12" s="1"/>
  <c r="T17" i="12" s="1"/>
  <c r="F33" i="12"/>
  <c r="G21" i="12"/>
  <c r="O41" i="12"/>
  <c r="D13" i="10"/>
  <c r="J13" i="10"/>
  <c r="K13" i="10"/>
  <c r="I13" i="10"/>
  <c r="H13" i="10"/>
  <c r="G13" i="10"/>
  <c r="F13" i="10"/>
  <c r="E13" i="10"/>
  <c r="C58" i="10"/>
  <c r="C77" i="10" s="1"/>
  <c r="C96" i="10" s="1"/>
  <c r="C115" i="10" s="1"/>
  <c r="C134" i="10" s="1"/>
  <c r="C57" i="10"/>
  <c r="C76" i="10" s="1"/>
  <c r="C95" i="10" s="1"/>
  <c r="C114" i="10" s="1"/>
  <c r="C133" i="10" s="1"/>
  <c r="C73" i="10"/>
  <c r="C92" i="10" s="1"/>
  <c r="C111" i="10" s="1"/>
  <c r="C130" i="10" s="1"/>
  <c r="C149" i="10" s="1"/>
  <c r="C71" i="10"/>
  <c r="C90" i="10" s="1"/>
  <c r="C109" i="10" s="1"/>
  <c r="C128" i="10" s="1"/>
  <c r="C147" i="10" s="1"/>
  <c r="C66" i="10"/>
  <c r="C85" i="10" s="1"/>
  <c r="C104" i="10" s="1"/>
  <c r="C123" i="10" s="1"/>
  <c r="C142" i="10" s="1"/>
  <c r="C65" i="10"/>
  <c r="C84" i="10" s="1"/>
  <c r="C103" i="10" s="1"/>
  <c r="C122" i="10" s="1"/>
  <c r="C141" i="10" s="1"/>
  <c r="C56" i="10"/>
  <c r="C75" i="10" s="1"/>
  <c r="C94" i="10" s="1"/>
  <c r="C113" i="10" s="1"/>
  <c r="C132" i="10" s="1"/>
  <c r="C63" i="10"/>
  <c r="C82" i="10" s="1"/>
  <c r="C101" i="10" s="1"/>
  <c r="C120" i="10" s="1"/>
  <c r="C139" i="10" s="1"/>
  <c r="C72" i="10"/>
  <c r="C91" i="10" s="1"/>
  <c r="C110" i="10" s="1"/>
  <c r="C129" i="10" s="1"/>
  <c r="C148" i="10" s="1"/>
  <c r="C64" i="10"/>
  <c r="C83" i="10" s="1"/>
  <c r="C102" i="10" s="1"/>
  <c r="C121" i="10" s="1"/>
  <c r="C140" i="10" s="1"/>
  <c r="C70" i="10"/>
  <c r="C89" i="10" s="1"/>
  <c r="C108" i="10" s="1"/>
  <c r="C127" i="10" s="1"/>
  <c r="C146" i="10" s="1"/>
  <c r="C62" i="10"/>
  <c r="C81" i="10" s="1"/>
  <c r="C100" i="10" s="1"/>
  <c r="C119" i="10" s="1"/>
  <c r="C138" i="10" s="1"/>
  <c r="C69" i="10"/>
  <c r="C88" i="10" s="1"/>
  <c r="C107" i="10" s="1"/>
  <c r="C126" i="10" s="1"/>
  <c r="C145" i="10" s="1"/>
  <c r="C61" i="10"/>
  <c r="C80" i="10" s="1"/>
  <c r="C99" i="10" s="1"/>
  <c r="C118" i="10" s="1"/>
  <c r="C137" i="10" s="1"/>
  <c r="C68" i="10"/>
  <c r="C87" i="10" s="1"/>
  <c r="C106" i="10" s="1"/>
  <c r="C125" i="10" s="1"/>
  <c r="C144" i="10" s="1"/>
  <c r="C60" i="10"/>
  <c r="C79" i="10" s="1"/>
  <c r="C98" i="10" s="1"/>
  <c r="C117" i="10" s="1"/>
  <c r="C136" i="10" s="1"/>
  <c r="C67" i="10"/>
  <c r="C86" i="10" s="1"/>
  <c r="C105" i="10" s="1"/>
  <c r="C124" i="10" s="1"/>
  <c r="C143" i="10" s="1"/>
  <c r="C59" i="10"/>
  <c r="C78" i="10" s="1"/>
  <c r="C97" i="10" s="1"/>
  <c r="C116" i="10" s="1"/>
  <c r="C135" i="10" s="1"/>
  <c r="B50" i="13"/>
  <c r="G33" i="13"/>
  <c r="L8" i="12"/>
  <c r="D8" i="12" s="1"/>
  <c r="T8" i="12" s="1"/>
  <c r="F8" i="12"/>
  <c r="V8" i="12" s="1"/>
  <c r="O25" i="12"/>
  <c r="O9" i="12"/>
  <c r="L24" i="12"/>
  <c r="D24" i="12" s="1"/>
  <c r="T24" i="12" s="1"/>
  <c r="L16" i="12"/>
  <c r="D16" i="12" s="1"/>
  <c r="T16" i="12" s="1"/>
  <c r="H28" i="12"/>
  <c r="P36" i="12"/>
  <c r="G20" i="12"/>
  <c r="M28" i="12"/>
  <c r="E28" i="12" s="1"/>
  <c r="U28" i="12" s="1"/>
  <c r="G9" i="12"/>
  <c r="M24" i="12"/>
  <c r="E24" i="12" s="1"/>
  <c r="U24" i="12" s="1"/>
  <c r="F45" i="12"/>
  <c r="H12" i="12"/>
  <c r="M16" i="12"/>
  <c r="E16" i="12" s="1"/>
  <c r="U16" i="12" s="1"/>
  <c r="F40" i="12"/>
  <c r="H35" i="12"/>
  <c r="F32" i="12"/>
  <c r="G41" i="12"/>
  <c r="L45" i="12"/>
  <c r="D45" i="12" s="1"/>
  <c r="T45" i="12" s="1"/>
  <c r="M8" i="12"/>
  <c r="E8" i="12" s="1"/>
  <c r="U8" i="12" s="1"/>
  <c r="P17" i="12"/>
  <c r="P29" i="12"/>
  <c r="P28" i="12"/>
  <c r="H27" i="12"/>
  <c r="M12" i="12"/>
  <c r="E12" i="12" s="1"/>
  <c r="U12" i="12" s="1"/>
  <c r="F24" i="12"/>
  <c r="G33" i="12"/>
  <c r="H40" i="12"/>
  <c r="L40" i="12"/>
  <c r="D40" i="12" s="1"/>
  <c r="T40" i="12" s="1"/>
  <c r="P45" i="12"/>
  <c r="P9" i="12"/>
  <c r="G12" i="12"/>
  <c r="H19" i="12"/>
  <c r="P20" i="12"/>
  <c r="F17" i="12"/>
  <c r="G29" i="12"/>
  <c r="H32" i="12"/>
  <c r="L33" i="12"/>
  <c r="D33" i="12" s="1"/>
  <c r="T33" i="12" s="1"/>
  <c r="M40" i="12"/>
  <c r="E40" i="12" s="1"/>
  <c r="U40" i="12" s="1"/>
  <c r="N46" i="12"/>
  <c r="P41" i="12"/>
  <c r="G49" i="12"/>
  <c r="H43" i="12"/>
  <c r="H11" i="12"/>
  <c r="F16" i="12"/>
  <c r="G28" i="12"/>
  <c r="H20" i="12"/>
  <c r="L32" i="12"/>
  <c r="D32" i="12" s="1"/>
  <c r="T32" i="12" s="1"/>
  <c r="M36" i="12"/>
  <c r="E36" i="12" s="1"/>
  <c r="U36" i="12" s="1"/>
  <c r="P37" i="12"/>
  <c r="M27" i="12"/>
  <c r="E27" i="12" s="1"/>
  <c r="U27" i="12" s="1"/>
  <c r="N19" i="12"/>
  <c r="O34" i="12"/>
  <c r="G37" i="12"/>
  <c r="G17" i="12"/>
  <c r="H39" i="12"/>
  <c r="H16" i="12"/>
  <c r="I35" i="12"/>
  <c r="N15" i="12"/>
  <c r="O33" i="12"/>
  <c r="P25" i="12"/>
  <c r="F41" i="12"/>
  <c r="F9" i="12"/>
  <c r="G36" i="12"/>
  <c r="G13" i="12"/>
  <c r="H36" i="12"/>
  <c r="H15" i="12"/>
  <c r="I31" i="12"/>
  <c r="J45" i="12"/>
  <c r="L25" i="12"/>
  <c r="D25" i="12" s="1"/>
  <c r="T25" i="12" s="1"/>
  <c r="M43" i="12"/>
  <c r="E43" i="12" s="1"/>
  <c r="U43" i="12" s="1"/>
  <c r="M20" i="12"/>
  <c r="E20" i="12" s="1"/>
  <c r="U20" i="12" s="1"/>
  <c r="N43" i="12"/>
  <c r="N11" i="12"/>
  <c r="O26" i="12"/>
  <c r="P21" i="12"/>
  <c r="N39" i="12"/>
  <c r="H8" i="12"/>
  <c r="I27" i="12"/>
  <c r="M19" i="12"/>
  <c r="E19" i="12" s="1"/>
  <c r="U19" i="12" s="1"/>
  <c r="H31" i="12"/>
  <c r="I23" i="12"/>
  <c r="N35" i="12"/>
  <c r="O18" i="12"/>
  <c r="I19" i="12"/>
  <c r="M35" i="12"/>
  <c r="E35" i="12" s="1"/>
  <c r="U35" i="12" s="1"/>
  <c r="N31" i="12"/>
  <c r="O17" i="12"/>
  <c r="P13" i="12"/>
  <c r="F25" i="12"/>
  <c r="G45" i="12"/>
  <c r="G25" i="12"/>
  <c r="H24" i="12"/>
  <c r="I15" i="12"/>
  <c r="L41" i="12"/>
  <c r="D41" i="12" s="1"/>
  <c r="T41" i="12" s="1"/>
  <c r="L9" i="12"/>
  <c r="D9" i="12" s="1"/>
  <c r="T9" i="12" s="1"/>
  <c r="M32" i="12"/>
  <c r="E32" i="12" s="1"/>
  <c r="U32" i="12" s="1"/>
  <c r="M11" i="12"/>
  <c r="E11" i="12" s="1"/>
  <c r="U11" i="12" s="1"/>
  <c r="N27" i="12"/>
  <c r="O42" i="12"/>
  <c r="O10" i="12"/>
  <c r="P33" i="12"/>
  <c r="P12" i="12"/>
  <c r="H23" i="12"/>
  <c r="I11" i="12"/>
  <c r="N23" i="12"/>
  <c r="I43" i="12"/>
  <c r="I39" i="12"/>
  <c r="J38" i="12"/>
  <c r="J14" i="12"/>
  <c r="F37" i="12"/>
  <c r="F21" i="12"/>
  <c r="J42" i="12"/>
  <c r="J18" i="12"/>
  <c r="L37" i="12"/>
  <c r="D37" i="12" s="1"/>
  <c r="T37" i="12" s="1"/>
  <c r="L13" i="12"/>
  <c r="D13" i="12" s="1"/>
  <c r="T13" i="12" s="1"/>
  <c r="O22" i="12"/>
  <c r="F43" i="12"/>
  <c r="F35" i="12"/>
  <c r="F27" i="12"/>
  <c r="F19" i="12"/>
  <c r="F11" i="12"/>
  <c r="G39" i="12"/>
  <c r="G31" i="12"/>
  <c r="G23" i="12"/>
  <c r="G15" i="12"/>
  <c r="H42" i="12"/>
  <c r="H34" i="12"/>
  <c r="H26" i="12"/>
  <c r="H18" i="12"/>
  <c r="H10" i="12"/>
  <c r="I45" i="12"/>
  <c r="I37" i="12"/>
  <c r="I29" i="12"/>
  <c r="I21" i="12"/>
  <c r="I13" i="12"/>
  <c r="J48" i="12"/>
  <c r="J40" i="12"/>
  <c r="J32" i="12"/>
  <c r="J24" i="12"/>
  <c r="J16" i="12"/>
  <c r="J8" i="12"/>
  <c r="L43" i="12"/>
  <c r="D43" i="12" s="1"/>
  <c r="T43" i="12" s="1"/>
  <c r="L35" i="12"/>
  <c r="D35" i="12" s="1"/>
  <c r="T35" i="12" s="1"/>
  <c r="L27" i="12"/>
  <c r="D27" i="12" s="1"/>
  <c r="T27" i="12" s="1"/>
  <c r="L19" i="12"/>
  <c r="D19" i="12" s="1"/>
  <c r="T19" i="12" s="1"/>
  <c r="L11" i="12"/>
  <c r="D11" i="12" s="1"/>
  <c r="T11" i="12" s="1"/>
  <c r="M38" i="12"/>
  <c r="E38" i="12" s="1"/>
  <c r="U38" i="12" s="1"/>
  <c r="M30" i="12"/>
  <c r="E30" i="12" s="1"/>
  <c r="U30" i="12" s="1"/>
  <c r="M22" i="12"/>
  <c r="E22" i="12" s="1"/>
  <c r="U22" i="12" s="1"/>
  <c r="M14" i="12"/>
  <c r="E14" i="12" s="1"/>
  <c r="U14" i="12" s="1"/>
  <c r="N41" i="12"/>
  <c r="N33" i="12"/>
  <c r="N25" i="12"/>
  <c r="N17" i="12"/>
  <c r="N9" i="12"/>
  <c r="O36" i="12"/>
  <c r="O28" i="12"/>
  <c r="O20" i="12"/>
  <c r="O12" i="12"/>
  <c r="P39" i="12"/>
  <c r="P31" i="12"/>
  <c r="P23" i="12"/>
  <c r="P15" i="12"/>
  <c r="J22" i="12"/>
  <c r="F29" i="12"/>
  <c r="J26" i="12"/>
  <c r="L21" i="12"/>
  <c r="D21" i="12" s="1"/>
  <c r="T21" i="12" s="1"/>
  <c r="O30" i="12"/>
  <c r="F42" i="12"/>
  <c r="F34" i="12"/>
  <c r="F26" i="12"/>
  <c r="F18" i="12"/>
  <c r="F10" i="12"/>
  <c r="G46" i="12"/>
  <c r="G38" i="12"/>
  <c r="G30" i="12"/>
  <c r="G22" i="12"/>
  <c r="G14" i="12"/>
  <c r="H41" i="12"/>
  <c r="H33" i="12"/>
  <c r="H25" i="12"/>
  <c r="H17" i="12"/>
  <c r="H9" i="12"/>
  <c r="I44" i="12"/>
  <c r="I36" i="12"/>
  <c r="I28" i="12"/>
  <c r="I20" i="12"/>
  <c r="I12" i="12"/>
  <c r="J39" i="12"/>
  <c r="J31" i="12"/>
  <c r="J23" i="12"/>
  <c r="J15" i="12"/>
  <c r="L42" i="12"/>
  <c r="D42" i="12" s="1"/>
  <c r="T42" i="12" s="1"/>
  <c r="L34" i="12"/>
  <c r="D34" i="12" s="1"/>
  <c r="T34" i="12" s="1"/>
  <c r="L26" i="12"/>
  <c r="D26" i="12" s="1"/>
  <c r="T26" i="12" s="1"/>
  <c r="L18" i="12"/>
  <c r="D18" i="12" s="1"/>
  <c r="T18" i="12" s="1"/>
  <c r="L10" i="12"/>
  <c r="D10" i="12" s="1"/>
  <c r="T10" i="12" s="1"/>
  <c r="M45" i="12"/>
  <c r="E45" i="12" s="1"/>
  <c r="U45" i="12" s="1"/>
  <c r="M37" i="12"/>
  <c r="E37" i="12" s="1"/>
  <c r="U37" i="12" s="1"/>
  <c r="M29" i="12"/>
  <c r="E29" i="12" s="1"/>
  <c r="U29" i="12" s="1"/>
  <c r="M21" i="12"/>
  <c r="E21" i="12" s="1"/>
  <c r="U21" i="12" s="1"/>
  <c r="M13" i="12"/>
  <c r="E13" i="12" s="1"/>
  <c r="U13" i="12" s="1"/>
  <c r="N40" i="12"/>
  <c r="N32" i="12"/>
  <c r="N24" i="12"/>
  <c r="N16" i="12"/>
  <c r="N8" i="12"/>
  <c r="O43" i="12"/>
  <c r="O35" i="12"/>
  <c r="O27" i="12"/>
  <c r="O19" i="12"/>
  <c r="O11" i="12"/>
  <c r="P46" i="12"/>
  <c r="P38" i="12"/>
  <c r="P30" i="12"/>
  <c r="P22" i="12"/>
  <c r="P14" i="12"/>
  <c r="I42" i="12"/>
  <c r="I26" i="12"/>
  <c r="I10" i="12"/>
  <c r="J37" i="12"/>
  <c r="J21" i="12"/>
  <c r="N38" i="12"/>
  <c r="N22" i="12"/>
  <c r="F39" i="12"/>
  <c r="F31" i="12"/>
  <c r="F23" i="12"/>
  <c r="F15" i="12"/>
  <c r="G43" i="12"/>
  <c r="G35" i="12"/>
  <c r="G27" i="12"/>
  <c r="G19" i="12"/>
  <c r="G11" i="12"/>
  <c r="H38" i="12"/>
  <c r="H30" i="12"/>
  <c r="H22" i="12"/>
  <c r="H14" i="12"/>
  <c r="I41" i="12"/>
  <c r="I33" i="12"/>
  <c r="I25" i="12"/>
  <c r="I17" i="12"/>
  <c r="I9" i="12"/>
  <c r="J36" i="12"/>
  <c r="J28" i="12"/>
  <c r="J20" i="12"/>
  <c r="J12" i="12"/>
  <c r="L39" i="12"/>
  <c r="D39" i="12" s="1"/>
  <c r="T39" i="12" s="1"/>
  <c r="L31" i="12"/>
  <c r="D31" i="12" s="1"/>
  <c r="T31" i="12" s="1"/>
  <c r="L23" i="12"/>
  <c r="D23" i="12" s="1"/>
  <c r="T23" i="12" s="1"/>
  <c r="L15" i="12"/>
  <c r="D15" i="12" s="1"/>
  <c r="T15" i="12" s="1"/>
  <c r="M42" i="12"/>
  <c r="E42" i="12" s="1"/>
  <c r="U42" i="12" s="1"/>
  <c r="M34" i="12"/>
  <c r="E34" i="12" s="1"/>
  <c r="U34" i="12" s="1"/>
  <c r="M26" i="12"/>
  <c r="E26" i="12" s="1"/>
  <c r="U26" i="12" s="1"/>
  <c r="M18" i="12"/>
  <c r="E18" i="12" s="1"/>
  <c r="U18" i="12" s="1"/>
  <c r="M10" i="12"/>
  <c r="E10" i="12" s="1"/>
  <c r="U10" i="12" s="1"/>
  <c r="N45" i="12"/>
  <c r="N37" i="12"/>
  <c r="N29" i="12"/>
  <c r="N21" i="12"/>
  <c r="N13" i="12"/>
  <c r="O48" i="12"/>
  <c r="O40" i="12"/>
  <c r="O32" i="12"/>
  <c r="O24" i="12"/>
  <c r="O16" i="12"/>
  <c r="O8" i="12"/>
  <c r="P43" i="12"/>
  <c r="P35" i="12"/>
  <c r="P27" i="12"/>
  <c r="P19" i="12"/>
  <c r="P11" i="12"/>
  <c r="J30" i="12"/>
  <c r="I34" i="12"/>
  <c r="I18" i="12"/>
  <c r="J29" i="12"/>
  <c r="J13" i="12"/>
  <c r="N30" i="12"/>
  <c r="N14" i="12"/>
  <c r="F46" i="12"/>
  <c r="F38" i="12"/>
  <c r="F30" i="12"/>
  <c r="F22" i="12"/>
  <c r="F14" i="12"/>
  <c r="G42" i="12"/>
  <c r="G34" i="12"/>
  <c r="G26" i="12"/>
  <c r="G18" i="12"/>
  <c r="G10" i="12"/>
  <c r="H45" i="12"/>
  <c r="H37" i="12"/>
  <c r="H29" i="12"/>
  <c r="H21" i="12"/>
  <c r="H13" i="12"/>
  <c r="I40" i="12"/>
  <c r="I32" i="12"/>
  <c r="I24" i="12"/>
  <c r="I16" i="12"/>
  <c r="I8" i="12"/>
  <c r="J43" i="12"/>
  <c r="J35" i="12"/>
  <c r="J27" i="12"/>
  <c r="J19" i="12"/>
  <c r="J11" i="12"/>
  <c r="L46" i="12"/>
  <c r="D46" i="12" s="1"/>
  <c r="T46" i="12" s="1"/>
  <c r="L38" i="12"/>
  <c r="D38" i="12" s="1"/>
  <c r="T38" i="12" s="1"/>
  <c r="L30" i="12"/>
  <c r="D30" i="12" s="1"/>
  <c r="T30" i="12" s="1"/>
  <c r="L22" i="12"/>
  <c r="D22" i="12" s="1"/>
  <c r="T22" i="12" s="1"/>
  <c r="L14" i="12"/>
  <c r="D14" i="12" s="1"/>
  <c r="T14" i="12" s="1"/>
  <c r="M41" i="12"/>
  <c r="E41" i="12" s="1"/>
  <c r="U41" i="12" s="1"/>
  <c r="M33" i="12"/>
  <c r="E33" i="12" s="1"/>
  <c r="U33" i="12" s="1"/>
  <c r="M25" i="12"/>
  <c r="E25" i="12" s="1"/>
  <c r="U25" i="12" s="1"/>
  <c r="M17" i="12"/>
  <c r="E17" i="12" s="1"/>
  <c r="U17" i="12" s="1"/>
  <c r="M9" i="12"/>
  <c r="E9" i="12" s="1"/>
  <c r="U9" i="12" s="1"/>
  <c r="N44" i="12"/>
  <c r="N36" i="12"/>
  <c r="N28" i="12"/>
  <c r="N20" i="12"/>
  <c r="N12" i="12"/>
  <c r="O39" i="12"/>
  <c r="O31" i="12"/>
  <c r="O23" i="12"/>
  <c r="O15" i="12"/>
  <c r="P42" i="12"/>
  <c r="P34" i="12"/>
  <c r="P26" i="12"/>
  <c r="P18" i="12"/>
  <c r="P10" i="12"/>
  <c r="F13" i="12"/>
  <c r="J34" i="12"/>
  <c r="J10" i="12"/>
  <c r="L29" i="12"/>
  <c r="D29" i="12" s="1"/>
  <c r="T29" i="12" s="1"/>
  <c r="O38" i="12"/>
  <c r="O14" i="12"/>
  <c r="F44" i="12"/>
  <c r="F36" i="12"/>
  <c r="F28" i="12"/>
  <c r="F20" i="12"/>
  <c r="F12" i="12"/>
  <c r="G40" i="12"/>
  <c r="G32" i="12"/>
  <c r="G24" i="12"/>
  <c r="G16" i="12"/>
  <c r="G8" i="12"/>
  <c r="L44" i="12"/>
  <c r="D44" i="12" s="1"/>
  <c r="T44" i="12" s="1"/>
  <c r="O45" i="12"/>
  <c r="P48" i="12"/>
  <c r="B30" i="11"/>
  <c r="P10" i="9"/>
  <c r="J10" i="9"/>
  <c r="J11" i="9" s="1"/>
  <c r="E48" i="4"/>
  <c r="E49" i="4" s="1"/>
  <c r="E50" i="4" s="1"/>
  <c r="E51" i="4" s="1"/>
  <c r="E52" i="4" s="1"/>
  <c r="E53" i="4" s="1"/>
  <c r="E54" i="4" s="1"/>
  <c r="E55" i="4" s="1"/>
  <c r="E56" i="4" s="1"/>
  <c r="D48" i="4"/>
  <c r="D49" i="4" s="1"/>
  <c r="D50" i="4" s="1"/>
  <c r="D51" i="4" s="1"/>
  <c r="D52" i="4" s="1"/>
  <c r="D53" i="4" s="1"/>
  <c r="D54" i="4" s="1"/>
  <c r="D55" i="4" s="1"/>
  <c r="D56" i="4" s="1"/>
  <c r="C48" i="4"/>
  <c r="I48" i="12" l="1"/>
  <c r="M46" i="12"/>
  <c r="E46" i="12" s="1"/>
  <c r="U46" i="12" s="1"/>
  <c r="H48" i="12"/>
  <c r="G44" i="12"/>
  <c r="H44" i="12"/>
  <c r="G48" i="12"/>
  <c r="P44" i="12"/>
  <c r="L48" i="12"/>
  <c r="D48" i="12" s="1"/>
  <c r="T48" i="12" s="1"/>
  <c r="M44" i="12"/>
  <c r="E44" i="12" s="1"/>
  <c r="U44" i="12" s="1"/>
  <c r="I46" i="12"/>
  <c r="J44" i="12"/>
  <c r="O46" i="12"/>
  <c r="F48" i="12"/>
  <c r="C48" i="12"/>
  <c r="S48" i="12" s="1"/>
  <c r="AJ48" i="12" s="1"/>
  <c r="AM48" i="12" s="1"/>
  <c r="J46" i="12"/>
  <c r="N48" i="12"/>
  <c r="O44" i="12"/>
  <c r="U17" i="16"/>
  <c r="H49" i="12"/>
  <c r="I49" i="12"/>
  <c r="O47" i="12"/>
  <c r="F49" i="12"/>
  <c r="N47" i="12"/>
  <c r="J47" i="12"/>
  <c r="M49" i="12"/>
  <c r="E49" i="12" s="1"/>
  <c r="U49" i="12" s="1"/>
  <c r="L47" i="12"/>
  <c r="D47" i="12" s="1"/>
  <c r="T47" i="12" s="1"/>
  <c r="C47" i="12"/>
  <c r="S47" i="12" s="1"/>
  <c r="AJ47" i="12" s="1"/>
  <c r="AM47" i="12" s="1"/>
  <c r="M47" i="12"/>
  <c r="E47" i="12" s="1"/>
  <c r="U47" i="12" s="1"/>
  <c r="P47" i="12"/>
  <c r="I47" i="12"/>
  <c r="J49" i="12"/>
  <c r="G47" i="12"/>
  <c r="H47" i="12"/>
  <c r="P49" i="12"/>
  <c r="L49" i="12"/>
  <c r="D49" i="12" s="1"/>
  <c r="T49" i="12" s="1"/>
  <c r="C49" i="12"/>
  <c r="S49" i="12" s="1"/>
  <c r="AJ49" i="12" s="1"/>
  <c r="AM49" i="12" s="1"/>
  <c r="N49" i="12"/>
  <c r="C49" i="4"/>
  <c r="C50" i="4" s="1"/>
  <c r="K78" i="4"/>
  <c r="G44" i="3"/>
  <c r="M35" i="13"/>
  <c r="M40" i="13" s="1"/>
  <c r="M46" i="13" s="1"/>
  <c r="M53" i="13" s="1"/>
  <c r="M61" i="13" s="1"/>
  <c r="M70" i="13" s="1"/>
  <c r="M39" i="13"/>
  <c r="M45" i="13" s="1"/>
  <c r="M52" i="13" s="1"/>
  <c r="M60" i="13" s="1"/>
  <c r="M69" i="13" s="1"/>
  <c r="B51" i="13"/>
  <c r="G34" i="13"/>
  <c r="B31" i="11"/>
  <c r="P11" i="9"/>
  <c r="P12" i="9" s="1"/>
  <c r="J12" i="9"/>
  <c r="D9" i="9"/>
  <c r="K79" i="4" l="1"/>
  <c r="G45" i="3"/>
  <c r="C51" i="4"/>
  <c r="D30" i="11"/>
  <c r="C31" i="11"/>
  <c r="D55" i="11"/>
  <c r="C29" i="11"/>
  <c r="D31" i="11"/>
  <c r="C32" i="11"/>
  <c r="D32" i="11"/>
  <c r="C33" i="11"/>
  <c r="D33" i="11"/>
  <c r="C34" i="11"/>
  <c r="F55" i="11"/>
  <c r="D34" i="11"/>
  <c r="C35" i="11"/>
  <c r="G8" i="11"/>
  <c r="D35" i="11"/>
  <c r="F8" i="11"/>
  <c r="C30" i="11"/>
  <c r="D29" i="11"/>
  <c r="H3" i="14"/>
  <c r="G3" i="14"/>
  <c r="AD6" i="14" s="1"/>
  <c r="AD7" i="14" s="1"/>
  <c r="B52" i="13"/>
  <c r="G35" i="13"/>
  <c r="B32" i="11"/>
  <c r="P13" i="9"/>
  <c r="J13" i="9"/>
  <c r="D10" i="9"/>
  <c r="E36" i="3"/>
  <c r="E37" i="3"/>
  <c r="E38" i="3"/>
  <c r="E39" i="3"/>
  <c r="E4" i="3"/>
  <c r="C4" i="3"/>
  <c r="M11" i="14" s="1"/>
  <c r="AJ11" i="14" s="1"/>
  <c r="AY11" i="14" s="1"/>
  <c r="AZ11" i="14" s="1"/>
  <c r="B4" i="3"/>
  <c r="B25" i="7"/>
  <c r="N5" i="14" l="1"/>
  <c r="N6" i="14" s="1"/>
  <c r="AN6" i="14"/>
  <c r="AN7" i="14" s="1"/>
  <c r="AS6" i="14" s="1"/>
  <c r="AT6" i="14" s="1"/>
  <c r="BB6" i="14"/>
  <c r="BB7" i="14" s="1"/>
  <c r="BE6" i="14" s="1"/>
  <c r="G6" i="14"/>
  <c r="G7" i="14" s="1"/>
  <c r="D64" i="11"/>
  <c r="D59" i="11"/>
  <c r="D63" i="11"/>
  <c r="D62" i="11"/>
  <c r="D61" i="11"/>
  <c r="D60" i="11"/>
  <c r="D58" i="11"/>
  <c r="U5" i="14"/>
  <c r="U6" i="14" s="1"/>
  <c r="C52" i="4"/>
  <c r="C53" i="4" s="1"/>
  <c r="AR5" i="12"/>
  <c r="AQ5" i="12"/>
  <c r="E60" i="11"/>
  <c r="E62" i="11"/>
  <c r="E63" i="11"/>
  <c r="E61" i="11"/>
  <c r="E64" i="11"/>
  <c r="E59" i="11"/>
  <c r="E58" i="11"/>
  <c r="T11" i="14"/>
  <c r="N11" i="14"/>
  <c r="U11" i="14" s="1"/>
  <c r="AB11" i="14" s="1"/>
  <c r="AI11" i="14" s="1"/>
  <c r="AK11" i="14" s="1"/>
  <c r="B53" i="13"/>
  <c r="G36" i="13"/>
  <c r="AE41" i="12"/>
  <c r="AA41" i="12"/>
  <c r="AD41" i="12"/>
  <c r="Z41" i="12"/>
  <c r="AF41" i="12"/>
  <c r="AC41" i="12"/>
  <c r="Y41" i="12"/>
  <c r="X41" i="12"/>
  <c r="AB41" i="12"/>
  <c r="W41" i="12"/>
  <c r="V41" i="12"/>
  <c r="V40" i="12"/>
  <c r="AC40" i="12"/>
  <c r="Y40" i="12"/>
  <c r="AF40" i="12"/>
  <c r="AB40" i="12"/>
  <c r="X40" i="12"/>
  <c r="AA40" i="12"/>
  <c r="Z40" i="12"/>
  <c r="AD40" i="12"/>
  <c r="W40" i="12"/>
  <c r="AE40" i="12"/>
  <c r="AF43" i="12"/>
  <c r="AB43" i="12"/>
  <c r="AE43" i="12"/>
  <c r="AA43" i="12"/>
  <c r="W43" i="12"/>
  <c r="AC43" i="12"/>
  <c r="AD43" i="12"/>
  <c r="Z43" i="12"/>
  <c r="Y43" i="12"/>
  <c r="X43" i="12"/>
  <c r="V43" i="12"/>
  <c r="AC8" i="12"/>
  <c r="AD8" i="12"/>
  <c r="Z8" i="12"/>
  <c r="Y8" i="12"/>
  <c r="AE8" i="12"/>
  <c r="AF8" i="12"/>
  <c r="W8" i="12"/>
  <c r="AB8" i="12"/>
  <c r="AA8" i="12"/>
  <c r="X8" i="12"/>
  <c r="AD42" i="12"/>
  <c r="Z42" i="12"/>
  <c r="AC42" i="12"/>
  <c r="Y42" i="12"/>
  <c r="AE42" i="12"/>
  <c r="X42" i="12"/>
  <c r="AB42" i="12"/>
  <c r="AA42" i="12"/>
  <c r="W42" i="12"/>
  <c r="AF42" i="12"/>
  <c r="V42" i="12"/>
  <c r="H4" i="3"/>
  <c r="B33" i="11"/>
  <c r="P14" i="9"/>
  <c r="J14" i="9"/>
  <c r="D11" i="9"/>
  <c r="AT9" i="14" l="1"/>
  <c r="AT8" i="14"/>
  <c r="AD8" i="14"/>
  <c r="BE5" i="14"/>
  <c r="BE7" i="14" s="1"/>
  <c r="AN8" i="14"/>
  <c r="BB8" i="14"/>
  <c r="AQ9" i="12"/>
  <c r="AQ10" i="12" s="1"/>
  <c r="U7" i="14"/>
  <c r="N7" i="14"/>
  <c r="C54" i="4"/>
  <c r="C55" i="4" s="1"/>
  <c r="C56" i="4" s="1"/>
  <c r="C36" i="11"/>
  <c r="C37" i="11"/>
  <c r="D37" i="11"/>
  <c r="C38" i="11"/>
  <c r="D36" i="11"/>
  <c r="E11" i="14"/>
  <c r="AK8" i="12"/>
  <c r="B54" i="13"/>
  <c r="G37" i="13"/>
  <c r="B34" i="11"/>
  <c r="P15" i="9"/>
  <c r="J15" i="9"/>
  <c r="D12" i="9"/>
  <c r="D38" i="11" l="1"/>
  <c r="C39" i="11"/>
  <c r="C40" i="11"/>
  <c r="D39" i="11"/>
  <c r="D41" i="11"/>
  <c r="D40" i="11"/>
  <c r="C41" i="11"/>
  <c r="B55" i="13"/>
  <c r="G38" i="13"/>
  <c r="B35" i="11"/>
  <c r="P16" i="9"/>
  <c r="J16" i="9"/>
  <c r="D13" i="9"/>
  <c r="B56" i="13" l="1"/>
  <c r="G39" i="13"/>
  <c r="B36" i="11"/>
  <c r="D14" i="9"/>
  <c r="E40" i="3"/>
  <c r="E5" i="3"/>
  <c r="O39" i="8"/>
  <c r="P39" i="8" s="1"/>
  <c r="O47" i="8"/>
  <c r="P47" i="8" s="1"/>
  <c r="O55" i="8"/>
  <c r="P55" i="8" s="1"/>
  <c r="O103" i="8"/>
  <c r="P103" i="8" s="1"/>
  <c r="O111" i="8"/>
  <c r="P111" i="8" s="1"/>
  <c r="O119" i="8"/>
  <c r="P119" i="8" s="1"/>
  <c r="F9"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98" i="8"/>
  <c r="Q99" i="8"/>
  <c r="Q100" i="8"/>
  <c r="Q101" i="8"/>
  <c r="Q102" i="8"/>
  <c r="Q103" i="8"/>
  <c r="Q104" i="8"/>
  <c r="Q105" i="8"/>
  <c r="Q106" i="8"/>
  <c r="Q107" i="8"/>
  <c r="Q108" i="8"/>
  <c r="Q109" i="8"/>
  <c r="Q110" i="8"/>
  <c r="Q111" i="8"/>
  <c r="Q112" i="8"/>
  <c r="Q113" i="8"/>
  <c r="Q114" i="8"/>
  <c r="Q115" i="8"/>
  <c r="Q116" i="8"/>
  <c r="Q117" i="8"/>
  <c r="Q118" i="8"/>
  <c r="Q119" i="8"/>
  <c r="Q120" i="8"/>
  <c r="Q121" i="8"/>
  <c r="Q122" i="8"/>
  <c r="Q123" i="8"/>
  <c r="Q124" i="8"/>
  <c r="Q125" i="8"/>
  <c r="Q126" i="8"/>
  <c r="Q127" i="8"/>
  <c r="Q128" i="8"/>
  <c r="Q8" i="8"/>
  <c r="G8" i="8"/>
  <c r="N128" i="8"/>
  <c r="N127" i="8"/>
  <c r="N126" i="8"/>
  <c r="N125" i="8"/>
  <c r="N124" i="8"/>
  <c r="N123" i="8"/>
  <c r="N122" i="8"/>
  <c r="N121" i="8"/>
  <c r="N120" i="8"/>
  <c r="N119" i="8"/>
  <c r="N118" i="8"/>
  <c r="N117" i="8"/>
  <c r="N116"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P4" i="8"/>
  <c r="O63" i="8" s="1"/>
  <c r="P63" i="8" s="1"/>
  <c r="J4"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F4" i="8"/>
  <c r="E116" i="8" s="1"/>
  <c r="B57" i="13" l="1"/>
  <c r="G40" i="13"/>
  <c r="E11" i="2"/>
  <c r="E12" i="2" s="1"/>
  <c r="Z44" i="12"/>
  <c r="AD44" i="12"/>
  <c r="AB44" i="12"/>
  <c r="AC44" i="12"/>
  <c r="Y44" i="12"/>
  <c r="X44" i="12"/>
  <c r="AE44" i="12"/>
  <c r="AF44" i="12"/>
  <c r="V44" i="12"/>
  <c r="AA44" i="12"/>
  <c r="W44" i="12"/>
  <c r="E46" i="2"/>
  <c r="AE9" i="12"/>
  <c r="X9" i="12"/>
  <c r="AA9" i="12"/>
  <c r="W9" i="12"/>
  <c r="AC9" i="12"/>
  <c r="AD9" i="12"/>
  <c r="V9" i="12"/>
  <c r="Y9" i="12"/>
  <c r="AF9" i="12"/>
  <c r="AB9" i="12"/>
  <c r="Z9" i="12"/>
  <c r="B37" i="11"/>
  <c r="B38" i="11" s="1"/>
  <c r="D15" i="9"/>
  <c r="O79" i="8"/>
  <c r="P79" i="8" s="1"/>
  <c r="O15" i="8"/>
  <c r="P15" i="8" s="1"/>
  <c r="O71" i="8"/>
  <c r="P71" i="8" s="1"/>
  <c r="O127" i="8"/>
  <c r="P127" i="8" s="1"/>
  <c r="O10" i="8"/>
  <c r="P10" i="8" s="1"/>
  <c r="O90" i="8"/>
  <c r="P90" i="8" s="1"/>
  <c r="O9" i="8"/>
  <c r="P9" i="8" s="1"/>
  <c r="O11" i="8"/>
  <c r="P11" i="8" s="1"/>
  <c r="O19" i="8"/>
  <c r="P19" i="8" s="1"/>
  <c r="O27" i="8"/>
  <c r="P27" i="8" s="1"/>
  <c r="O35" i="8"/>
  <c r="P35" i="8" s="1"/>
  <c r="O43" i="8"/>
  <c r="P43" i="8" s="1"/>
  <c r="O51" i="8"/>
  <c r="P51" i="8" s="1"/>
  <c r="O59" i="8"/>
  <c r="P59" i="8" s="1"/>
  <c r="O67" i="8"/>
  <c r="P67" i="8" s="1"/>
  <c r="O75" i="8"/>
  <c r="P75" i="8" s="1"/>
  <c r="O83" i="8"/>
  <c r="P83" i="8" s="1"/>
  <c r="O91" i="8"/>
  <c r="P91" i="8" s="1"/>
  <c r="O99" i="8"/>
  <c r="P99" i="8" s="1"/>
  <c r="O107" i="8"/>
  <c r="P107" i="8" s="1"/>
  <c r="O115" i="8"/>
  <c r="P115" i="8" s="1"/>
  <c r="O123" i="8"/>
  <c r="P123" i="8" s="1"/>
  <c r="O12" i="8"/>
  <c r="P12" i="8" s="1"/>
  <c r="O20" i="8"/>
  <c r="P20" i="8" s="1"/>
  <c r="O28" i="8"/>
  <c r="P28" i="8" s="1"/>
  <c r="O36" i="8"/>
  <c r="P36" i="8" s="1"/>
  <c r="O44" i="8"/>
  <c r="P44" i="8" s="1"/>
  <c r="O52" i="8"/>
  <c r="P52" i="8" s="1"/>
  <c r="O60" i="8"/>
  <c r="P60" i="8" s="1"/>
  <c r="O68" i="8"/>
  <c r="P68" i="8" s="1"/>
  <c r="O76" i="8"/>
  <c r="P76" i="8" s="1"/>
  <c r="O84" i="8"/>
  <c r="P84" i="8" s="1"/>
  <c r="O92" i="8"/>
  <c r="P92" i="8" s="1"/>
  <c r="O100" i="8"/>
  <c r="P100" i="8" s="1"/>
  <c r="O108" i="8"/>
  <c r="P108" i="8" s="1"/>
  <c r="O116" i="8"/>
  <c r="P116" i="8" s="1"/>
  <c r="O124" i="8"/>
  <c r="P124" i="8" s="1"/>
  <c r="O13" i="8"/>
  <c r="P13" i="8" s="1"/>
  <c r="O21" i="8"/>
  <c r="P21" i="8" s="1"/>
  <c r="O29" i="8"/>
  <c r="P29" i="8" s="1"/>
  <c r="O37" i="8"/>
  <c r="P37" i="8" s="1"/>
  <c r="O45" i="8"/>
  <c r="P45" i="8" s="1"/>
  <c r="O53" i="8"/>
  <c r="P53" i="8" s="1"/>
  <c r="O61" i="8"/>
  <c r="P61" i="8" s="1"/>
  <c r="O69" i="8"/>
  <c r="P69" i="8" s="1"/>
  <c r="O77" i="8"/>
  <c r="P77" i="8" s="1"/>
  <c r="O85" i="8"/>
  <c r="P85" i="8" s="1"/>
  <c r="O93" i="8"/>
  <c r="P93" i="8" s="1"/>
  <c r="O101" i="8"/>
  <c r="P101" i="8" s="1"/>
  <c r="O109" i="8"/>
  <c r="P109" i="8" s="1"/>
  <c r="O117" i="8"/>
  <c r="P117" i="8" s="1"/>
  <c r="O125" i="8"/>
  <c r="P125" i="8" s="1"/>
  <c r="O14" i="8"/>
  <c r="P14" i="8" s="1"/>
  <c r="O22" i="8"/>
  <c r="P22" i="8" s="1"/>
  <c r="O30" i="8"/>
  <c r="P30" i="8" s="1"/>
  <c r="O38" i="8"/>
  <c r="P38" i="8" s="1"/>
  <c r="O46" i="8"/>
  <c r="P46" i="8" s="1"/>
  <c r="O54" i="8"/>
  <c r="P54" i="8" s="1"/>
  <c r="O62" i="8"/>
  <c r="P62" i="8" s="1"/>
  <c r="O70" i="8"/>
  <c r="P70" i="8" s="1"/>
  <c r="O78" i="8"/>
  <c r="P78" i="8" s="1"/>
  <c r="O86" i="8"/>
  <c r="P86" i="8" s="1"/>
  <c r="O94" i="8"/>
  <c r="P94" i="8" s="1"/>
  <c r="O102" i="8"/>
  <c r="P102" i="8" s="1"/>
  <c r="O110" i="8"/>
  <c r="P110" i="8" s="1"/>
  <c r="O118" i="8"/>
  <c r="P118" i="8" s="1"/>
  <c r="O126" i="8"/>
  <c r="P126" i="8" s="1"/>
  <c r="O16" i="8"/>
  <c r="P16" i="8" s="1"/>
  <c r="O24" i="8"/>
  <c r="P24" i="8" s="1"/>
  <c r="O32" i="8"/>
  <c r="P32" i="8" s="1"/>
  <c r="O40" i="8"/>
  <c r="P40" i="8" s="1"/>
  <c r="O48" i="8"/>
  <c r="P48" i="8" s="1"/>
  <c r="O56" i="8"/>
  <c r="P56" i="8" s="1"/>
  <c r="O64" i="8"/>
  <c r="P64" i="8" s="1"/>
  <c r="O72" i="8"/>
  <c r="P72" i="8" s="1"/>
  <c r="O80" i="8"/>
  <c r="P80" i="8" s="1"/>
  <c r="O88" i="8"/>
  <c r="P88" i="8" s="1"/>
  <c r="O96" i="8"/>
  <c r="P96" i="8" s="1"/>
  <c r="O104" i="8"/>
  <c r="P104" i="8" s="1"/>
  <c r="O112" i="8"/>
  <c r="P112" i="8" s="1"/>
  <c r="O120" i="8"/>
  <c r="P120" i="8" s="1"/>
  <c r="O128" i="8"/>
  <c r="P128" i="8" s="1"/>
  <c r="O17" i="8"/>
  <c r="P17" i="8" s="1"/>
  <c r="O25" i="8"/>
  <c r="P25" i="8" s="1"/>
  <c r="O33" i="8"/>
  <c r="P33" i="8" s="1"/>
  <c r="O41" i="8"/>
  <c r="P41" i="8" s="1"/>
  <c r="O49" i="8"/>
  <c r="P49" i="8" s="1"/>
  <c r="O57" i="8"/>
  <c r="P57" i="8" s="1"/>
  <c r="O65" i="8"/>
  <c r="P65" i="8" s="1"/>
  <c r="O73" i="8"/>
  <c r="P73" i="8" s="1"/>
  <c r="O81" i="8"/>
  <c r="P81" i="8" s="1"/>
  <c r="O89" i="8"/>
  <c r="P89" i="8" s="1"/>
  <c r="O97" i="8"/>
  <c r="P97" i="8" s="1"/>
  <c r="O105" i="8"/>
  <c r="P105" i="8" s="1"/>
  <c r="O113" i="8"/>
  <c r="P113" i="8" s="1"/>
  <c r="O121" i="8"/>
  <c r="P121" i="8" s="1"/>
  <c r="O18" i="8"/>
  <c r="P18" i="8" s="1"/>
  <c r="O26" i="8"/>
  <c r="P26" i="8" s="1"/>
  <c r="O34" i="8"/>
  <c r="P34" i="8" s="1"/>
  <c r="O42" i="8"/>
  <c r="P42" i="8" s="1"/>
  <c r="O50" i="8"/>
  <c r="P50" i="8" s="1"/>
  <c r="O58" i="8"/>
  <c r="P58" i="8" s="1"/>
  <c r="O66" i="8"/>
  <c r="P66" i="8" s="1"/>
  <c r="O74" i="8"/>
  <c r="P74" i="8" s="1"/>
  <c r="O82" i="8"/>
  <c r="P82" i="8" s="1"/>
  <c r="O98" i="8"/>
  <c r="P98" i="8" s="1"/>
  <c r="O106" i="8"/>
  <c r="P106" i="8" s="1"/>
  <c r="O114" i="8"/>
  <c r="P114" i="8" s="1"/>
  <c r="O122" i="8"/>
  <c r="P122" i="8" s="1"/>
  <c r="O95" i="8"/>
  <c r="P95" i="8" s="1"/>
  <c r="O31" i="8"/>
  <c r="P31" i="8" s="1"/>
  <c r="O87" i="8"/>
  <c r="P87" i="8" s="1"/>
  <c r="O23" i="8"/>
  <c r="P23" i="8" s="1"/>
  <c r="E68" i="8"/>
  <c r="F68" i="8" s="1"/>
  <c r="E19" i="8"/>
  <c r="E48" i="8"/>
  <c r="F48" i="8" s="1"/>
  <c r="E55" i="8"/>
  <c r="F55" i="8" s="1"/>
  <c r="E76" i="8"/>
  <c r="F76" i="8" s="1"/>
  <c r="E21" i="8"/>
  <c r="F21" i="8" s="1"/>
  <c r="E28" i="8"/>
  <c r="F28" i="8" s="1"/>
  <c r="E57" i="8"/>
  <c r="F57" i="8" s="1"/>
  <c r="F19" i="8"/>
  <c r="F116" i="8"/>
  <c r="E109" i="8"/>
  <c r="F109" i="8" s="1"/>
  <c r="E17" i="8"/>
  <c r="F17" i="8" s="1"/>
  <c r="E120" i="8"/>
  <c r="F120" i="8" s="1"/>
  <c r="E84" i="8"/>
  <c r="F84" i="8" s="1"/>
  <c r="E126" i="8"/>
  <c r="F126" i="8" s="1"/>
  <c r="E122" i="8"/>
  <c r="F122" i="8" s="1"/>
  <c r="E118" i="8"/>
  <c r="F118" i="8" s="1"/>
  <c r="E114" i="8"/>
  <c r="F114" i="8" s="1"/>
  <c r="E110" i="8"/>
  <c r="F110" i="8" s="1"/>
  <c r="E106" i="8"/>
  <c r="F106" i="8" s="1"/>
  <c r="E102" i="8"/>
  <c r="F102" i="8" s="1"/>
  <c r="E98" i="8"/>
  <c r="F98" i="8" s="1"/>
  <c r="E94" i="8"/>
  <c r="F94" i="8" s="1"/>
  <c r="E90" i="8"/>
  <c r="F90" i="8" s="1"/>
  <c r="E86" i="8"/>
  <c r="F86" i="8" s="1"/>
  <c r="E82" i="8"/>
  <c r="F82" i="8" s="1"/>
  <c r="E78" i="8"/>
  <c r="F78" i="8" s="1"/>
  <c r="E74" i="8"/>
  <c r="F74" i="8" s="1"/>
  <c r="E70" i="8"/>
  <c r="F70" i="8" s="1"/>
  <c r="E66" i="8"/>
  <c r="F66" i="8" s="1"/>
  <c r="E62" i="8"/>
  <c r="F62" i="8" s="1"/>
  <c r="E58" i="8"/>
  <c r="F58" i="8" s="1"/>
  <c r="E54" i="8"/>
  <c r="F54" i="8" s="1"/>
  <c r="E50" i="8"/>
  <c r="F50" i="8" s="1"/>
  <c r="E46" i="8"/>
  <c r="F46" i="8" s="1"/>
  <c r="E42" i="8"/>
  <c r="F42" i="8" s="1"/>
  <c r="E38" i="8"/>
  <c r="F38" i="8" s="1"/>
  <c r="E34" i="8"/>
  <c r="F34" i="8" s="1"/>
  <c r="E30" i="8"/>
  <c r="F30" i="8" s="1"/>
  <c r="E26" i="8"/>
  <c r="F26" i="8" s="1"/>
  <c r="E22" i="8"/>
  <c r="F22" i="8" s="1"/>
  <c r="E18" i="8"/>
  <c r="F18" i="8" s="1"/>
  <c r="E107" i="8"/>
  <c r="F107" i="8" s="1"/>
  <c r="E104" i="8"/>
  <c r="F104" i="8" s="1"/>
  <c r="E101" i="8"/>
  <c r="F101" i="8" s="1"/>
  <c r="E75" i="8"/>
  <c r="F75" i="8" s="1"/>
  <c r="E72" i="8"/>
  <c r="F72" i="8" s="1"/>
  <c r="E69" i="8"/>
  <c r="F69" i="8" s="1"/>
  <c r="E43" i="8"/>
  <c r="F43" i="8" s="1"/>
  <c r="E40" i="8"/>
  <c r="F40" i="8" s="1"/>
  <c r="E37" i="8"/>
  <c r="F37" i="8" s="1"/>
  <c r="E125" i="8"/>
  <c r="F125" i="8" s="1"/>
  <c r="E99" i="8"/>
  <c r="F99" i="8" s="1"/>
  <c r="E96" i="8"/>
  <c r="F96" i="8" s="1"/>
  <c r="E93" i="8"/>
  <c r="F93" i="8" s="1"/>
  <c r="E67" i="8"/>
  <c r="F67" i="8" s="1"/>
  <c r="E64" i="8"/>
  <c r="F64" i="8" s="1"/>
  <c r="E61" i="8"/>
  <c r="F61" i="8" s="1"/>
  <c r="E35" i="8"/>
  <c r="F35" i="8" s="1"/>
  <c r="E32" i="8"/>
  <c r="F32" i="8" s="1"/>
  <c r="E29" i="8"/>
  <c r="F29" i="8" s="1"/>
  <c r="E14" i="8"/>
  <c r="F14" i="8" s="1"/>
  <c r="E10" i="8"/>
  <c r="F10" i="8" s="1"/>
  <c r="E128" i="8"/>
  <c r="F128" i="8" s="1"/>
  <c r="E111" i="8"/>
  <c r="F111" i="8" s="1"/>
  <c r="E108" i="8"/>
  <c r="F108" i="8" s="1"/>
  <c r="E105" i="8"/>
  <c r="F105" i="8" s="1"/>
  <c r="E11" i="8"/>
  <c r="F11" i="8" s="1"/>
  <c r="E23" i="8"/>
  <c r="F23" i="8" s="1"/>
  <c r="E44" i="8"/>
  <c r="F44" i="8" s="1"/>
  <c r="E59" i="8"/>
  <c r="F59" i="8" s="1"/>
  <c r="E88" i="8"/>
  <c r="F88" i="8" s="1"/>
  <c r="E100" i="8"/>
  <c r="F100" i="8" s="1"/>
  <c r="E112" i="8"/>
  <c r="F112" i="8" s="1"/>
  <c r="E16" i="8"/>
  <c r="F16" i="8" s="1"/>
  <c r="E52" i="8"/>
  <c r="F52" i="8" s="1"/>
  <c r="E65" i="8"/>
  <c r="F65" i="8" s="1"/>
  <c r="E27" i="8"/>
  <c r="F27" i="8" s="1"/>
  <c r="E56" i="8"/>
  <c r="F56" i="8" s="1"/>
  <c r="E71" i="8"/>
  <c r="F71" i="8" s="1"/>
  <c r="E73" i="8"/>
  <c r="F73" i="8" s="1"/>
  <c r="E79" i="8"/>
  <c r="F79" i="8" s="1"/>
  <c r="E81" i="8"/>
  <c r="F81" i="8" s="1"/>
  <c r="E83" i="8"/>
  <c r="F83" i="8" s="1"/>
  <c r="E119" i="8"/>
  <c r="F119" i="8" s="1"/>
  <c r="E123" i="8"/>
  <c r="F123" i="8" s="1"/>
  <c r="E20" i="8"/>
  <c r="F20" i="8" s="1"/>
  <c r="E31" i="8"/>
  <c r="F31" i="8" s="1"/>
  <c r="E33" i="8"/>
  <c r="F33" i="8" s="1"/>
  <c r="E45" i="8"/>
  <c r="F45" i="8" s="1"/>
  <c r="E85" i="8"/>
  <c r="F85" i="8" s="1"/>
  <c r="E103" i="8"/>
  <c r="F103" i="8" s="1"/>
  <c r="E115" i="8"/>
  <c r="F115" i="8" s="1"/>
  <c r="E117" i="8"/>
  <c r="F117" i="8" s="1"/>
  <c r="E25" i="8"/>
  <c r="F25" i="8" s="1"/>
  <c r="E36" i="8"/>
  <c r="F36" i="8" s="1"/>
  <c r="E92" i="8"/>
  <c r="F92" i="8" s="1"/>
  <c r="E63" i="8"/>
  <c r="F63" i="8" s="1"/>
  <c r="E77" i="8"/>
  <c r="F77" i="8" s="1"/>
  <c r="E121" i="8"/>
  <c r="F121" i="8" s="1"/>
  <c r="E127" i="8"/>
  <c r="F127" i="8" s="1"/>
  <c r="E13" i="8"/>
  <c r="F13" i="8" s="1"/>
  <c r="E24" i="8"/>
  <c r="F24" i="8" s="1"/>
  <c r="E39" i="8"/>
  <c r="F39" i="8" s="1"/>
  <c r="E41" i="8"/>
  <c r="F41" i="8" s="1"/>
  <c r="E47" i="8"/>
  <c r="F47" i="8" s="1"/>
  <c r="E49" i="8"/>
  <c r="F49" i="8" s="1"/>
  <c r="E51" i="8"/>
  <c r="F51" i="8" s="1"/>
  <c r="E60" i="8"/>
  <c r="F60" i="8" s="1"/>
  <c r="E87" i="8"/>
  <c r="F87" i="8" s="1"/>
  <c r="E89" i="8"/>
  <c r="F89" i="8" s="1"/>
  <c r="E95" i="8"/>
  <c r="F95" i="8" s="1"/>
  <c r="E97" i="8"/>
  <c r="F97" i="8" s="1"/>
  <c r="E113" i="8"/>
  <c r="F113" i="8" s="1"/>
  <c r="E9" i="8"/>
  <c r="E12" i="8"/>
  <c r="F12" i="8" s="1"/>
  <c r="E15" i="8"/>
  <c r="F15" i="8" s="1"/>
  <c r="E53" i="8"/>
  <c r="F53" i="8" s="1"/>
  <c r="E80" i="8"/>
  <c r="F80" i="8" s="1"/>
  <c r="E91" i="8"/>
  <c r="F91" i="8" s="1"/>
  <c r="E124" i="8"/>
  <c r="F124" i="8" s="1"/>
  <c r="G41" i="13" l="1"/>
  <c r="E6" i="3"/>
  <c r="Z10" i="12" s="1"/>
  <c r="E41" i="3"/>
  <c r="E47" i="2"/>
  <c r="E13" i="2"/>
  <c r="E7" i="3"/>
  <c r="B39" i="11"/>
  <c r="D16" i="9"/>
  <c r="G124" i="8"/>
  <c r="H124" i="8" s="1"/>
  <c r="I124" i="8" s="1"/>
  <c r="G21" i="8"/>
  <c r="H21" i="8" s="1"/>
  <c r="I21" i="8" s="1"/>
  <c r="G19" i="8"/>
  <c r="H19" i="8" s="1"/>
  <c r="I19" i="8" s="1"/>
  <c r="G55" i="8"/>
  <c r="H55" i="8" s="1"/>
  <c r="I55" i="8" s="1"/>
  <c r="G28" i="8"/>
  <c r="H28" i="8" s="1"/>
  <c r="I28" i="8" s="1"/>
  <c r="G116" i="8"/>
  <c r="H116" i="8" s="1"/>
  <c r="I116" i="8" s="1"/>
  <c r="G76" i="8"/>
  <c r="H76" i="8" s="1"/>
  <c r="I76" i="8" s="1"/>
  <c r="G92" i="8"/>
  <c r="H92" i="8" s="1"/>
  <c r="I92" i="8" s="1"/>
  <c r="G45" i="8"/>
  <c r="H45" i="8" s="1"/>
  <c r="I45" i="8" s="1"/>
  <c r="G79" i="8"/>
  <c r="H79" i="8" s="1"/>
  <c r="I79" i="8" s="1"/>
  <c r="G112" i="8"/>
  <c r="H112" i="8" s="1"/>
  <c r="I112" i="8" s="1"/>
  <c r="G108" i="8"/>
  <c r="H108" i="8" s="1"/>
  <c r="I108" i="8" s="1"/>
  <c r="G61" i="8"/>
  <c r="H61" i="8" s="1"/>
  <c r="I61" i="8" s="1"/>
  <c r="G40" i="8"/>
  <c r="H40" i="8" s="1"/>
  <c r="I40" i="8" s="1"/>
  <c r="G18" i="8"/>
  <c r="H18" i="8" s="1"/>
  <c r="I18" i="8" s="1"/>
  <c r="G50" i="8"/>
  <c r="H50" i="8" s="1"/>
  <c r="I50" i="8" s="1"/>
  <c r="G82" i="8"/>
  <c r="H82" i="8" s="1"/>
  <c r="I82" i="8" s="1"/>
  <c r="G114" i="8"/>
  <c r="H114" i="8" s="1"/>
  <c r="I114" i="8" s="1"/>
  <c r="G91" i="8"/>
  <c r="H91" i="8" s="1"/>
  <c r="I91" i="8" s="1"/>
  <c r="G95" i="8"/>
  <c r="H95" i="8" s="1"/>
  <c r="I95" i="8" s="1"/>
  <c r="G39" i="8"/>
  <c r="H39" i="8" s="1"/>
  <c r="I39" i="8" s="1"/>
  <c r="G36" i="8"/>
  <c r="H36" i="8" s="1"/>
  <c r="I36" i="8" s="1"/>
  <c r="G33" i="8"/>
  <c r="H33" i="8" s="1"/>
  <c r="I33" i="8" s="1"/>
  <c r="G73" i="8"/>
  <c r="H73" i="8" s="1"/>
  <c r="I73" i="8" s="1"/>
  <c r="G100" i="8"/>
  <c r="H100" i="8" s="1"/>
  <c r="I100" i="8" s="1"/>
  <c r="G111" i="8"/>
  <c r="H111" i="8" s="1"/>
  <c r="I111" i="8" s="1"/>
  <c r="G64" i="8"/>
  <c r="H64" i="8" s="1"/>
  <c r="I64" i="8" s="1"/>
  <c r="G43" i="8"/>
  <c r="H43" i="8" s="1"/>
  <c r="I43" i="8" s="1"/>
  <c r="G22" i="8"/>
  <c r="H22" i="8" s="1"/>
  <c r="I22" i="8" s="1"/>
  <c r="G54" i="8"/>
  <c r="H54" i="8" s="1"/>
  <c r="I54" i="8" s="1"/>
  <c r="G86" i="8"/>
  <c r="H86" i="8" s="1"/>
  <c r="I86" i="8" s="1"/>
  <c r="G118" i="8"/>
  <c r="H118" i="8" s="1"/>
  <c r="I118" i="8" s="1"/>
  <c r="G25" i="8"/>
  <c r="H25" i="8" s="1"/>
  <c r="I25" i="8" s="1"/>
  <c r="G69" i="8"/>
  <c r="H69" i="8" s="1"/>
  <c r="I69" i="8" s="1"/>
  <c r="G58" i="8"/>
  <c r="H58" i="8" s="1"/>
  <c r="I58" i="8" s="1"/>
  <c r="G90" i="8"/>
  <c r="H90" i="8" s="1"/>
  <c r="I90" i="8" s="1"/>
  <c r="G122" i="8"/>
  <c r="H122" i="8" s="1"/>
  <c r="I122" i="8" s="1"/>
  <c r="G89" i="8"/>
  <c r="H89" i="8" s="1"/>
  <c r="I89" i="8" s="1"/>
  <c r="G88" i="8"/>
  <c r="H88" i="8" s="1"/>
  <c r="I88" i="8" s="1"/>
  <c r="G53" i="8"/>
  <c r="H53" i="8" s="1"/>
  <c r="I53" i="8" s="1"/>
  <c r="G93" i="8"/>
  <c r="H93" i="8" s="1"/>
  <c r="I93" i="8" s="1"/>
  <c r="G62" i="8"/>
  <c r="H62" i="8" s="1"/>
  <c r="I62" i="8" s="1"/>
  <c r="G94" i="8"/>
  <c r="H94" i="8" s="1"/>
  <c r="I94" i="8" s="1"/>
  <c r="G126" i="8"/>
  <c r="H126" i="8" s="1"/>
  <c r="I126" i="8" s="1"/>
  <c r="G97" i="8"/>
  <c r="H97" i="8" s="1"/>
  <c r="I97" i="8" s="1"/>
  <c r="G24" i="8"/>
  <c r="H24" i="8" s="1"/>
  <c r="I24" i="8" s="1"/>
  <c r="G67" i="8"/>
  <c r="H67" i="8" s="1"/>
  <c r="I67" i="8" s="1"/>
  <c r="G13" i="8"/>
  <c r="H13" i="8" s="1"/>
  <c r="I13" i="8" s="1"/>
  <c r="G72" i="8"/>
  <c r="H72" i="8" s="1"/>
  <c r="I72" i="8" s="1"/>
  <c r="G127" i="8"/>
  <c r="H127" i="8" s="1"/>
  <c r="I127" i="8" s="1"/>
  <c r="G128" i="8"/>
  <c r="H128" i="8" s="1"/>
  <c r="I128" i="8" s="1"/>
  <c r="G44" i="8"/>
  <c r="H44" i="8" s="1"/>
  <c r="I44" i="8" s="1"/>
  <c r="G41" i="8"/>
  <c r="H41" i="8" s="1"/>
  <c r="I41" i="8" s="1"/>
  <c r="G71" i="8"/>
  <c r="H71" i="8" s="1"/>
  <c r="I71" i="8" s="1"/>
  <c r="G87" i="8"/>
  <c r="H87" i="8" s="1"/>
  <c r="I87" i="8" s="1"/>
  <c r="G59" i="8"/>
  <c r="H59" i="8" s="1"/>
  <c r="I59" i="8" s="1"/>
  <c r="G30" i="8"/>
  <c r="H30" i="8" s="1"/>
  <c r="I30" i="8" s="1"/>
  <c r="G15" i="8"/>
  <c r="H15" i="8" s="1"/>
  <c r="I15" i="8" s="1"/>
  <c r="G60" i="8"/>
  <c r="H60" i="8" s="1"/>
  <c r="I60" i="8" s="1"/>
  <c r="G117" i="8"/>
  <c r="H117" i="8" s="1"/>
  <c r="I117" i="8" s="1"/>
  <c r="G123" i="8"/>
  <c r="H123" i="8" s="1"/>
  <c r="I123" i="8" s="1"/>
  <c r="G27" i="8"/>
  <c r="H27" i="8" s="1"/>
  <c r="I27" i="8" s="1"/>
  <c r="G14" i="8"/>
  <c r="H14" i="8" s="1"/>
  <c r="I14" i="8" s="1"/>
  <c r="G96" i="8"/>
  <c r="H96" i="8" s="1"/>
  <c r="I96" i="8" s="1"/>
  <c r="G75" i="8"/>
  <c r="H75" i="8" s="1"/>
  <c r="I75" i="8" s="1"/>
  <c r="G34" i="8"/>
  <c r="H34" i="8" s="1"/>
  <c r="I34" i="8" s="1"/>
  <c r="G66" i="8"/>
  <c r="H66" i="8" s="1"/>
  <c r="I66" i="8" s="1"/>
  <c r="G98" i="8"/>
  <c r="H98" i="8" s="1"/>
  <c r="I98" i="8" s="1"/>
  <c r="G120" i="8"/>
  <c r="H120" i="8" s="1"/>
  <c r="I120" i="8" s="1"/>
  <c r="G109" i="8"/>
  <c r="H109" i="8" s="1"/>
  <c r="I109" i="8" s="1"/>
  <c r="G12" i="8"/>
  <c r="H12" i="8" s="1"/>
  <c r="I12" i="8" s="1"/>
  <c r="G51" i="8"/>
  <c r="H51" i="8" s="1"/>
  <c r="I51" i="8" s="1"/>
  <c r="G121" i="8"/>
  <c r="H121" i="8" s="1"/>
  <c r="I121" i="8" s="1"/>
  <c r="G115" i="8"/>
  <c r="H115" i="8" s="1"/>
  <c r="I115" i="8" s="1"/>
  <c r="G119" i="8"/>
  <c r="H119" i="8" s="1"/>
  <c r="I119" i="8" s="1"/>
  <c r="G65" i="8"/>
  <c r="H65" i="8" s="1"/>
  <c r="I65" i="8" s="1"/>
  <c r="G23" i="8"/>
  <c r="H23" i="8" s="1"/>
  <c r="I23" i="8" s="1"/>
  <c r="G29" i="8"/>
  <c r="H29" i="8" s="1"/>
  <c r="I29" i="8" s="1"/>
  <c r="G99" i="8"/>
  <c r="H99" i="8" s="1"/>
  <c r="I99" i="8" s="1"/>
  <c r="G101" i="8"/>
  <c r="H101" i="8" s="1"/>
  <c r="I101" i="8" s="1"/>
  <c r="G38" i="8"/>
  <c r="H38" i="8" s="1"/>
  <c r="I38" i="8" s="1"/>
  <c r="G70" i="8"/>
  <c r="H70" i="8" s="1"/>
  <c r="I70" i="8" s="1"/>
  <c r="G102" i="8"/>
  <c r="H102" i="8" s="1"/>
  <c r="I102" i="8" s="1"/>
  <c r="G84" i="8"/>
  <c r="H84" i="8" s="1"/>
  <c r="I84" i="8" s="1"/>
  <c r="G20" i="8"/>
  <c r="H20" i="8" s="1"/>
  <c r="I20" i="8" s="1"/>
  <c r="G9" i="8"/>
  <c r="H9" i="8" s="1"/>
  <c r="I9" i="8" s="1"/>
  <c r="H8" i="8"/>
  <c r="G52" i="8"/>
  <c r="H52" i="8" s="1"/>
  <c r="I52" i="8" s="1"/>
  <c r="G80" i="8"/>
  <c r="H80" i="8" s="1"/>
  <c r="I80" i="8" s="1"/>
  <c r="G31" i="8"/>
  <c r="H31" i="8" s="1"/>
  <c r="I31" i="8" s="1"/>
  <c r="G26" i="8"/>
  <c r="H26" i="8" s="1"/>
  <c r="I26" i="8" s="1"/>
  <c r="G56" i="8"/>
  <c r="H56" i="8" s="1"/>
  <c r="I56" i="8" s="1"/>
  <c r="G10" i="8"/>
  <c r="H10" i="8" s="1"/>
  <c r="I10" i="8" s="1"/>
  <c r="G49" i="8"/>
  <c r="H49" i="8" s="1"/>
  <c r="I49" i="8" s="1"/>
  <c r="G77" i="8"/>
  <c r="H77" i="8" s="1"/>
  <c r="I77" i="8" s="1"/>
  <c r="G103" i="8"/>
  <c r="H103" i="8" s="1"/>
  <c r="I103" i="8" s="1"/>
  <c r="G83" i="8"/>
  <c r="H83" i="8" s="1"/>
  <c r="I83" i="8" s="1"/>
  <c r="G11" i="8"/>
  <c r="H11" i="8" s="1"/>
  <c r="I11" i="8" s="1"/>
  <c r="G32" i="8"/>
  <c r="H32" i="8" s="1"/>
  <c r="I32" i="8" s="1"/>
  <c r="G125" i="8"/>
  <c r="H125" i="8" s="1"/>
  <c r="I125" i="8" s="1"/>
  <c r="G104" i="8"/>
  <c r="H104" i="8" s="1"/>
  <c r="I104" i="8" s="1"/>
  <c r="G42" i="8"/>
  <c r="H42" i="8" s="1"/>
  <c r="I42" i="8" s="1"/>
  <c r="G74" i="8"/>
  <c r="H74" i="8" s="1"/>
  <c r="I74" i="8" s="1"/>
  <c r="G106" i="8"/>
  <c r="H106" i="8" s="1"/>
  <c r="I106" i="8" s="1"/>
  <c r="G17" i="8"/>
  <c r="H17" i="8" s="1"/>
  <c r="I17" i="8" s="1"/>
  <c r="G48" i="8"/>
  <c r="H48" i="8" s="1"/>
  <c r="I48" i="8" s="1"/>
  <c r="G113" i="8"/>
  <c r="H113" i="8" s="1"/>
  <c r="I113" i="8" s="1"/>
  <c r="G47" i="8"/>
  <c r="H47" i="8" s="1"/>
  <c r="I47" i="8" s="1"/>
  <c r="G63" i="8"/>
  <c r="H63" i="8" s="1"/>
  <c r="I63" i="8" s="1"/>
  <c r="G85" i="8"/>
  <c r="H85" i="8" s="1"/>
  <c r="I85" i="8" s="1"/>
  <c r="G81" i="8"/>
  <c r="H81" i="8" s="1"/>
  <c r="I81" i="8" s="1"/>
  <c r="G16" i="8"/>
  <c r="H16" i="8" s="1"/>
  <c r="I16" i="8" s="1"/>
  <c r="G105" i="8"/>
  <c r="H105" i="8" s="1"/>
  <c r="I105" i="8" s="1"/>
  <c r="G35" i="8"/>
  <c r="H35" i="8" s="1"/>
  <c r="I35" i="8" s="1"/>
  <c r="G37" i="8"/>
  <c r="H37" i="8" s="1"/>
  <c r="I37" i="8" s="1"/>
  <c r="G107" i="8"/>
  <c r="H107" i="8" s="1"/>
  <c r="I107" i="8" s="1"/>
  <c r="G46" i="8"/>
  <c r="H46" i="8" s="1"/>
  <c r="I46" i="8" s="1"/>
  <c r="G78" i="8"/>
  <c r="H78" i="8" s="1"/>
  <c r="I78" i="8" s="1"/>
  <c r="G110" i="8"/>
  <c r="H110" i="8" s="1"/>
  <c r="I110" i="8" s="1"/>
  <c r="G57" i="8"/>
  <c r="H57" i="8" s="1"/>
  <c r="I57" i="8" s="1"/>
  <c r="G68" i="8"/>
  <c r="H68" i="8" s="1"/>
  <c r="I68" i="8" s="1"/>
  <c r="AA10" i="12" l="1"/>
  <c r="AF10" i="12"/>
  <c r="V10" i="12"/>
  <c r="AD10" i="12"/>
  <c r="AC10" i="12"/>
  <c r="AB10" i="12"/>
  <c r="X10" i="12"/>
  <c r="W10" i="12"/>
  <c r="AE10" i="12"/>
  <c r="Y10" i="12"/>
  <c r="E48" i="2"/>
  <c r="E42" i="3"/>
  <c r="AA11" i="12"/>
  <c r="AD11" i="12"/>
  <c r="Z11" i="12"/>
  <c r="AB11" i="12"/>
  <c r="X11" i="12"/>
  <c r="W11" i="12"/>
  <c r="Y11" i="12"/>
  <c r="AC11" i="12"/>
  <c r="AF11" i="12"/>
  <c r="AE11" i="12"/>
  <c r="V11" i="12"/>
  <c r="E8" i="3"/>
  <c r="E14" i="2"/>
  <c r="E9" i="3" s="1"/>
  <c r="W45" i="12"/>
  <c r="AA45" i="12"/>
  <c r="AC45" i="12"/>
  <c r="AD45" i="12"/>
  <c r="AF45" i="12"/>
  <c r="AB45" i="12"/>
  <c r="X45" i="12"/>
  <c r="AE45" i="12"/>
  <c r="Y45" i="12"/>
  <c r="Z45" i="12"/>
  <c r="V45" i="12"/>
  <c r="B40" i="11"/>
  <c r="I8" i="8"/>
  <c r="R40" i="8"/>
  <c r="R61" i="8"/>
  <c r="R97" i="8"/>
  <c r="R20" i="8"/>
  <c r="R38" i="8"/>
  <c r="R114" i="8"/>
  <c r="R82" i="8"/>
  <c r="R50" i="8"/>
  <c r="R14" i="8"/>
  <c r="R95" i="8"/>
  <c r="R67" i="8"/>
  <c r="R44" i="8"/>
  <c r="R123" i="8"/>
  <c r="R60" i="8"/>
  <c r="R92" i="8"/>
  <c r="R124" i="8"/>
  <c r="R21" i="8"/>
  <c r="R69" i="8"/>
  <c r="R101" i="8"/>
  <c r="R109" i="8"/>
  <c r="R26" i="8"/>
  <c r="R110" i="8"/>
  <c r="R78" i="8"/>
  <c r="R48" i="8"/>
  <c r="R75" i="8"/>
  <c r="R47" i="8"/>
  <c r="R96" i="8"/>
  <c r="R105" i="8"/>
  <c r="R19" i="8"/>
  <c r="R23" i="8"/>
  <c r="R100" i="8"/>
  <c r="R53" i="8"/>
  <c r="R77" i="8"/>
  <c r="R117" i="8"/>
  <c r="R55" i="8"/>
  <c r="R45" i="8"/>
  <c r="R102" i="8"/>
  <c r="R70" i="8"/>
  <c r="R32" i="8"/>
  <c r="R36" i="8"/>
  <c r="R11" i="8"/>
  <c r="R91" i="8"/>
  <c r="R103" i="8"/>
  <c r="R39" i="8"/>
  <c r="R72" i="8"/>
  <c r="R104" i="8"/>
  <c r="R12" i="8"/>
  <c r="R54" i="8"/>
  <c r="R63" i="8"/>
  <c r="R27" i="8"/>
  <c r="R56" i="8"/>
  <c r="R120" i="8"/>
  <c r="R28" i="8"/>
  <c r="R127" i="8"/>
  <c r="R128" i="8"/>
  <c r="R10" i="8"/>
  <c r="R35" i="8"/>
  <c r="R74" i="8"/>
  <c r="R22" i="8"/>
  <c r="R65" i="8"/>
  <c r="R81" i="8"/>
  <c r="R121" i="8"/>
  <c r="R71" i="8"/>
  <c r="R29" i="8"/>
  <c r="R98" i="8"/>
  <c r="R66" i="8"/>
  <c r="R18" i="8"/>
  <c r="R41" i="8"/>
  <c r="R24" i="8"/>
  <c r="R99" i="8"/>
  <c r="R107" i="8"/>
  <c r="R76" i="8"/>
  <c r="R108" i="8"/>
  <c r="R42" i="8"/>
  <c r="R85" i="8"/>
  <c r="R125" i="8"/>
  <c r="R25" i="8"/>
  <c r="R94" i="8"/>
  <c r="R62" i="8"/>
  <c r="R16" i="8"/>
  <c r="R49" i="8"/>
  <c r="R113" i="8"/>
  <c r="R111" i="8"/>
  <c r="R43" i="8"/>
  <c r="R80" i="8"/>
  <c r="R33" i="8"/>
  <c r="R37" i="8"/>
  <c r="R89" i="8"/>
  <c r="R15" i="8"/>
  <c r="R79" i="8"/>
  <c r="R122" i="8"/>
  <c r="R90" i="8"/>
  <c r="R58" i="8"/>
  <c r="R46" i="8"/>
  <c r="R87" i="8"/>
  <c r="R51" i="8"/>
  <c r="R9" i="8"/>
  <c r="R115" i="8"/>
  <c r="R52" i="8"/>
  <c r="R84" i="8"/>
  <c r="R17" i="8"/>
  <c r="R57" i="8"/>
  <c r="R93" i="8"/>
  <c r="R31" i="8"/>
  <c r="R118" i="8"/>
  <c r="R86" i="8"/>
  <c r="R30" i="8"/>
  <c r="R59" i="8"/>
  <c r="R119" i="8"/>
  <c r="R88" i="8"/>
  <c r="R13" i="8"/>
  <c r="R64" i="8"/>
  <c r="R73" i="8"/>
  <c r="R106" i="8"/>
  <c r="R34" i="8"/>
  <c r="R83" i="8"/>
  <c r="R68" i="8"/>
  <c r="A2" i="1"/>
  <c r="D9" i="2"/>
  <c r="D4" i="3" s="1"/>
  <c r="B10" i="2"/>
  <c r="B5" i="3" s="1"/>
  <c r="C10" i="2"/>
  <c r="C5" i="3" s="1"/>
  <c r="B11" i="2" l="1"/>
  <c r="B6" i="3" s="1"/>
  <c r="Y12" i="12"/>
  <c r="X12" i="12"/>
  <c r="V12" i="12"/>
  <c r="AB12" i="12"/>
  <c r="AC12" i="12"/>
  <c r="W12" i="12"/>
  <c r="AD12" i="12"/>
  <c r="AF12" i="12"/>
  <c r="Z12" i="12"/>
  <c r="AE12" i="12"/>
  <c r="AA12" i="12"/>
  <c r="D10" i="2"/>
  <c r="C11" i="2"/>
  <c r="W46" i="12"/>
  <c r="AC46" i="12"/>
  <c r="X46" i="12"/>
  <c r="AF46" i="12"/>
  <c r="V46" i="12"/>
  <c r="AA46" i="12"/>
  <c r="AD46" i="12"/>
  <c r="AB46" i="12"/>
  <c r="AE46" i="12"/>
  <c r="Z46" i="12"/>
  <c r="Y46" i="12"/>
  <c r="AF13" i="12"/>
  <c r="V13" i="12"/>
  <c r="AB13" i="12"/>
  <c r="X13" i="12"/>
  <c r="AD13" i="12"/>
  <c r="W13" i="12"/>
  <c r="Y13" i="12"/>
  <c r="AE13" i="12"/>
  <c r="AA13" i="12"/>
  <c r="AC13" i="12"/>
  <c r="Z13" i="12"/>
  <c r="E15" i="2"/>
  <c r="E49" i="2"/>
  <c r="E43" i="3"/>
  <c r="B41" i="11"/>
  <c r="R126" i="8"/>
  <c r="S126" i="8" s="1"/>
  <c r="R112" i="8"/>
  <c r="S112" i="8" s="1"/>
  <c r="R116" i="8"/>
  <c r="S116" i="8" s="1"/>
  <c r="S94" i="8"/>
  <c r="S105" i="8"/>
  <c r="S107" i="8"/>
  <c r="S71" i="8"/>
  <c r="S12" i="8"/>
  <c r="S100" i="8"/>
  <c r="S78" i="8"/>
  <c r="S92" i="8"/>
  <c r="S82" i="8"/>
  <c r="S30" i="8"/>
  <c r="S127" i="8"/>
  <c r="S128" i="8"/>
  <c r="S122" i="8"/>
  <c r="S24" i="8"/>
  <c r="S28" i="8"/>
  <c r="S72" i="8"/>
  <c r="S101" i="8"/>
  <c r="S102" i="8"/>
  <c r="S19" i="8"/>
  <c r="S26" i="8"/>
  <c r="S120" i="8"/>
  <c r="S123" i="8"/>
  <c r="S38" i="8"/>
  <c r="S59" i="8"/>
  <c r="S33" i="8"/>
  <c r="S34" i="8"/>
  <c r="S99" i="8"/>
  <c r="S106" i="8"/>
  <c r="S42" i="8"/>
  <c r="S43" i="8"/>
  <c r="S79" i="8"/>
  <c r="S41" i="8"/>
  <c r="S32" i="8"/>
  <c r="S39" i="8"/>
  <c r="S45" i="8"/>
  <c r="S109" i="8"/>
  <c r="S44" i="8"/>
  <c r="S20" i="8"/>
  <c r="S80" i="8"/>
  <c r="S110" i="8"/>
  <c r="S115" i="8"/>
  <c r="S65" i="8"/>
  <c r="S31" i="8"/>
  <c r="R8" i="8"/>
  <c r="S8" i="8" s="1"/>
  <c r="S9" i="8"/>
  <c r="S55" i="8"/>
  <c r="S56" i="8"/>
  <c r="S63" i="8"/>
  <c r="S67" i="8"/>
  <c r="S97" i="8"/>
  <c r="S81" i="8"/>
  <c r="S83" i="8"/>
  <c r="S84" i="8"/>
  <c r="S121" i="8"/>
  <c r="S114" i="8"/>
  <c r="S118" i="8"/>
  <c r="S85" i="8"/>
  <c r="S18" i="8"/>
  <c r="S22" i="8"/>
  <c r="S89" i="8"/>
  <c r="S49" i="8"/>
  <c r="S66" i="8"/>
  <c r="S74" i="8"/>
  <c r="S27" i="8"/>
  <c r="S91" i="8"/>
  <c r="S117" i="8"/>
  <c r="S69" i="8"/>
  <c r="S88" i="8"/>
  <c r="S95" i="8"/>
  <c r="S70" i="8"/>
  <c r="S60" i="8"/>
  <c r="S47" i="8"/>
  <c r="S52" i="8"/>
  <c r="S25" i="8"/>
  <c r="S125" i="8"/>
  <c r="S113" i="8"/>
  <c r="S96" i="8"/>
  <c r="S13" i="8"/>
  <c r="S51" i="8"/>
  <c r="S57" i="8"/>
  <c r="S87" i="8"/>
  <c r="S37" i="8"/>
  <c r="S15" i="8"/>
  <c r="S16" i="8"/>
  <c r="S108" i="8"/>
  <c r="S98" i="8"/>
  <c r="S10" i="8"/>
  <c r="S11" i="8"/>
  <c r="S77" i="8"/>
  <c r="S75" i="8"/>
  <c r="T4" i="8" s="1"/>
  <c r="S21" i="8"/>
  <c r="S14" i="8"/>
  <c r="S40" i="8"/>
  <c r="S58" i="8"/>
  <c r="S90" i="8"/>
  <c r="S104" i="8"/>
  <c r="S23" i="8"/>
  <c r="S86" i="8"/>
  <c r="S73" i="8"/>
  <c r="S111" i="8"/>
  <c r="S64" i="8"/>
  <c r="S103" i="8"/>
  <c r="S93" i="8"/>
  <c r="S68" i="8"/>
  <c r="S119" i="8"/>
  <c r="S17" i="8"/>
  <c r="S46" i="8"/>
  <c r="S61" i="8"/>
  <c r="S62" i="8"/>
  <c r="S76" i="8"/>
  <c r="S29" i="8"/>
  <c r="S54" i="8"/>
  <c r="S35" i="8"/>
  <c r="S36" i="8"/>
  <c r="S53" i="8"/>
  <c r="S48" i="8"/>
  <c r="S124" i="8"/>
  <c r="S50" i="8"/>
  <c r="H5" i="3" l="1"/>
  <c r="M12" i="14"/>
  <c r="AJ12" i="14" s="1"/>
  <c r="AY12" i="14" s="1"/>
  <c r="AZ12" i="14" s="1"/>
  <c r="E12" i="14"/>
  <c r="AK9" i="12"/>
  <c r="B12" i="2"/>
  <c r="B7" i="3" s="1"/>
  <c r="AF47" i="12"/>
  <c r="W47" i="12"/>
  <c r="AA47" i="12"/>
  <c r="AE47" i="12"/>
  <c r="AB47" i="12"/>
  <c r="AD47" i="12"/>
  <c r="Z47" i="12"/>
  <c r="AC47" i="12"/>
  <c r="Y47" i="12"/>
  <c r="X47" i="12"/>
  <c r="V47" i="12"/>
  <c r="E50" i="2"/>
  <c r="E45" i="3" s="1"/>
  <c r="E44" i="3"/>
  <c r="D5" i="3"/>
  <c r="D11" i="2"/>
  <c r="E16" i="2"/>
  <c r="E10" i="3"/>
  <c r="C6" i="3"/>
  <c r="C12" i="2"/>
  <c r="T12" i="14" l="1"/>
  <c r="N12" i="14"/>
  <c r="U12" i="14" s="1"/>
  <c r="B13" i="2"/>
  <c r="B14" i="2" s="1"/>
  <c r="D12" i="2"/>
  <c r="D6" i="3"/>
  <c r="C13" i="2"/>
  <c r="C7" i="3"/>
  <c r="AC49" i="12"/>
  <c r="X49" i="12"/>
  <c r="V49" i="12"/>
  <c r="Z49" i="12"/>
  <c r="AF49" i="12"/>
  <c r="Y49" i="12"/>
  <c r="AB49" i="12"/>
  <c r="AD49" i="12"/>
  <c r="W49" i="12"/>
  <c r="AE49" i="12"/>
  <c r="AA49" i="12"/>
  <c r="W14" i="12"/>
  <c r="Z14" i="12"/>
  <c r="AF14" i="12"/>
  <c r="Y14" i="12"/>
  <c r="AD14" i="12"/>
  <c r="AC14" i="12"/>
  <c r="AB14" i="12"/>
  <c r="V14" i="12"/>
  <c r="X14" i="12"/>
  <c r="AA14" i="12"/>
  <c r="AE14" i="12"/>
  <c r="AD48" i="12"/>
  <c r="AF48" i="12"/>
  <c r="AA48" i="12"/>
  <c r="V48" i="12"/>
  <c r="Y48" i="12"/>
  <c r="X48" i="12"/>
  <c r="AE48" i="12"/>
  <c r="AB48" i="12"/>
  <c r="Z48" i="12"/>
  <c r="AC48" i="12"/>
  <c r="W48" i="12"/>
  <c r="E17" i="2"/>
  <c r="E11" i="3"/>
  <c r="AB12" i="14" l="1"/>
  <c r="AI12" i="14" s="1"/>
  <c r="AK12" i="14" s="1"/>
  <c r="H6" i="3"/>
  <c r="M13" i="14"/>
  <c r="AJ13" i="14" s="1"/>
  <c r="AY13" i="14" s="1"/>
  <c r="AZ13" i="14" s="1"/>
  <c r="E13" i="14"/>
  <c r="AK10" i="12"/>
  <c r="B8" i="3"/>
  <c r="Y15" i="12"/>
  <c r="W15" i="12"/>
  <c r="AA15" i="12"/>
  <c r="AC15" i="12"/>
  <c r="AF15" i="12"/>
  <c r="AE15" i="12"/>
  <c r="V15" i="12"/>
  <c r="AB15" i="12"/>
  <c r="X15" i="12"/>
  <c r="AD15" i="12"/>
  <c r="Z15" i="12"/>
  <c r="B15" i="2"/>
  <c r="B9" i="3"/>
  <c r="C14" i="2"/>
  <c r="C8" i="3"/>
  <c r="E18" i="2"/>
  <c r="E12" i="3"/>
  <c r="D13" i="2"/>
  <c r="D7" i="3"/>
  <c r="AK11" i="12" l="1"/>
  <c r="E14" i="14"/>
  <c r="H7" i="3"/>
  <c r="M14" i="14"/>
  <c r="AJ14" i="14" s="1"/>
  <c r="AY14" i="14" s="1"/>
  <c r="AZ14" i="14" s="1"/>
  <c r="T13" i="14"/>
  <c r="N13" i="14"/>
  <c r="U13" i="14" s="1"/>
  <c r="D14" i="2"/>
  <c r="D8" i="3"/>
  <c r="AB16" i="12"/>
  <c r="AE16" i="12"/>
  <c r="W16" i="12"/>
  <c r="AD16" i="12"/>
  <c r="AF16" i="12"/>
  <c r="AA16" i="12"/>
  <c r="Z16" i="12"/>
  <c r="X16" i="12"/>
  <c r="AC16" i="12"/>
  <c r="Y16" i="12"/>
  <c r="V16" i="12"/>
  <c r="E19" i="2"/>
  <c r="E13" i="3"/>
  <c r="B16" i="2"/>
  <c r="B10" i="3"/>
  <c r="C15" i="2"/>
  <c r="C9" i="3"/>
  <c r="AB13" i="14" l="1"/>
  <c r="AI13" i="14" s="1"/>
  <c r="AK13" i="14" s="1"/>
  <c r="T14" i="14"/>
  <c r="N14" i="14"/>
  <c r="U14" i="14" s="1"/>
  <c r="H8" i="3"/>
  <c r="M15" i="14"/>
  <c r="AJ15" i="14" s="1"/>
  <c r="AY15" i="14" s="1"/>
  <c r="AZ15" i="14" s="1"/>
  <c r="E15" i="14"/>
  <c r="AK12" i="12"/>
  <c r="C16" i="2"/>
  <c r="C10" i="3"/>
  <c r="E20" i="2"/>
  <c r="E14" i="3"/>
  <c r="B17" i="2"/>
  <c r="B11" i="3"/>
  <c r="D15" i="2"/>
  <c r="D9" i="3"/>
  <c r="Z17" i="12"/>
  <c r="AC17" i="12"/>
  <c r="Y17" i="12"/>
  <c r="AE17" i="12"/>
  <c r="AA17" i="12"/>
  <c r="X17" i="12"/>
  <c r="AD17" i="12"/>
  <c r="V17" i="12"/>
  <c r="AF17" i="12"/>
  <c r="AB17" i="12"/>
  <c r="W17" i="12"/>
  <c r="T15" i="14" l="1"/>
  <c r="N15" i="14"/>
  <c r="U15" i="14" s="1"/>
  <c r="E16" i="14"/>
  <c r="AK13" i="12"/>
  <c r="AB14" i="14"/>
  <c r="AI14" i="14" s="1"/>
  <c r="AK14" i="14" s="1"/>
  <c r="H9" i="3"/>
  <c r="M16" i="14"/>
  <c r="AJ16" i="14" s="1"/>
  <c r="AY16" i="14" s="1"/>
  <c r="AZ16" i="14" s="1"/>
  <c r="Z18" i="12"/>
  <c r="AC18" i="12"/>
  <c r="V18" i="12"/>
  <c r="X18" i="12"/>
  <c r="AE18" i="12"/>
  <c r="AD18" i="12"/>
  <c r="W18" i="12"/>
  <c r="AF18" i="12"/>
  <c r="Y18" i="12"/>
  <c r="AB18" i="12"/>
  <c r="AA18" i="12"/>
  <c r="C17" i="2"/>
  <c r="C11" i="3"/>
  <c r="B18" i="2"/>
  <c r="B12" i="3"/>
  <c r="D16" i="2"/>
  <c r="D10" i="3"/>
  <c r="E15" i="3"/>
  <c r="E21" i="2"/>
  <c r="T16" i="14" l="1"/>
  <c r="N16" i="14"/>
  <c r="U16" i="14" s="1"/>
  <c r="H10" i="3"/>
  <c r="M17" i="14"/>
  <c r="AJ17" i="14" s="1"/>
  <c r="AY17" i="14" s="1"/>
  <c r="AZ17" i="14" s="1"/>
  <c r="E17" i="14"/>
  <c r="AK14" i="12"/>
  <c r="AB15" i="14"/>
  <c r="AI15" i="14" s="1"/>
  <c r="AK15" i="14" s="1"/>
  <c r="D17" i="2"/>
  <c r="D11" i="3"/>
  <c r="C18" i="2"/>
  <c r="C12" i="3"/>
  <c r="B19" i="2"/>
  <c r="B13" i="3"/>
  <c r="E22" i="2"/>
  <c r="E16" i="3"/>
  <c r="AF19" i="12"/>
  <c r="Z19" i="12"/>
  <c r="AD19" i="12"/>
  <c r="AB19" i="12"/>
  <c r="Y19" i="12"/>
  <c r="AA19" i="12"/>
  <c r="W19" i="12"/>
  <c r="X19" i="12"/>
  <c r="V19" i="12"/>
  <c r="AE19" i="12"/>
  <c r="AC19" i="12"/>
  <c r="AK15" i="12" l="1"/>
  <c r="E18" i="14"/>
  <c r="H11" i="3"/>
  <c r="M18" i="14"/>
  <c r="AJ18" i="14" s="1"/>
  <c r="AY18" i="14" s="1"/>
  <c r="AZ18" i="14" s="1"/>
  <c r="T17" i="14"/>
  <c r="N17" i="14"/>
  <c r="U17" i="14" s="1"/>
  <c r="AB16" i="14"/>
  <c r="AI16" i="14" s="1"/>
  <c r="AK16" i="14" s="1"/>
  <c r="C19" i="2"/>
  <c r="C13" i="3"/>
  <c r="B20" i="2"/>
  <c r="B14" i="3"/>
  <c r="AE20" i="12"/>
  <c r="AB20" i="12"/>
  <c r="AA20" i="12"/>
  <c r="AC20" i="12"/>
  <c r="Z20" i="12"/>
  <c r="AD20" i="12"/>
  <c r="AF20" i="12"/>
  <c r="Y20" i="12"/>
  <c r="X20" i="12"/>
  <c r="W20" i="12"/>
  <c r="V20" i="12"/>
  <c r="D18" i="2"/>
  <c r="D12" i="3"/>
  <c r="E23" i="2"/>
  <c r="E17" i="3"/>
  <c r="AK16" i="12" l="1"/>
  <c r="E19" i="14"/>
  <c r="AB17" i="14"/>
  <c r="AI17" i="14" s="1"/>
  <c r="AK17" i="14" s="1"/>
  <c r="T18" i="14"/>
  <c r="N18" i="14"/>
  <c r="U18" i="14" s="1"/>
  <c r="H12" i="3"/>
  <c r="M19" i="14"/>
  <c r="AJ19" i="14" s="1"/>
  <c r="AY19" i="14" s="1"/>
  <c r="AZ19" i="14" s="1"/>
  <c r="B21" i="2"/>
  <c r="B15" i="3"/>
  <c r="C20" i="2"/>
  <c r="C14" i="3"/>
  <c r="AC21" i="12"/>
  <c r="AD21" i="12"/>
  <c r="Y21" i="12"/>
  <c r="Z21" i="12"/>
  <c r="X21" i="12"/>
  <c r="AE21" i="12"/>
  <c r="W21" i="12"/>
  <c r="AF21" i="12"/>
  <c r="V21" i="12"/>
  <c r="AB21" i="12"/>
  <c r="AA21" i="12"/>
  <c r="E24" i="2"/>
  <c r="E18" i="3"/>
  <c r="D19" i="2"/>
  <c r="D13" i="3"/>
  <c r="T19" i="14" l="1"/>
  <c r="N19" i="14"/>
  <c r="U19" i="14" s="1"/>
  <c r="AB18" i="14"/>
  <c r="AI18" i="14" s="1"/>
  <c r="AK18" i="14" s="1"/>
  <c r="H13" i="3"/>
  <c r="M20" i="14"/>
  <c r="AJ20" i="14" s="1"/>
  <c r="AY20" i="14" s="1"/>
  <c r="AZ20" i="14" s="1"/>
  <c r="E20" i="14"/>
  <c r="AK17" i="12"/>
  <c r="D20" i="2"/>
  <c r="D14" i="3"/>
  <c r="AF22" i="12"/>
  <c r="Y22" i="12"/>
  <c r="AB22" i="12"/>
  <c r="AD22" i="12"/>
  <c r="AA22" i="12"/>
  <c r="AC22" i="12"/>
  <c r="Z22" i="12"/>
  <c r="X22" i="12"/>
  <c r="V22" i="12"/>
  <c r="AE22" i="12"/>
  <c r="W22" i="12"/>
  <c r="C21" i="2"/>
  <c r="C15" i="3"/>
  <c r="E25" i="2"/>
  <c r="E19" i="3"/>
  <c r="B22" i="2"/>
  <c r="B16" i="3"/>
  <c r="E21" i="14" l="1"/>
  <c r="AK18" i="12"/>
  <c r="T20" i="14"/>
  <c r="N20" i="14"/>
  <c r="U20" i="14" s="1"/>
  <c r="AB20" i="14" s="1"/>
  <c r="AI20" i="14" s="1"/>
  <c r="AK20" i="14" s="1"/>
  <c r="H14" i="3"/>
  <c r="M21" i="14"/>
  <c r="AJ21" i="14" s="1"/>
  <c r="AY21" i="14" s="1"/>
  <c r="AZ21" i="14" s="1"/>
  <c r="AB19" i="14"/>
  <c r="AI19" i="14" s="1"/>
  <c r="AK19" i="14" s="1"/>
  <c r="B23" i="2"/>
  <c r="B17" i="3"/>
  <c r="E26" i="2"/>
  <c r="E20" i="3"/>
  <c r="X23" i="12"/>
  <c r="AD23" i="12"/>
  <c r="AA23" i="12"/>
  <c r="Y23" i="12"/>
  <c r="AF23" i="12"/>
  <c r="AB23" i="12"/>
  <c r="Z23" i="12"/>
  <c r="W23" i="12"/>
  <c r="AC23" i="12"/>
  <c r="V23" i="12"/>
  <c r="AE23" i="12"/>
  <c r="C22" i="2"/>
  <c r="C16" i="3"/>
  <c r="D21" i="2"/>
  <c r="D15" i="3"/>
  <c r="AK19" i="12" l="1"/>
  <c r="E22" i="14"/>
  <c r="H15" i="3"/>
  <c r="M22" i="14"/>
  <c r="AJ22" i="14" s="1"/>
  <c r="AY22" i="14" s="1"/>
  <c r="AZ22" i="14" s="1"/>
  <c r="T21" i="14"/>
  <c r="N21" i="14"/>
  <c r="U21" i="14" s="1"/>
  <c r="D22" i="2"/>
  <c r="D16" i="3"/>
  <c r="C23" i="2"/>
  <c r="C17" i="3"/>
  <c r="AA24" i="12"/>
  <c r="Z24" i="12"/>
  <c r="V24" i="12"/>
  <c r="AC24" i="12"/>
  <c r="X24" i="12"/>
  <c r="Y24" i="12"/>
  <c r="W24" i="12"/>
  <c r="AF24" i="12"/>
  <c r="AB24" i="12"/>
  <c r="AD24" i="12"/>
  <c r="AE24" i="12"/>
  <c r="E21" i="3"/>
  <c r="E27" i="2"/>
  <c r="B24" i="2"/>
  <c r="B18" i="3"/>
  <c r="E23" i="14" l="1"/>
  <c r="AK20" i="12"/>
  <c r="AB21" i="14"/>
  <c r="AI21" i="14" s="1"/>
  <c r="AK21" i="14" s="1"/>
  <c r="T22" i="14"/>
  <c r="N22" i="14"/>
  <c r="U22" i="14" s="1"/>
  <c r="H16" i="3"/>
  <c r="M23" i="14"/>
  <c r="AJ23" i="14" s="1"/>
  <c r="AY23" i="14" s="1"/>
  <c r="AZ23" i="14" s="1"/>
  <c r="C24" i="2"/>
  <c r="C18" i="3"/>
  <c r="X25" i="12"/>
  <c r="AE25" i="12"/>
  <c r="W25" i="12"/>
  <c r="AF25" i="12"/>
  <c r="AC25" i="12"/>
  <c r="AA25" i="12"/>
  <c r="AB25" i="12"/>
  <c r="AD25" i="12"/>
  <c r="V25" i="12"/>
  <c r="Z25" i="12"/>
  <c r="Y25" i="12"/>
  <c r="D23" i="2"/>
  <c r="D17" i="3"/>
  <c r="B25" i="2"/>
  <c r="B19" i="3"/>
  <c r="E28" i="2"/>
  <c r="E22" i="3"/>
  <c r="T23" i="14" l="1"/>
  <c r="N23" i="14"/>
  <c r="U23" i="14" s="1"/>
  <c r="E24" i="14"/>
  <c r="AK21" i="12"/>
  <c r="AB22" i="14"/>
  <c r="AI22" i="14" s="1"/>
  <c r="AK22" i="14" s="1"/>
  <c r="H17" i="3"/>
  <c r="M24" i="14"/>
  <c r="AJ24" i="14" s="1"/>
  <c r="AY24" i="14" s="1"/>
  <c r="AZ24" i="14" s="1"/>
  <c r="D24" i="2"/>
  <c r="D18" i="3"/>
  <c r="AE26" i="12"/>
  <c r="AC26" i="12"/>
  <c r="AB26" i="12"/>
  <c r="W26" i="12"/>
  <c r="X26" i="12"/>
  <c r="Y26" i="12"/>
  <c r="AD26" i="12"/>
  <c r="AA26" i="12"/>
  <c r="Z26" i="12"/>
  <c r="V26" i="12"/>
  <c r="AF26" i="12"/>
  <c r="B26" i="2"/>
  <c r="B20" i="3"/>
  <c r="E29" i="2"/>
  <c r="E23" i="3"/>
  <c r="C25" i="2"/>
  <c r="C19" i="3"/>
  <c r="T24" i="14" l="1"/>
  <c r="N24" i="14"/>
  <c r="U24" i="14" s="1"/>
  <c r="AK22" i="12"/>
  <c r="E25" i="14"/>
  <c r="H18" i="3"/>
  <c r="M25" i="14"/>
  <c r="AJ25" i="14" s="1"/>
  <c r="AY25" i="14" s="1"/>
  <c r="AZ25" i="14" s="1"/>
  <c r="AB23" i="14"/>
  <c r="AI23" i="14" s="1"/>
  <c r="AK23" i="14" s="1"/>
  <c r="B27" i="2"/>
  <c r="B21" i="3"/>
  <c r="C26" i="2"/>
  <c r="C20" i="3"/>
  <c r="Z27" i="12"/>
  <c r="AF27" i="12"/>
  <c r="AC27" i="12"/>
  <c r="AB27" i="12"/>
  <c r="V27" i="12"/>
  <c r="W27" i="12"/>
  <c r="AD27" i="12"/>
  <c r="Y27" i="12"/>
  <c r="X27" i="12"/>
  <c r="AE27" i="12"/>
  <c r="AA27" i="12"/>
  <c r="E30" i="2"/>
  <c r="E24" i="3"/>
  <c r="D25" i="2"/>
  <c r="D19" i="3"/>
  <c r="H19" i="3" l="1"/>
  <c r="M26" i="14"/>
  <c r="AJ26" i="14" s="1"/>
  <c r="AY26" i="14" s="1"/>
  <c r="AZ26" i="14" s="1"/>
  <c r="T25" i="14"/>
  <c r="N25" i="14"/>
  <c r="U25" i="14" s="1"/>
  <c r="AK23" i="12"/>
  <c r="E26" i="14"/>
  <c r="AB24" i="14"/>
  <c r="AI24" i="14" s="1"/>
  <c r="AK24" i="14" s="1"/>
  <c r="D26" i="2"/>
  <c r="D20" i="3"/>
  <c r="C27" i="2"/>
  <c r="C21" i="3"/>
  <c r="Y28" i="12"/>
  <c r="V28" i="12"/>
  <c r="Z28" i="12"/>
  <c r="AF28" i="12"/>
  <c r="AD28" i="12"/>
  <c r="X28" i="12"/>
  <c r="AE28" i="12"/>
  <c r="AB28" i="12"/>
  <c r="AA28" i="12"/>
  <c r="W28" i="12"/>
  <c r="AC28" i="12"/>
  <c r="E31" i="2"/>
  <c r="E25" i="3"/>
  <c r="B28" i="2"/>
  <c r="B22" i="3"/>
  <c r="H20" i="3" l="1"/>
  <c r="M27" i="14"/>
  <c r="AJ27" i="14" s="1"/>
  <c r="AY27" i="14" s="1"/>
  <c r="AZ27" i="14" s="1"/>
  <c r="AB25" i="14"/>
  <c r="AI25" i="14" s="1"/>
  <c r="AK25" i="14" s="1"/>
  <c r="E27" i="14"/>
  <c r="AK24" i="12"/>
  <c r="T26" i="14"/>
  <c r="N26" i="14"/>
  <c r="U26" i="14" s="1"/>
  <c r="AA29" i="12"/>
  <c r="AC29" i="12"/>
  <c r="W29" i="12"/>
  <c r="Y29" i="12"/>
  <c r="Z29" i="12"/>
  <c r="AF29" i="12"/>
  <c r="V29" i="12"/>
  <c r="AE29" i="12"/>
  <c r="AB29" i="12"/>
  <c r="X29" i="12"/>
  <c r="AD29" i="12"/>
  <c r="D27" i="2"/>
  <c r="D21" i="3"/>
  <c r="B29" i="2"/>
  <c r="B23" i="3"/>
  <c r="E26" i="3"/>
  <c r="E32" i="2"/>
  <c r="C28" i="2"/>
  <c r="C22" i="3"/>
  <c r="H21" i="3" l="1"/>
  <c r="M28" i="14"/>
  <c r="AJ28" i="14" s="1"/>
  <c r="AY28" i="14" s="1"/>
  <c r="AZ28" i="14" s="1"/>
  <c r="AB26" i="14"/>
  <c r="AI26" i="14" s="1"/>
  <c r="AK26" i="14" s="1"/>
  <c r="E28" i="14"/>
  <c r="AK25" i="12"/>
  <c r="T27" i="14"/>
  <c r="N27" i="14"/>
  <c r="U27" i="14" s="1"/>
  <c r="Z30" i="12"/>
  <c r="AE30" i="12"/>
  <c r="Y30" i="12"/>
  <c r="AA30" i="12"/>
  <c r="AD30" i="12"/>
  <c r="AF30" i="12"/>
  <c r="V30" i="12"/>
  <c r="AB30" i="12"/>
  <c r="X30" i="12"/>
  <c r="W30" i="12"/>
  <c r="AC30" i="12"/>
  <c r="D28" i="2"/>
  <c r="D22" i="3"/>
  <c r="E27" i="3"/>
  <c r="E33" i="2"/>
  <c r="C29" i="2"/>
  <c r="C23" i="3"/>
  <c r="B30" i="2"/>
  <c r="B24" i="3"/>
  <c r="E29" i="14" l="1"/>
  <c r="AK26" i="12"/>
  <c r="H22" i="3"/>
  <c r="M29" i="14"/>
  <c r="AJ29" i="14" s="1"/>
  <c r="AY29" i="14" s="1"/>
  <c r="AZ29" i="14" s="1"/>
  <c r="AB27" i="14"/>
  <c r="AI27" i="14" s="1"/>
  <c r="AK27" i="14" s="1"/>
  <c r="T28" i="14"/>
  <c r="N28" i="14"/>
  <c r="U28" i="14" s="1"/>
  <c r="AB28" i="14" s="1"/>
  <c r="AI28" i="14" s="1"/>
  <c r="AK28" i="14" s="1"/>
  <c r="B31" i="2"/>
  <c r="B25" i="3"/>
  <c r="D29" i="2"/>
  <c r="D23" i="3"/>
  <c r="X31" i="12"/>
  <c r="AD31" i="12"/>
  <c r="W31" i="12"/>
  <c r="AA31" i="12"/>
  <c r="AC31" i="12"/>
  <c r="V31" i="12"/>
  <c r="AF31" i="12"/>
  <c r="Z31" i="12"/>
  <c r="Y31" i="12"/>
  <c r="AE31" i="12"/>
  <c r="AB31" i="12"/>
  <c r="C30" i="2"/>
  <c r="C24" i="3"/>
  <c r="E34" i="2"/>
  <c r="E28" i="3"/>
  <c r="AK27" i="12" l="1"/>
  <c r="E30" i="14"/>
  <c r="T29" i="14"/>
  <c r="N29" i="14"/>
  <c r="U29" i="14" s="1"/>
  <c r="H23" i="3"/>
  <c r="M30" i="14"/>
  <c r="AJ30" i="14" s="1"/>
  <c r="AY30" i="14" s="1"/>
  <c r="AZ30" i="14" s="1"/>
  <c r="X32" i="12"/>
  <c r="AC32" i="12"/>
  <c r="AE32" i="12"/>
  <c r="V32" i="12"/>
  <c r="AF32" i="12"/>
  <c r="AD32" i="12"/>
  <c r="W32" i="12"/>
  <c r="AA32" i="12"/>
  <c r="Z32" i="12"/>
  <c r="Y32" i="12"/>
  <c r="AB32" i="12"/>
  <c r="E35" i="2"/>
  <c r="E29" i="3"/>
  <c r="C31" i="2"/>
  <c r="C25" i="3"/>
  <c r="D30" i="2"/>
  <c r="D24" i="3"/>
  <c r="B32" i="2"/>
  <c r="B26" i="3"/>
  <c r="H24" i="3" l="1"/>
  <c r="M31" i="14"/>
  <c r="AJ31" i="14" s="1"/>
  <c r="AY31" i="14" s="1"/>
  <c r="AZ31" i="14" s="1"/>
  <c r="T30" i="14"/>
  <c r="N30" i="14"/>
  <c r="U30" i="14" s="1"/>
  <c r="AB29" i="14"/>
  <c r="AI29" i="14" s="1"/>
  <c r="AK29" i="14" s="1"/>
  <c r="E31" i="14"/>
  <c r="AK28" i="12"/>
  <c r="W33" i="12"/>
  <c r="AB33" i="12"/>
  <c r="V33" i="12"/>
  <c r="Z33" i="12"/>
  <c r="AC33" i="12"/>
  <c r="AF33" i="12"/>
  <c r="AE33" i="12"/>
  <c r="AD33" i="12"/>
  <c r="AA33" i="12"/>
  <c r="X33" i="12"/>
  <c r="Y33" i="12"/>
  <c r="D31" i="2"/>
  <c r="D25" i="3"/>
  <c r="B33" i="2"/>
  <c r="B27" i="3"/>
  <c r="E36" i="2"/>
  <c r="E30" i="3"/>
  <c r="C32" i="2"/>
  <c r="C26" i="3"/>
  <c r="AB30" i="14" l="1"/>
  <c r="AI30" i="14" s="1"/>
  <c r="AK30" i="14" s="1"/>
  <c r="E32" i="14"/>
  <c r="AK29" i="12"/>
  <c r="H25" i="3"/>
  <c r="M32" i="14"/>
  <c r="AJ32" i="14" s="1"/>
  <c r="AY32" i="14" s="1"/>
  <c r="AZ32" i="14" s="1"/>
  <c r="T31" i="14"/>
  <c r="N31" i="14"/>
  <c r="U31" i="14" s="1"/>
  <c r="C33" i="2"/>
  <c r="C27" i="3"/>
  <c r="D32" i="2"/>
  <c r="D26" i="3"/>
  <c r="E31" i="3"/>
  <c r="E37" i="2"/>
  <c r="AF34" i="12"/>
  <c r="AC34" i="12"/>
  <c r="AB34" i="12"/>
  <c r="Y34" i="12"/>
  <c r="W34" i="12"/>
  <c r="AE34" i="12"/>
  <c r="V34" i="12"/>
  <c r="AA34" i="12"/>
  <c r="AD34" i="12"/>
  <c r="Z34" i="12"/>
  <c r="X34" i="12"/>
  <c r="B34" i="2"/>
  <c r="B28" i="3"/>
  <c r="AB31" i="14" l="1"/>
  <c r="AI31" i="14" s="1"/>
  <c r="AK31" i="14" s="1"/>
  <c r="E33" i="14"/>
  <c r="AK30" i="12"/>
  <c r="T32" i="14"/>
  <c r="N32" i="14"/>
  <c r="U32" i="14" s="1"/>
  <c r="H26" i="3"/>
  <c r="M33" i="14"/>
  <c r="AJ33" i="14" s="1"/>
  <c r="AY33" i="14" s="1"/>
  <c r="AZ33" i="14" s="1"/>
  <c r="B35" i="2"/>
  <c r="B29" i="3"/>
  <c r="AD35" i="12"/>
  <c r="AE35" i="12"/>
  <c r="AA35" i="12"/>
  <c r="AF35" i="12"/>
  <c r="Z35" i="12"/>
  <c r="V35" i="12"/>
  <c r="AC35" i="12"/>
  <c r="AB35" i="12"/>
  <c r="Y35" i="12"/>
  <c r="X35" i="12"/>
  <c r="W35" i="12"/>
  <c r="C34" i="2"/>
  <c r="C28" i="3"/>
  <c r="E38" i="2"/>
  <c r="E32" i="3"/>
  <c r="D33" i="2"/>
  <c r="D27" i="3"/>
  <c r="E34" i="14" l="1"/>
  <c r="AK31" i="12"/>
  <c r="AB32" i="14"/>
  <c r="AI32" i="14" s="1"/>
  <c r="AK32" i="14" s="1"/>
  <c r="T33" i="14"/>
  <c r="N33" i="14"/>
  <c r="U33" i="14" s="1"/>
  <c r="H27" i="3"/>
  <c r="M34" i="14"/>
  <c r="AJ34" i="14" s="1"/>
  <c r="AY34" i="14" s="1"/>
  <c r="AZ34" i="14" s="1"/>
  <c r="X36" i="12"/>
  <c r="AC36" i="12"/>
  <c r="Z36" i="12"/>
  <c r="AE36" i="12"/>
  <c r="AA36" i="12"/>
  <c r="AD36" i="12"/>
  <c r="AB36" i="12"/>
  <c r="W36" i="12"/>
  <c r="V36" i="12"/>
  <c r="Y36" i="12"/>
  <c r="AF36" i="12"/>
  <c r="E39" i="2"/>
  <c r="E33" i="3"/>
  <c r="D34" i="2"/>
  <c r="D28" i="3"/>
  <c r="C35" i="2"/>
  <c r="C29" i="3"/>
  <c r="B36" i="2"/>
  <c r="B30" i="3"/>
  <c r="H28" i="3" l="1"/>
  <c r="M35" i="14"/>
  <c r="AJ35" i="14" s="1"/>
  <c r="AY35" i="14" s="1"/>
  <c r="AZ35" i="14" s="1"/>
  <c r="AB33" i="14"/>
  <c r="AI33" i="14" s="1"/>
  <c r="AK33" i="14" s="1"/>
  <c r="E35" i="14"/>
  <c r="AK32" i="12"/>
  <c r="T34" i="14"/>
  <c r="N34" i="14"/>
  <c r="U34" i="14" s="1"/>
  <c r="AA37" i="12"/>
  <c r="V37" i="12"/>
  <c r="AB37" i="12"/>
  <c r="AD37" i="12"/>
  <c r="AC37" i="12"/>
  <c r="W37" i="12"/>
  <c r="Y37" i="12"/>
  <c r="Z37" i="12"/>
  <c r="AF37" i="12"/>
  <c r="X37" i="12"/>
  <c r="AE37" i="12"/>
  <c r="B37" i="2"/>
  <c r="B31" i="3"/>
  <c r="C36" i="2"/>
  <c r="C30" i="3"/>
  <c r="E34" i="3"/>
  <c r="E40" i="2"/>
  <c r="E35" i="3" s="1"/>
  <c r="D35" i="2"/>
  <c r="D29" i="3"/>
  <c r="AB34" i="14" l="1"/>
  <c r="AI34" i="14" s="1"/>
  <c r="AK34" i="14" s="1"/>
  <c r="E36" i="14"/>
  <c r="AK33" i="12"/>
  <c r="T35" i="14"/>
  <c r="N35" i="14"/>
  <c r="U35" i="14" s="1"/>
  <c r="H29" i="3"/>
  <c r="M36" i="14"/>
  <c r="AJ36" i="14" s="1"/>
  <c r="AY36" i="14" s="1"/>
  <c r="AZ36" i="14" s="1"/>
  <c r="D36" i="2"/>
  <c r="D30" i="3"/>
  <c r="Y39" i="12"/>
  <c r="W39" i="12"/>
  <c r="AC39" i="12"/>
  <c r="AF39" i="12"/>
  <c r="X39" i="12"/>
  <c r="AD39" i="12"/>
  <c r="V39" i="12"/>
  <c r="AB39" i="12"/>
  <c r="AE39" i="12"/>
  <c r="AA39" i="12"/>
  <c r="Z39" i="12"/>
  <c r="B38" i="2"/>
  <c r="B32" i="3"/>
  <c r="Y38" i="12"/>
  <c r="V38" i="12"/>
  <c r="W38" i="12"/>
  <c r="AF38" i="12"/>
  <c r="AD38" i="12"/>
  <c r="AA38" i="12"/>
  <c r="AE38" i="12"/>
  <c r="AB38" i="12"/>
  <c r="AC38" i="12"/>
  <c r="X38" i="12"/>
  <c r="Z38" i="12"/>
  <c r="C37" i="2"/>
  <c r="C31" i="3"/>
  <c r="T36" i="14" l="1"/>
  <c r="N36" i="14"/>
  <c r="U36" i="14" s="1"/>
  <c r="AB36" i="14" s="1"/>
  <c r="AI36" i="14" s="1"/>
  <c r="AK36" i="14" s="1"/>
  <c r="AB35" i="14"/>
  <c r="AI35" i="14" s="1"/>
  <c r="AK35" i="14" s="1"/>
  <c r="H30" i="3"/>
  <c r="M37" i="14"/>
  <c r="AJ37" i="14" s="1"/>
  <c r="AY37" i="14" s="1"/>
  <c r="AZ37" i="14" s="1"/>
  <c r="E37" i="14"/>
  <c r="AK34" i="12"/>
  <c r="D37" i="2"/>
  <c r="D31" i="3"/>
  <c r="C38" i="2"/>
  <c r="C32" i="3"/>
  <c r="B39" i="2"/>
  <c r="B33" i="3"/>
  <c r="T37" i="14" l="1"/>
  <c r="N37" i="14"/>
  <c r="U37" i="14" s="1"/>
  <c r="AB37" i="14" s="1"/>
  <c r="AI37" i="14" s="1"/>
  <c r="AK37" i="14" s="1"/>
  <c r="H31" i="3"/>
  <c r="M38" i="14"/>
  <c r="AJ38" i="14" s="1"/>
  <c r="AY38" i="14" s="1"/>
  <c r="AZ38" i="14" s="1"/>
  <c r="AK35" i="12"/>
  <c r="E38" i="14"/>
  <c r="C39" i="2"/>
  <c r="C33" i="3"/>
  <c r="D38" i="2"/>
  <c r="D32" i="3"/>
  <c r="B40" i="2"/>
  <c r="B34" i="3"/>
  <c r="E39" i="14" l="1"/>
  <c r="AK36" i="12"/>
  <c r="H32" i="3"/>
  <c r="M39" i="14"/>
  <c r="AJ39" i="14" s="1"/>
  <c r="AY39" i="14" s="1"/>
  <c r="AZ39" i="14" s="1"/>
  <c r="T38" i="14"/>
  <c r="N38" i="14"/>
  <c r="U38" i="14" s="1"/>
  <c r="C40" i="2"/>
  <c r="C34" i="3"/>
  <c r="B41" i="2"/>
  <c r="B35" i="3"/>
  <c r="D39" i="2"/>
  <c r="D33" i="3"/>
  <c r="H33" i="3" l="1"/>
  <c r="M40" i="14"/>
  <c r="AJ40" i="14" s="1"/>
  <c r="AY40" i="14" s="1"/>
  <c r="AZ40" i="14" s="1"/>
  <c r="E40" i="14"/>
  <c r="AK37" i="12"/>
  <c r="AB38" i="14"/>
  <c r="AI38" i="14" s="1"/>
  <c r="AK38" i="14" s="1"/>
  <c r="T39" i="14"/>
  <c r="N39" i="14"/>
  <c r="U39" i="14" s="1"/>
  <c r="D40" i="2"/>
  <c r="D34" i="3"/>
  <c r="B42" i="2"/>
  <c r="B36" i="3"/>
  <c r="C41" i="2"/>
  <c r="C35" i="3"/>
  <c r="E41" i="14" l="1"/>
  <c r="AK38" i="12"/>
  <c r="AB39" i="14"/>
  <c r="AI39" i="14" s="1"/>
  <c r="AK39" i="14" s="1"/>
  <c r="H34" i="3"/>
  <c r="M41" i="14"/>
  <c r="AJ41" i="14" s="1"/>
  <c r="AY41" i="14" s="1"/>
  <c r="AZ41" i="14" s="1"/>
  <c r="T40" i="14"/>
  <c r="N40" i="14"/>
  <c r="U40" i="14" s="1"/>
  <c r="C42" i="2"/>
  <c r="C36" i="3"/>
  <c r="B43" i="2"/>
  <c r="B37" i="3"/>
  <c r="D41" i="2"/>
  <c r="D35" i="3"/>
  <c r="H35" i="3" l="1"/>
  <c r="M42" i="14"/>
  <c r="AJ42" i="14" s="1"/>
  <c r="AY42" i="14" s="1"/>
  <c r="AZ42" i="14" s="1"/>
  <c r="AB40" i="14"/>
  <c r="AI40" i="14" s="1"/>
  <c r="AK40" i="14" s="1"/>
  <c r="T41" i="14"/>
  <c r="N41" i="14"/>
  <c r="U41" i="14" s="1"/>
  <c r="E42" i="14"/>
  <c r="AK39" i="12"/>
  <c r="B44" i="2"/>
  <c r="B38" i="3"/>
  <c r="D42" i="2"/>
  <c r="D36" i="3"/>
  <c r="C43" i="2"/>
  <c r="C37" i="3"/>
  <c r="AB41" i="14" l="1"/>
  <c r="AI41" i="14" s="1"/>
  <c r="AK41" i="14" s="1"/>
  <c r="H36" i="3"/>
  <c r="M43" i="14"/>
  <c r="AJ43" i="14" s="1"/>
  <c r="AK40" i="12"/>
  <c r="E43" i="14"/>
  <c r="T42" i="14"/>
  <c r="N42" i="14"/>
  <c r="U42" i="14" s="1"/>
  <c r="D43" i="2"/>
  <c r="D37" i="3"/>
  <c r="C38" i="3"/>
  <c r="C44" i="2"/>
  <c r="B45" i="2"/>
  <c r="B39" i="3"/>
  <c r="E44" i="14" l="1"/>
  <c r="AK41" i="12"/>
  <c r="AB42" i="14"/>
  <c r="AI42" i="14" s="1"/>
  <c r="AK42" i="14" s="1"/>
  <c r="T43" i="14"/>
  <c r="N43" i="14"/>
  <c r="U43" i="14" s="1"/>
  <c r="H37" i="3"/>
  <c r="M44" i="14"/>
  <c r="AJ44" i="14" s="1"/>
  <c r="C45" i="2"/>
  <c r="C39" i="3"/>
  <c r="B46" i="2"/>
  <c r="B40" i="3"/>
  <c r="D44" i="2"/>
  <c r="D38" i="3"/>
  <c r="H38" i="3" l="1"/>
  <c r="M45" i="14"/>
  <c r="AJ45" i="14" s="1"/>
  <c r="AB43" i="14"/>
  <c r="T44" i="14"/>
  <c r="N44" i="14"/>
  <c r="U44" i="14" s="1"/>
  <c r="AB44" i="14" s="1"/>
  <c r="E45" i="14"/>
  <c r="AK42" i="12"/>
  <c r="B47" i="2"/>
  <c r="B41" i="3"/>
  <c r="D45" i="2"/>
  <c r="D39" i="3"/>
  <c r="C46" i="2"/>
  <c r="C40" i="3"/>
  <c r="H39" i="3" l="1"/>
  <c r="M46" i="14"/>
  <c r="T45" i="14"/>
  <c r="N45" i="14"/>
  <c r="U45" i="14" s="1"/>
  <c r="AB45" i="14" s="1"/>
  <c r="AK43" i="12"/>
  <c r="E46" i="14"/>
  <c r="C47" i="2"/>
  <c r="C41" i="3"/>
  <c r="D46" i="2"/>
  <c r="D40" i="3"/>
  <c r="M47" i="14"/>
  <c r="B48" i="2"/>
  <c r="B42" i="3"/>
  <c r="E47" i="14" l="1"/>
  <c r="AK44" i="12"/>
  <c r="T46" i="14"/>
  <c r="N46" i="14"/>
  <c r="U46" i="14" s="1"/>
  <c r="T47" i="14"/>
  <c r="N47" i="14"/>
  <c r="U47" i="14" s="1"/>
  <c r="B49" i="2"/>
  <c r="B43" i="3"/>
  <c r="M48" i="14"/>
  <c r="H40" i="3"/>
  <c r="D47" i="2"/>
  <c r="D41" i="3"/>
  <c r="C48" i="2"/>
  <c r="C42" i="3"/>
  <c r="AB47" i="14" l="1"/>
  <c r="AI44" i="14" s="1"/>
  <c r="AK44" i="14" s="1"/>
  <c r="T48" i="14"/>
  <c r="N48" i="14"/>
  <c r="U48" i="14" s="1"/>
  <c r="AB46" i="14"/>
  <c r="AI43" i="14" s="1"/>
  <c r="AK43" i="14" s="1"/>
  <c r="I41" i="3"/>
  <c r="F48" i="14" s="1"/>
  <c r="E48" i="14"/>
  <c r="AK45" i="12"/>
  <c r="C49" i="2"/>
  <c r="C43" i="3"/>
  <c r="M49" i="14"/>
  <c r="H41" i="3"/>
  <c r="D48" i="2"/>
  <c r="D42" i="3"/>
  <c r="I42" i="3" s="1"/>
  <c r="F49" i="14" s="1"/>
  <c r="B50" i="2"/>
  <c r="B45" i="3" s="1"/>
  <c r="B44" i="3"/>
  <c r="E49" i="14" l="1"/>
  <c r="AK46" i="12"/>
  <c r="I10" i="3"/>
  <c r="I18" i="3"/>
  <c r="I26" i="3"/>
  <c r="I34" i="3"/>
  <c r="I39" i="3"/>
  <c r="I11" i="3"/>
  <c r="I19" i="3"/>
  <c r="I27" i="3"/>
  <c r="I35" i="3"/>
  <c r="I8" i="3"/>
  <c r="I25" i="3"/>
  <c r="I4" i="3"/>
  <c r="I12" i="3"/>
  <c r="I20" i="3"/>
  <c r="I28" i="3"/>
  <c r="I36" i="3"/>
  <c r="I24" i="3"/>
  <c r="I40" i="3"/>
  <c r="I5" i="3"/>
  <c r="I13" i="3"/>
  <c r="I21" i="3"/>
  <c r="I29" i="3"/>
  <c r="I37" i="3"/>
  <c r="I16" i="3"/>
  <c r="I33" i="3"/>
  <c r="I6" i="3"/>
  <c r="I14" i="3"/>
  <c r="I22" i="3"/>
  <c r="I30" i="3"/>
  <c r="I38" i="3"/>
  <c r="I31" i="3"/>
  <c r="I32" i="3"/>
  <c r="I7" i="3"/>
  <c r="I15" i="3"/>
  <c r="I23" i="3"/>
  <c r="I9" i="3"/>
  <c r="I17" i="3"/>
  <c r="T49" i="14"/>
  <c r="N49" i="14"/>
  <c r="U49" i="14" s="1"/>
  <c r="J41" i="3"/>
  <c r="G48" i="14" s="1"/>
  <c r="AB48" i="14"/>
  <c r="AI45" i="14" s="1"/>
  <c r="AK45" i="14" s="1"/>
  <c r="H42" i="3"/>
  <c r="J42" i="3" s="1"/>
  <c r="G49" i="14" s="1"/>
  <c r="M50" i="14"/>
  <c r="D49" i="2"/>
  <c r="D43" i="3"/>
  <c r="I43" i="3" s="1"/>
  <c r="F50" i="14" s="1"/>
  <c r="C50" i="2"/>
  <c r="C45" i="3" s="1"/>
  <c r="C44" i="3"/>
  <c r="BB15" i="14" l="1"/>
  <c r="BC15" i="14" s="1"/>
  <c r="BB23" i="14"/>
  <c r="BC23" i="14" s="1"/>
  <c r="BB31" i="14"/>
  <c r="BC31" i="14" s="1"/>
  <c r="BB39" i="14"/>
  <c r="BC39" i="14" s="1"/>
  <c r="AM12" i="14"/>
  <c r="AN12" i="14" s="1"/>
  <c r="AM20" i="14"/>
  <c r="AN20" i="14" s="1"/>
  <c r="AM28" i="14"/>
  <c r="AN28" i="14" s="1"/>
  <c r="AM36" i="14"/>
  <c r="AN36" i="14" s="1"/>
  <c r="AM44" i="14"/>
  <c r="AN44" i="14" s="1"/>
  <c r="BB18" i="14"/>
  <c r="BC18" i="14" s="1"/>
  <c r="BB26" i="14"/>
  <c r="BC26" i="14" s="1"/>
  <c r="BB34" i="14"/>
  <c r="BC34" i="14" s="1"/>
  <c r="AM23" i="14"/>
  <c r="AN23" i="14" s="1"/>
  <c r="AM39" i="14"/>
  <c r="AN39" i="14" s="1"/>
  <c r="BB21" i="14"/>
  <c r="BC21" i="14" s="1"/>
  <c r="AM26" i="14"/>
  <c r="AN26" i="14" s="1"/>
  <c r="BB30" i="14"/>
  <c r="BC30" i="14" s="1"/>
  <c r="AM43" i="14"/>
  <c r="AN43" i="14" s="1"/>
  <c r="BB16" i="14"/>
  <c r="BC16" i="14" s="1"/>
  <c r="BB24" i="14"/>
  <c r="BC24" i="14" s="1"/>
  <c r="BB32" i="14"/>
  <c r="BC32" i="14" s="1"/>
  <c r="BB40" i="14"/>
  <c r="BC40" i="14" s="1"/>
  <c r="AM13" i="14"/>
  <c r="AN13" i="14" s="1"/>
  <c r="AM21" i="14"/>
  <c r="AN21" i="14" s="1"/>
  <c r="AM29" i="14"/>
  <c r="AN29" i="14" s="1"/>
  <c r="AM37" i="14"/>
  <c r="AN37" i="14" s="1"/>
  <c r="AM45" i="14"/>
  <c r="AN45" i="14" s="1"/>
  <c r="AM22" i="14"/>
  <c r="AN22" i="14" s="1"/>
  <c r="BB42" i="14"/>
  <c r="BC42" i="14" s="1"/>
  <c r="AM31" i="14"/>
  <c r="AN31" i="14" s="1"/>
  <c r="BB13" i="14"/>
  <c r="BC13" i="14" s="1"/>
  <c r="BB37" i="14"/>
  <c r="BC37" i="14" s="1"/>
  <c r="AM34" i="14"/>
  <c r="AN34" i="14" s="1"/>
  <c r="BB22" i="14"/>
  <c r="BC22" i="14" s="1"/>
  <c r="BB38" i="14"/>
  <c r="BC38" i="14" s="1"/>
  <c r="AM19" i="14"/>
  <c r="AN19" i="14" s="1"/>
  <c r="BB17" i="14"/>
  <c r="BC17" i="14" s="1"/>
  <c r="BB25" i="14"/>
  <c r="BC25" i="14" s="1"/>
  <c r="BB33" i="14"/>
  <c r="BC33" i="14" s="1"/>
  <c r="BB41" i="14"/>
  <c r="BC41" i="14" s="1"/>
  <c r="AM14" i="14"/>
  <c r="AN14" i="14" s="1"/>
  <c r="AM30" i="14"/>
  <c r="AN30" i="14" s="1"/>
  <c r="AM38" i="14"/>
  <c r="AN38" i="14" s="1"/>
  <c r="AM11" i="14"/>
  <c r="AM15" i="14"/>
  <c r="AN15" i="14" s="1"/>
  <c r="AM35" i="14"/>
  <c r="AN35" i="14" s="1"/>
  <c r="BB19" i="14"/>
  <c r="BC19" i="14" s="1"/>
  <c r="BB27" i="14"/>
  <c r="BC27" i="14" s="1"/>
  <c r="BB35" i="14"/>
  <c r="BC35" i="14" s="1"/>
  <c r="BB11" i="14"/>
  <c r="BC11" i="14" s="1"/>
  <c r="AM16" i="14"/>
  <c r="AN16" i="14" s="1"/>
  <c r="AM24" i="14"/>
  <c r="AN24" i="14" s="1"/>
  <c r="AM32" i="14"/>
  <c r="AN32" i="14" s="1"/>
  <c r="AM40" i="14"/>
  <c r="AN40" i="14" s="1"/>
  <c r="BB12" i="14"/>
  <c r="BC12" i="14" s="1"/>
  <c r="BB20" i="14"/>
  <c r="BC20" i="14" s="1"/>
  <c r="BB28" i="14"/>
  <c r="BC28" i="14" s="1"/>
  <c r="BB36" i="14"/>
  <c r="BC36" i="14" s="1"/>
  <c r="AM17" i="14"/>
  <c r="AN17" i="14" s="1"/>
  <c r="AM25" i="14"/>
  <c r="AN25" i="14" s="1"/>
  <c r="AM41" i="14"/>
  <c r="AN41" i="14" s="1"/>
  <c r="BB29" i="14"/>
  <c r="BC29" i="14" s="1"/>
  <c r="AM18" i="14"/>
  <c r="AN18" i="14" s="1"/>
  <c r="AM42" i="14"/>
  <c r="AN42" i="14" s="1"/>
  <c r="BB14" i="14"/>
  <c r="BC14" i="14" s="1"/>
  <c r="AM27" i="14"/>
  <c r="AN27" i="14" s="1"/>
  <c r="AM33" i="14"/>
  <c r="AN33" i="14" s="1"/>
  <c r="AN11" i="14"/>
  <c r="J17" i="3"/>
  <c r="G24" i="14" s="1"/>
  <c r="F24" i="14"/>
  <c r="E50" i="14"/>
  <c r="AK47" i="12"/>
  <c r="J12" i="3"/>
  <c r="G19" i="14" s="1"/>
  <c r="F19" i="14"/>
  <c r="J23" i="3"/>
  <c r="G30" i="14" s="1"/>
  <c r="F30" i="14"/>
  <c r="J9" i="3"/>
  <c r="G16" i="14" s="1"/>
  <c r="F16" i="14"/>
  <c r="J39" i="3"/>
  <c r="G46" i="14" s="1"/>
  <c r="F46" i="14"/>
  <c r="F47" i="14"/>
  <c r="J40" i="3"/>
  <c r="G47" i="14" s="1"/>
  <c r="J26" i="3"/>
  <c r="G33" i="14" s="1"/>
  <c r="F33" i="14"/>
  <c r="J5" i="3"/>
  <c r="G12" i="14" s="1"/>
  <c r="F12" i="14"/>
  <c r="J6" i="3"/>
  <c r="G13" i="14" s="1"/>
  <c r="F13" i="14"/>
  <c r="J7" i="3"/>
  <c r="G14" i="14" s="1"/>
  <c r="F14" i="14"/>
  <c r="J24" i="3"/>
  <c r="G31" i="14" s="1"/>
  <c r="F31" i="14"/>
  <c r="J35" i="3"/>
  <c r="G42" i="14" s="1"/>
  <c r="F42" i="14"/>
  <c r="J18" i="3"/>
  <c r="G25" i="14" s="1"/>
  <c r="F25" i="14"/>
  <c r="J21" i="3"/>
  <c r="G28" i="14" s="1"/>
  <c r="F28" i="14"/>
  <c r="J22" i="3"/>
  <c r="G29" i="14" s="1"/>
  <c r="F29" i="14"/>
  <c r="J34" i="3"/>
  <c r="G41" i="14" s="1"/>
  <c r="F41" i="14"/>
  <c r="J36" i="3"/>
  <c r="G43" i="14" s="1"/>
  <c r="F43" i="14"/>
  <c r="J27" i="3"/>
  <c r="G34" i="14" s="1"/>
  <c r="F34" i="14"/>
  <c r="J10" i="3"/>
  <c r="G17" i="14" s="1"/>
  <c r="F17" i="14"/>
  <c r="J30" i="3"/>
  <c r="G37" i="14" s="1"/>
  <c r="F37" i="14"/>
  <c r="J13" i="3"/>
  <c r="G20" i="14" s="1"/>
  <c r="F20" i="14"/>
  <c r="J14" i="3"/>
  <c r="G21" i="14" s="1"/>
  <c r="F21" i="14"/>
  <c r="J15" i="3"/>
  <c r="G22" i="14" s="1"/>
  <c r="F22" i="14"/>
  <c r="J32" i="3"/>
  <c r="G39" i="14" s="1"/>
  <c r="F39" i="14"/>
  <c r="AB49" i="14"/>
  <c r="J31" i="3"/>
  <c r="G38" i="14" s="1"/>
  <c r="F38" i="14"/>
  <c r="J37" i="3"/>
  <c r="G44" i="14" s="1"/>
  <c r="F44" i="14"/>
  <c r="J28" i="3"/>
  <c r="G35" i="14" s="1"/>
  <c r="F35" i="14"/>
  <c r="J19" i="3"/>
  <c r="G26" i="14" s="1"/>
  <c r="F26" i="14"/>
  <c r="AL46" i="12"/>
  <c r="AM46" i="12" s="1"/>
  <c r="AL38" i="12"/>
  <c r="AM38" i="12" s="1"/>
  <c r="AL21" i="12"/>
  <c r="AM21" i="12" s="1"/>
  <c r="AL35" i="12"/>
  <c r="AM35" i="12" s="1"/>
  <c r="AL18" i="12"/>
  <c r="AM18" i="12" s="1"/>
  <c r="AL40" i="12"/>
  <c r="AM40" i="12" s="1"/>
  <c r="AL15" i="12"/>
  <c r="AM15" i="12" s="1"/>
  <c r="AL23" i="12"/>
  <c r="AM23" i="12" s="1"/>
  <c r="AL13" i="12"/>
  <c r="AM13" i="12" s="1"/>
  <c r="AL27" i="12"/>
  <c r="AM27" i="12" s="1"/>
  <c r="AL10" i="12"/>
  <c r="AM10" i="12" s="1"/>
  <c r="AL32" i="12"/>
  <c r="AM32" i="12" s="1"/>
  <c r="AL43" i="12"/>
  <c r="AM43" i="12" s="1"/>
  <c r="AL30" i="12"/>
  <c r="AM30" i="12" s="1"/>
  <c r="AL44" i="12"/>
  <c r="AM44" i="12" s="1"/>
  <c r="AL19" i="12"/>
  <c r="AM19" i="12" s="1"/>
  <c r="AL41" i="12"/>
  <c r="AM41" i="12" s="1"/>
  <c r="AL24" i="12"/>
  <c r="AM24" i="12" s="1"/>
  <c r="AL29" i="12"/>
  <c r="AM29" i="12" s="1"/>
  <c r="AL22" i="12"/>
  <c r="AM22" i="12" s="1"/>
  <c r="AL36" i="12"/>
  <c r="AM36" i="12" s="1"/>
  <c r="AL11" i="12"/>
  <c r="AM11" i="12" s="1"/>
  <c r="AL33" i="12"/>
  <c r="AM33" i="12" s="1"/>
  <c r="AL16" i="12"/>
  <c r="AM16" i="12" s="1"/>
  <c r="AL14" i="12"/>
  <c r="AM14" i="12" s="1"/>
  <c r="AL28" i="12"/>
  <c r="AM28" i="12" s="1"/>
  <c r="AL8" i="12"/>
  <c r="AM8" i="12" s="1"/>
  <c r="AL25" i="12"/>
  <c r="AM25" i="12" s="1"/>
  <c r="AL45" i="12"/>
  <c r="AM45" i="12" s="1"/>
  <c r="AL20" i="12"/>
  <c r="AM20" i="12" s="1"/>
  <c r="AL42" i="12"/>
  <c r="AM42" i="12" s="1"/>
  <c r="AL17" i="12"/>
  <c r="AM17" i="12" s="1"/>
  <c r="AL39" i="12"/>
  <c r="AM39" i="12" s="1"/>
  <c r="AL37" i="12"/>
  <c r="AM37" i="12" s="1"/>
  <c r="AL12" i="12"/>
  <c r="AM12" i="12" s="1"/>
  <c r="AL34" i="12"/>
  <c r="AM34" i="12" s="1"/>
  <c r="AL9" i="12"/>
  <c r="AM9" i="12" s="1"/>
  <c r="AL31" i="12"/>
  <c r="AM31" i="12" s="1"/>
  <c r="AL26" i="12"/>
  <c r="AM26" i="12" s="1"/>
  <c r="T50" i="14"/>
  <c r="N50" i="14"/>
  <c r="U50" i="14" s="1"/>
  <c r="J4" i="3"/>
  <c r="G11" i="14" s="1"/>
  <c r="F11" i="14"/>
  <c r="J25" i="3"/>
  <c r="G32" i="14" s="1"/>
  <c r="F32" i="14"/>
  <c r="J8" i="3"/>
  <c r="G15" i="14" s="1"/>
  <c r="F15" i="14"/>
  <c r="J33" i="3"/>
  <c r="G40" i="14" s="1"/>
  <c r="F40" i="14"/>
  <c r="J16" i="3"/>
  <c r="G23" i="14" s="1"/>
  <c r="F23" i="14"/>
  <c r="V17" i="14"/>
  <c r="W17" i="14" s="1"/>
  <c r="V16" i="14"/>
  <c r="W16" i="14" s="1"/>
  <c r="V48" i="14"/>
  <c r="W48" i="14" s="1"/>
  <c r="V23" i="14"/>
  <c r="W23" i="14" s="1"/>
  <c r="V31" i="14"/>
  <c r="W31" i="14" s="1"/>
  <c r="V32" i="14"/>
  <c r="W32" i="14" s="1"/>
  <c r="V24" i="14"/>
  <c r="W24" i="14" s="1"/>
  <c r="V39" i="14"/>
  <c r="W39" i="14" s="1"/>
  <c r="V40" i="14"/>
  <c r="W40" i="14" s="1"/>
  <c r="V15" i="14"/>
  <c r="W15" i="14" s="1"/>
  <c r="V47" i="14"/>
  <c r="W47" i="14" s="1"/>
  <c r="V38" i="14"/>
  <c r="W38" i="14" s="1"/>
  <c r="V36" i="14"/>
  <c r="W36" i="14" s="1"/>
  <c r="V19" i="14"/>
  <c r="W19" i="14" s="1"/>
  <c r="V49" i="14"/>
  <c r="W49" i="14" s="1"/>
  <c r="V27" i="14"/>
  <c r="W27" i="14" s="1"/>
  <c r="V30" i="14"/>
  <c r="W30" i="14" s="1"/>
  <c r="V45" i="14"/>
  <c r="W45" i="14" s="1"/>
  <c r="V28" i="14"/>
  <c r="W28" i="14" s="1"/>
  <c r="V41" i="14"/>
  <c r="W41" i="14" s="1"/>
  <c r="V22" i="14"/>
  <c r="W22" i="14" s="1"/>
  <c r="V37" i="14"/>
  <c r="W37" i="14" s="1"/>
  <c r="V20" i="14"/>
  <c r="W20" i="14" s="1"/>
  <c r="V11" i="14"/>
  <c r="W11" i="14" s="1"/>
  <c r="V33" i="14"/>
  <c r="W33" i="14" s="1"/>
  <c r="V14" i="14"/>
  <c r="W14" i="14" s="1"/>
  <c r="V29" i="14"/>
  <c r="W29" i="14" s="1"/>
  <c r="V12" i="14"/>
  <c r="W12" i="14" s="1"/>
  <c r="V42" i="14"/>
  <c r="W42" i="14" s="1"/>
  <c r="V25" i="14"/>
  <c r="W25" i="14" s="1"/>
  <c r="V21" i="14"/>
  <c r="W21" i="14" s="1"/>
  <c r="V34" i="14"/>
  <c r="W34" i="14" s="1"/>
  <c r="V44" i="14"/>
  <c r="W44" i="14" s="1"/>
  <c r="V13" i="14"/>
  <c r="W13" i="14" s="1"/>
  <c r="V43" i="14"/>
  <c r="W43" i="14" s="1"/>
  <c r="V26" i="14"/>
  <c r="W26" i="14" s="1"/>
  <c r="V35" i="14"/>
  <c r="W35" i="14" s="1"/>
  <c r="V18" i="14"/>
  <c r="W18" i="14" s="1"/>
  <c r="V46" i="14"/>
  <c r="W46" i="14" s="1"/>
  <c r="J38" i="3"/>
  <c r="G45" i="14" s="1"/>
  <c r="F45" i="14"/>
  <c r="J29" i="3"/>
  <c r="G36" i="14" s="1"/>
  <c r="F36" i="14"/>
  <c r="J20" i="3"/>
  <c r="G27" i="14" s="1"/>
  <c r="F27" i="14"/>
  <c r="J11" i="3"/>
  <c r="G18" i="14" s="1"/>
  <c r="F18" i="14"/>
  <c r="H43" i="3"/>
  <c r="J43" i="3" s="1"/>
  <c r="G50" i="14" s="1"/>
  <c r="M51" i="14"/>
  <c r="D50" i="2"/>
  <c r="D45" i="3" s="1"/>
  <c r="I45" i="3" s="1"/>
  <c r="F52" i="14" s="1"/>
  <c r="D44" i="3"/>
  <c r="I44" i="3" s="1"/>
  <c r="F51" i="14" s="1"/>
  <c r="W50" i="14" l="1"/>
  <c r="AB50" i="14"/>
  <c r="AK48" i="12"/>
  <c r="E51" i="14"/>
  <c r="T51" i="14"/>
  <c r="N51" i="14"/>
  <c r="U51" i="14" s="1"/>
  <c r="H44" i="3"/>
  <c r="J44" i="3" s="1"/>
  <c r="H45" i="3" l="1"/>
  <c r="J45" i="3" s="1"/>
  <c r="G52" i="14" s="1"/>
  <c r="M52" i="14"/>
  <c r="W51" i="14"/>
  <c r="AB51" i="14"/>
  <c r="E52" i="14"/>
  <c r="AK49" i="12"/>
  <c r="G51" i="14"/>
  <c r="K4" i="3"/>
  <c r="K26" i="3"/>
  <c r="K18" i="3"/>
  <c r="K29" i="3"/>
  <c r="K31" i="3"/>
  <c r="K20" i="3"/>
  <c r="K14" i="3"/>
  <c r="K28" i="3"/>
  <c r="K10" i="3"/>
  <c r="K15" i="3"/>
  <c r="K24" i="3"/>
  <c r="K9" i="3"/>
  <c r="K33" i="3"/>
  <c r="K25" i="3"/>
  <c r="K17" i="3"/>
  <c r="K27" i="3"/>
  <c r="K35" i="3"/>
  <c r="K30" i="3"/>
  <c r="K34" i="3"/>
  <c r="K5" i="3"/>
  <c r="K38" i="3"/>
  <c r="K13" i="3"/>
  <c r="K16" i="3"/>
  <c r="K11" i="3"/>
  <c r="K19" i="3"/>
  <c r="K37" i="3"/>
  <c r="K23" i="3"/>
  <c r="K8" i="3"/>
  <c r="K32" i="3"/>
  <c r="K36" i="3" l="1"/>
  <c r="K21" i="3"/>
  <c r="K12" i="3"/>
  <c r="K22" i="3"/>
  <c r="K6" i="3"/>
  <c r="U9" i="16" s="1"/>
  <c r="K7" i="3"/>
  <c r="D46" i="11" s="1"/>
  <c r="E46" i="11" s="1"/>
  <c r="T52" i="14"/>
  <c r="N52" i="14"/>
  <c r="U52" i="14" s="1"/>
  <c r="U10" i="16" l="1"/>
  <c r="D47" i="11"/>
  <c r="E47" i="11" s="1"/>
  <c r="D49" i="11"/>
  <c r="E49" i="11" s="1"/>
  <c r="D48" i="11"/>
  <c r="E48" i="11" s="1"/>
  <c r="D50" i="11"/>
  <c r="E50" i="11" s="1"/>
  <c r="N4" i="3"/>
  <c r="D51" i="11"/>
  <c r="E51" i="11" s="1"/>
  <c r="F51" i="11" s="1"/>
  <c r="W52" i="14"/>
  <c r="AB52" i="14"/>
  <c r="K21" i="16" l="1"/>
  <c r="M22" i="16" s="1"/>
  <c r="S15" i="16"/>
  <c r="W15" i="16" s="1"/>
  <c r="K15" i="16"/>
  <c r="O15" i="16" s="1"/>
  <c r="S21" i="16"/>
  <c r="U22" i="16" s="1"/>
  <c r="K9" i="16"/>
  <c r="M10" i="16" s="1"/>
  <c r="S9" i="16"/>
  <c r="W9" i="16" s="1"/>
  <c r="U11" i="16"/>
  <c r="AR8" i="12"/>
  <c r="N5" i="3"/>
  <c r="I8" i="11"/>
  <c r="C22" i="11" s="1"/>
  <c r="F50" i="11"/>
  <c r="F49" i="11"/>
  <c r="F48" i="11"/>
  <c r="F47" i="11"/>
  <c r="F46" i="11"/>
  <c r="M11" i="16" l="1"/>
  <c r="U23" i="16"/>
  <c r="AR9" i="12"/>
  <c r="D15" i="16"/>
  <c r="D17" i="16" s="1"/>
  <c r="S16" i="16"/>
  <c r="W16" i="16" s="1"/>
  <c r="K16" i="16"/>
  <c r="O16" i="16" s="1"/>
  <c r="D9" i="16"/>
  <c r="D11" i="16" s="1"/>
  <c r="K22" i="16"/>
  <c r="O22" i="16" s="1"/>
  <c r="S22" i="16"/>
  <c r="W22" i="16" s="1"/>
  <c r="K10" i="16"/>
  <c r="O10" i="16" s="1"/>
  <c r="C21" i="16"/>
  <c r="C23" i="16" s="1"/>
  <c r="S10" i="16"/>
  <c r="W10" i="16" s="1"/>
  <c r="M23" i="16"/>
  <c r="E33" i="11"/>
  <c r="E35" i="11"/>
  <c r="C21" i="11"/>
  <c r="E32" i="11"/>
  <c r="F4" i="10"/>
  <c r="H26" i="10" s="1"/>
  <c r="H5" i="13"/>
  <c r="N69" i="13" s="1"/>
  <c r="E8" i="9"/>
  <c r="Q10" i="9" s="1"/>
  <c r="R10" i="9" s="1"/>
  <c r="K8" i="9"/>
  <c r="K12" i="9" s="1"/>
  <c r="L12" i="9" s="1"/>
  <c r="W8" i="9"/>
  <c r="X8" i="9" s="1"/>
  <c r="Q8" i="9"/>
  <c r="R8" i="9" s="1"/>
  <c r="E39" i="11"/>
  <c r="F63" i="11"/>
  <c r="E38" i="11"/>
  <c r="E37" i="11"/>
  <c r="E41" i="11"/>
  <c r="E31" i="11"/>
  <c r="E29" i="11"/>
  <c r="E34" i="11"/>
  <c r="C18" i="11"/>
  <c r="F58" i="11"/>
  <c r="F60" i="11"/>
  <c r="G60" i="11" s="1"/>
  <c r="F64" i="11"/>
  <c r="C17" i="11"/>
  <c r="F62" i="11"/>
  <c r="G14" i="11"/>
  <c r="D22" i="11" s="1"/>
  <c r="E36" i="11"/>
  <c r="E40" i="11"/>
  <c r="C19" i="11"/>
  <c r="E30" i="11"/>
  <c r="E28" i="11"/>
  <c r="C20" i="11"/>
  <c r="F59" i="11"/>
  <c r="F61" i="11"/>
  <c r="E27" i="11"/>
  <c r="I51" i="11"/>
  <c r="D26" i="10"/>
  <c r="F26" i="10"/>
  <c r="G26" i="10"/>
  <c r="H14" i="10"/>
  <c r="I14" i="10"/>
  <c r="D14" i="10"/>
  <c r="E14" i="10"/>
  <c r="C14" i="10"/>
  <c r="G14" i="10"/>
  <c r="J14" i="10"/>
  <c r="D146" i="10"/>
  <c r="D113" i="10"/>
  <c r="D102" i="10"/>
  <c r="D110" i="10"/>
  <c r="D80" i="10"/>
  <c r="D58" i="10"/>
  <c r="D43" i="10"/>
  <c r="D51" i="10"/>
  <c r="G34" i="10"/>
  <c r="D139" i="10"/>
  <c r="D117" i="10"/>
  <c r="D103" i="10"/>
  <c r="D111" i="10"/>
  <c r="D81" i="10"/>
  <c r="D89" i="10"/>
  <c r="D67" i="10"/>
  <c r="D52" i="10"/>
  <c r="H34" i="10"/>
  <c r="D50" i="10"/>
  <c r="D140" i="10"/>
  <c r="D118" i="10"/>
  <c r="D104" i="10"/>
  <c r="D112" i="10"/>
  <c r="D82" i="10"/>
  <c r="D90" i="10"/>
  <c r="D68" i="10"/>
  <c r="D55" i="10"/>
  <c r="D53" i="10"/>
  <c r="C34" i="10"/>
  <c r="D135" i="10"/>
  <c r="D132" i="10"/>
  <c r="D71" i="10"/>
  <c r="D34" i="10"/>
  <c r="D130" i="10"/>
  <c r="D72" i="10"/>
  <c r="D49" i="10"/>
  <c r="D145" i="10"/>
  <c r="D131" i="10"/>
  <c r="D109" i="10"/>
  <c r="D65" i="10"/>
  <c r="D42" i="10"/>
  <c r="D133" i="10"/>
  <c r="D141" i="10"/>
  <c r="D119" i="10"/>
  <c r="D127" i="10"/>
  <c r="D105" i="10"/>
  <c r="D94" i="10"/>
  <c r="D83" i="10"/>
  <c r="D91" i="10"/>
  <c r="D69" i="10"/>
  <c r="D38" i="10"/>
  <c r="D54" i="10"/>
  <c r="D143" i="10"/>
  <c r="E143" i="10" s="1"/>
  <c r="D129" i="10"/>
  <c r="D107" i="10"/>
  <c r="D40" i="10"/>
  <c r="D144" i="10"/>
  <c r="D134" i="10"/>
  <c r="D142" i="10"/>
  <c r="E142" i="10" s="1"/>
  <c r="D150" i="10"/>
  <c r="D120" i="10"/>
  <c r="D98" i="10"/>
  <c r="D106" i="10"/>
  <c r="D84" i="10"/>
  <c r="D92" i="10"/>
  <c r="D62" i="10"/>
  <c r="D70" i="10"/>
  <c r="D47" i="10"/>
  <c r="D37" i="10"/>
  <c r="D99" i="10"/>
  <c r="D77" i="10"/>
  <c r="D63" i="10"/>
  <c r="D48" i="10"/>
  <c r="D122" i="10"/>
  <c r="D100" i="10"/>
  <c r="D78" i="10"/>
  <c r="D86" i="10"/>
  <c r="D64" i="10"/>
  <c r="D41" i="10"/>
  <c r="D137" i="10"/>
  <c r="D115" i="10"/>
  <c r="D79" i="10"/>
  <c r="D57" i="10"/>
  <c r="D73" i="10"/>
  <c r="F34" i="10"/>
  <c r="E42" i="10" l="1"/>
  <c r="E129" i="10"/>
  <c r="E120" i="10"/>
  <c r="F5" i="10"/>
  <c r="S17" i="16"/>
  <c r="W17" i="16" s="1"/>
  <c r="K17" i="16"/>
  <c r="O17" i="16" s="1"/>
  <c r="D10" i="16"/>
  <c r="D12" i="16" s="1"/>
  <c r="S23" i="16"/>
  <c r="W23" i="16" s="1"/>
  <c r="K11" i="16"/>
  <c r="O11" i="16" s="1"/>
  <c r="S11" i="16"/>
  <c r="W11" i="16" s="1"/>
  <c r="K23" i="16"/>
  <c r="O23" i="16" s="1"/>
  <c r="D16" i="16"/>
  <c r="D18" i="16" s="1"/>
  <c r="C22" i="16"/>
  <c r="C24" i="16" s="1"/>
  <c r="E13" i="9"/>
  <c r="F13" i="9" s="1"/>
  <c r="D101" i="10"/>
  <c r="E101" i="10" s="1"/>
  <c r="D108" i="10"/>
  <c r="E108" i="10" s="1"/>
  <c r="D121" i="10"/>
  <c r="E121" i="10" s="1"/>
  <c r="D76" i="10"/>
  <c r="D75" i="10"/>
  <c r="D46" i="10"/>
  <c r="E46" i="10" s="1"/>
  <c r="D97" i="10"/>
  <c r="E97" i="10" s="1"/>
  <c r="D87" i="10"/>
  <c r="D114" i="10"/>
  <c r="E114" i="10" s="1"/>
  <c r="D45" i="10"/>
  <c r="E45" i="10" s="1"/>
  <c r="D96" i="10"/>
  <c r="E96" i="10" s="1"/>
  <c r="D44" i="10"/>
  <c r="E44" i="10" s="1"/>
  <c r="D95" i="10"/>
  <c r="E95" i="10" s="1"/>
  <c r="D74" i="10"/>
  <c r="E74" i="10" s="1"/>
  <c r="D124" i="10"/>
  <c r="E124" i="10" s="1"/>
  <c r="F14" i="10"/>
  <c r="G27" i="10" s="1"/>
  <c r="E26" i="10"/>
  <c r="E27" i="10" s="1"/>
  <c r="D126" i="10"/>
  <c r="E126" i="10" s="1"/>
  <c r="D56" i="10"/>
  <c r="E56" i="10" s="1"/>
  <c r="D125" i="10"/>
  <c r="E125" i="10" s="1"/>
  <c r="D66" i="10"/>
  <c r="E66" i="10" s="1"/>
  <c r="D116" i="10"/>
  <c r="E116" i="10" s="1"/>
  <c r="L14" i="10"/>
  <c r="C26" i="10"/>
  <c r="E34" i="10"/>
  <c r="E92" i="10" s="1"/>
  <c r="D136" i="10"/>
  <c r="E136" i="10" s="1"/>
  <c r="D39" i="10"/>
  <c r="E39" i="10" s="1"/>
  <c r="D128" i="10"/>
  <c r="E128" i="10" s="1"/>
  <c r="D93" i="10"/>
  <c r="D61" i="10"/>
  <c r="E61" i="10" s="1"/>
  <c r="D149" i="10"/>
  <c r="E149" i="10" s="1"/>
  <c r="D123" i="10"/>
  <c r="E123" i="10" s="1"/>
  <c r="D85" i="10"/>
  <c r="E85" i="10" s="1"/>
  <c r="D60" i="10"/>
  <c r="E60" i="10" s="1"/>
  <c r="D148" i="10"/>
  <c r="E148" i="10" s="1"/>
  <c r="D59" i="10"/>
  <c r="E59" i="10" s="1"/>
  <c r="D147" i="10"/>
  <c r="E147" i="10" s="1"/>
  <c r="D88" i="10"/>
  <c r="E88" i="10" s="1"/>
  <c r="D138" i="10"/>
  <c r="E138" i="10" s="1"/>
  <c r="K14" i="10"/>
  <c r="E14" i="9"/>
  <c r="F14" i="9" s="1"/>
  <c r="F8" i="9"/>
  <c r="E10" i="9"/>
  <c r="F10" i="9" s="1"/>
  <c r="K10" i="9"/>
  <c r="L10" i="9" s="1"/>
  <c r="K9" i="9"/>
  <c r="L9" i="9" s="1"/>
  <c r="D24" i="13"/>
  <c r="N63" i="13"/>
  <c r="K14" i="9"/>
  <c r="L14" i="9" s="1"/>
  <c r="D17" i="13"/>
  <c r="N65" i="13"/>
  <c r="N52" i="13"/>
  <c r="K15" i="9"/>
  <c r="L15" i="9" s="1"/>
  <c r="L8" i="9"/>
  <c r="K16" i="9"/>
  <c r="L16" i="9" s="1"/>
  <c r="K13" i="9"/>
  <c r="L13" i="9" s="1"/>
  <c r="D57" i="13"/>
  <c r="K11" i="9"/>
  <c r="L11" i="9" s="1"/>
  <c r="D49" i="13"/>
  <c r="W10" i="9"/>
  <c r="X10" i="9" s="1"/>
  <c r="Q12" i="9"/>
  <c r="R12" i="9" s="1"/>
  <c r="Q9" i="9"/>
  <c r="R9" i="9" s="1"/>
  <c r="Q13" i="9"/>
  <c r="R13" i="9" s="1"/>
  <c r="D22" i="13"/>
  <c r="N68" i="13"/>
  <c r="E9" i="9"/>
  <c r="F9" i="9" s="1"/>
  <c r="E12" i="9"/>
  <c r="F12" i="9" s="1"/>
  <c r="D54" i="13"/>
  <c r="D37" i="13"/>
  <c r="N58" i="13"/>
  <c r="E16" i="9"/>
  <c r="F16" i="9" s="1"/>
  <c r="Q11" i="9"/>
  <c r="R11" i="9" s="1"/>
  <c r="D53" i="13"/>
  <c r="D21" i="13"/>
  <c r="N37" i="13"/>
  <c r="Q15" i="9"/>
  <c r="R15" i="9" s="1"/>
  <c r="E11" i="9"/>
  <c r="F11" i="9" s="1"/>
  <c r="E15" i="9"/>
  <c r="F15" i="9" s="1"/>
  <c r="Q14" i="9"/>
  <c r="R14" i="9" s="1"/>
  <c r="H33" i="13"/>
  <c r="N42" i="13"/>
  <c r="Q16" i="9"/>
  <c r="R16" i="9" s="1"/>
  <c r="D14" i="13"/>
  <c r="N47" i="13"/>
  <c r="W23" i="9"/>
  <c r="H40" i="13"/>
  <c r="H36" i="13"/>
  <c r="H32" i="13"/>
  <c r="D47" i="13"/>
  <c r="D31" i="13"/>
  <c r="E31" i="13" s="1"/>
  <c r="D35" i="13"/>
  <c r="N31" i="13"/>
  <c r="N40" i="13"/>
  <c r="N55" i="13"/>
  <c r="N73" i="13"/>
  <c r="N59" i="13"/>
  <c r="N46" i="13"/>
  <c r="N53" i="13"/>
  <c r="N50" i="13"/>
  <c r="D56" i="13"/>
  <c r="D52" i="13"/>
  <c r="D23" i="13"/>
  <c r="D40" i="13"/>
  <c r="D50" i="13"/>
  <c r="D38" i="13"/>
  <c r="N35" i="13"/>
  <c r="N45" i="13"/>
  <c r="N64" i="13"/>
  <c r="N61" i="13"/>
  <c r="N70" i="13"/>
  <c r="H39" i="13"/>
  <c r="H35" i="13"/>
  <c r="H6" i="13"/>
  <c r="D18" i="13"/>
  <c r="H31" i="13"/>
  <c r="D41" i="13"/>
  <c r="N36" i="13"/>
  <c r="N34" i="13"/>
  <c r="N44" i="13"/>
  <c r="N75" i="13"/>
  <c r="N51" i="13"/>
  <c r="O51" i="13" s="1"/>
  <c r="N62" i="13"/>
  <c r="G59" i="11"/>
  <c r="D55" i="13"/>
  <c r="D51" i="13"/>
  <c r="D39" i="13"/>
  <c r="D34" i="13"/>
  <c r="D20" i="13"/>
  <c r="N39" i="13"/>
  <c r="N32" i="13"/>
  <c r="N43" i="13"/>
  <c r="N67" i="13"/>
  <c r="N60" i="13"/>
  <c r="N49" i="13"/>
  <c r="H38" i="13"/>
  <c r="H34" i="13"/>
  <c r="D16" i="13"/>
  <c r="E16" i="13" s="1"/>
  <c r="D36" i="13"/>
  <c r="E36" i="13" s="1"/>
  <c r="D48" i="13"/>
  <c r="N38" i="13"/>
  <c r="N48" i="13"/>
  <c r="N56" i="13"/>
  <c r="N54" i="13"/>
  <c r="N71" i="13"/>
  <c r="N57" i="13"/>
  <c r="O57" i="13" s="1"/>
  <c r="H41" i="13"/>
  <c r="I41" i="13" s="1"/>
  <c r="H37" i="13"/>
  <c r="D15" i="13"/>
  <c r="D32" i="13"/>
  <c r="D19" i="13"/>
  <c r="D33" i="13"/>
  <c r="N33" i="13"/>
  <c r="N41" i="13"/>
  <c r="O41" i="13" s="1"/>
  <c r="N66" i="13"/>
  <c r="N74" i="13"/>
  <c r="N72" i="13"/>
  <c r="W26" i="9"/>
  <c r="F29" i="11"/>
  <c r="AR10" i="12"/>
  <c r="AR12" i="12" s="1"/>
  <c r="W20" i="9"/>
  <c r="D19" i="11"/>
  <c r="F31" i="11"/>
  <c r="W12" i="9"/>
  <c r="X12" i="9" s="1"/>
  <c r="W25" i="9"/>
  <c r="W13" i="9"/>
  <c r="F40" i="11"/>
  <c r="F39" i="11"/>
  <c r="F41" i="11"/>
  <c r="W11" i="9"/>
  <c r="X11" i="9" s="1"/>
  <c r="W16" i="9"/>
  <c r="W9" i="9"/>
  <c r="X9" i="9" s="1"/>
  <c r="W19" i="9"/>
  <c r="D20" i="11"/>
  <c r="W14" i="9"/>
  <c r="W24" i="9"/>
  <c r="W18" i="9"/>
  <c r="F30" i="11"/>
  <c r="F33" i="11"/>
  <c r="W21" i="9"/>
  <c r="W22" i="9"/>
  <c r="W15" i="9"/>
  <c r="W17" i="9"/>
  <c r="G61" i="11"/>
  <c r="G63" i="11"/>
  <c r="G64" i="11"/>
  <c r="F27" i="11"/>
  <c r="F36" i="11"/>
  <c r="F34" i="11"/>
  <c r="F28" i="11"/>
  <c r="F37" i="11"/>
  <c r="F38" i="11"/>
  <c r="G58" i="11"/>
  <c r="G62" i="11"/>
  <c r="D21" i="11"/>
  <c r="D18" i="11"/>
  <c r="D17" i="11"/>
  <c r="F32" i="11"/>
  <c r="F35" i="11"/>
  <c r="G15" i="10"/>
  <c r="H15" i="10"/>
  <c r="O39" i="13"/>
  <c r="F27" i="10"/>
  <c r="H27" i="10"/>
  <c r="E86" i="10"/>
  <c r="E77" i="10"/>
  <c r="D27" i="10"/>
  <c r="E57" i="10"/>
  <c r="E72" i="10"/>
  <c r="C27" i="10"/>
  <c r="E65" i="10"/>
  <c r="E69" i="10"/>
  <c r="E70" i="10"/>
  <c r="E73" i="10"/>
  <c r="E64" i="10"/>
  <c r="E63" i="10"/>
  <c r="E62" i="10"/>
  <c r="E41" i="10"/>
  <c r="E48" i="10"/>
  <c r="E141" i="10"/>
  <c r="E145" i="10"/>
  <c r="E132" i="10"/>
  <c r="E90" i="10"/>
  <c r="E140" i="10"/>
  <c r="E89" i="10"/>
  <c r="E139" i="10"/>
  <c r="E80" i="10"/>
  <c r="E150" i="10"/>
  <c r="E83" i="10"/>
  <c r="E82" i="10"/>
  <c r="E133" i="10"/>
  <c r="E49" i="10"/>
  <c r="E135" i="10"/>
  <c r="E50" i="10"/>
  <c r="E81" i="10"/>
  <c r="E112" i="10"/>
  <c r="E79" i="10"/>
  <c r="E78" i="10"/>
  <c r="E99" i="10"/>
  <c r="E84" i="10"/>
  <c r="E134" i="10"/>
  <c r="E54" i="10"/>
  <c r="E105" i="10"/>
  <c r="E130" i="10"/>
  <c r="E53" i="10"/>
  <c r="E104" i="10"/>
  <c r="E52" i="10"/>
  <c r="E103" i="10"/>
  <c r="E43" i="10"/>
  <c r="E113" i="10"/>
  <c r="E107" i="10"/>
  <c r="E102" i="10"/>
  <c r="E94" i="10"/>
  <c r="E51" i="10"/>
  <c r="E115" i="10"/>
  <c r="E100" i="10"/>
  <c r="E37" i="10"/>
  <c r="E106" i="10"/>
  <c r="E144" i="10"/>
  <c r="E38" i="10"/>
  <c r="E127" i="10"/>
  <c r="E109" i="10"/>
  <c r="E55" i="10"/>
  <c r="E110" i="10"/>
  <c r="E137" i="10"/>
  <c r="E122" i="10"/>
  <c r="E47" i="10"/>
  <c r="E98" i="10"/>
  <c r="E40" i="10"/>
  <c r="E119" i="10"/>
  <c r="E131" i="10"/>
  <c r="E71" i="10"/>
  <c r="E68" i="10"/>
  <c r="E118" i="10"/>
  <c r="E67" i="10"/>
  <c r="E117" i="10"/>
  <c r="E58" i="10"/>
  <c r="E146" i="10"/>
  <c r="E111" i="10"/>
  <c r="E93" i="10" l="1"/>
  <c r="E75" i="10"/>
  <c r="L15" i="10"/>
  <c r="E76" i="10"/>
  <c r="E15" i="10"/>
  <c r="E17" i="13"/>
  <c r="I15" i="10"/>
  <c r="D15" i="10"/>
  <c r="J15" i="10"/>
  <c r="K15" i="10"/>
  <c r="E87" i="10"/>
  <c r="C15" i="10"/>
  <c r="F15" i="10"/>
  <c r="E91" i="10"/>
  <c r="H39" i="10" s="1" a="1"/>
  <c r="H39" i="10" s="1"/>
  <c r="K19" i="9"/>
  <c r="L19" i="9"/>
  <c r="O37" i="13"/>
  <c r="O34" i="13"/>
  <c r="E20" i="13"/>
  <c r="O66" i="13"/>
  <c r="O32" i="13"/>
  <c r="O62" i="13"/>
  <c r="E57" i="13"/>
  <c r="O63" i="13"/>
  <c r="O65" i="13"/>
  <c r="O49" i="13"/>
  <c r="E19" i="9"/>
  <c r="R19" i="9"/>
  <c r="I35" i="13"/>
  <c r="E38" i="13"/>
  <c r="I34" i="13"/>
  <c r="D19" i="9"/>
  <c r="Q19" i="9"/>
  <c r="O50" i="13"/>
  <c r="E18" i="13"/>
  <c r="X30" i="9"/>
  <c r="O35" i="13"/>
  <c r="O53" i="13"/>
  <c r="O46" i="13"/>
  <c r="E47" i="13"/>
  <c r="E53" i="13"/>
  <c r="O47" i="13"/>
  <c r="E21" i="13"/>
  <c r="E22" i="13"/>
  <c r="E34" i="13"/>
  <c r="O58" i="13"/>
  <c r="O55" i="13"/>
  <c r="O72" i="13"/>
  <c r="E15" i="13"/>
  <c r="O38" i="13"/>
  <c r="O67" i="13"/>
  <c r="E55" i="13"/>
  <c r="E41" i="13"/>
  <c r="E56" i="13"/>
  <c r="E14" i="13"/>
  <c r="E39" i="13"/>
  <c r="O52" i="13"/>
  <c r="O42" i="13"/>
  <c r="O75" i="13"/>
  <c r="O74" i="13"/>
  <c r="I37" i="13"/>
  <c r="E48" i="13"/>
  <c r="O43" i="13"/>
  <c r="I31" i="13"/>
  <c r="E35" i="13"/>
  <c r="E49" i="13"/>
  <c r="E19" i="13"/>
  <c r="E33" i="13"/>
  <c r="O69" i="13"/>
  <c r="O70" i="13"/>
  <c r="E37" i="13"/>
  <c r="E24" i="13"/>
  <c r="O71" i="13"/>
  <c r="O33" i="13"/>
  <c r="O64" i="13"/>
  <c r="O68" i="13"/>
  <c r="I38" i="13"/>
  <c r="E54" i="13"/>
  <c r="O45" i="13"/>
  <c r="O54" i="13"/>
  <c r="O59" i="13"/>
  <c r="O44" i="13"/>
  <c r="I39" i="13"/>
  <c r="E50" i="13"/>
  <c r="E40" i="13"/>
  <c r="E23" i="13"/>
  <c r="O56" i="13"/>
  <c r="O73" i="13"/>
  <c r="I33" i="13"/>
  <c r="E32" i="13"/>
  <c r="O48" i="13"/>
  <c r="O60" i="13"/>
  <c r="E51" i="13"/>
  <c r="O36" i="13"/>
  <c r="O61" i="13"/>
  <c r="E52" i="13"/>
  <c r="O40" i="13"/>
  <c r="O31" i="13"/>
  <c r="I32" i="13"/>
  <c r="I36" i="13"/>
  <c r="I40" i="13"/>
  <c r="J64" i="11" a="1"/>
  <c r="J64" i="11" s="1"/>
  <c r="G22" i="11"/>
  <c r="W30" i="9"/>
  <c r="I41" i="11" a="1"/>
  <c r="I41" i="11" s="1"/>
  <c r="K27" i="10"/>
  <c r="H41" i="10" a="1"/>
  <c r="H41" i="10" s="1"/>
  <c r="H42" i="10"/>
  <c r="H37" i="10" a="1"/>
  <c r="H37" i="10" s="1"/>
  <c r="H40" i="10" a="1"/>
  <c r="H40" i="10" s="1"/>
  <c r="H38" i="10" a="1"/>
  <c r="H38" i="10" s="1"/>
  <c r="R20" i="9" l="1"/>
  <c r="L20" i="9"/>
  <c r="O15" i="10" a="1"/>
  <c r="O15" i="10" s="1"/>
  <c r="P35" i="13" a="1"/>
  <c r="P35" i="13" s="1"/>
  <c r="X32" i="9"/>
  <c r="P41" i="13" a="1"/>
  <c r="P41" i="13" s="1"/>
  <c r="P65" i="13" a="1"/>
  <c r="P65" i="13" s="1"/>
  <c r="E58" i="13"/>
  <c r="P48" i="13" a="1"/>
  <c r="P48" i="13" s="1"/>
  <c r="P56" i="13" a="1"/>
  <c r="P56" i="13" s="1"/>
  <c r="E42" i="13" a="1"/>
  <c r="E42" i="13" s="1"/>
  <c r="P75" i="13" a="1"/>
  <c r="P75" i="13" s="1"/>
  <c r="E26" i="13" a="1"/>
  <c r="E26" i="13" s="1"/>
  <c r="I42" i="13" a="1"/>
  <c r="I42" i="13" s="1"/>
  <c r="H43" i="10"/>
  <c r="Q31"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<sst xmlns="http://schemas.openxmlformats.org/spreadsheetml/2006/main" count="816" uniqueCount="524">
  <si>
    <t>Name</t>
  </si>
  <si>
    <t>DOB</t>
  </si>
  <si>
    <t>Year</t>
  </si>
  <si>
    <t>Age</t>
  </si>
  <si>
    <t>Pay</t>
  </si>
  <si>
    <t>Scott</t>
  </si>
  <si>
    <t>Num</t>
  </si>
  <si>
    <t>Date of SS Collection</t>
  </si>
  <si>
    <t>B</t>
  </si>
  <si>
    <t xml:space="preserve">When will Social Security go bankrupt? </t>
  </si>
  <si>
    <t>Analyze how certain solutions might help (raise ret age from 67 to 69, get rid of COLA, change the formula, change the pay caps)</t>
  </si>
  <si>
    <t>Tori Silverman</t>
  </si>
  <si>
    <t>Age (x)</t>
  </si>
  <si>
    <t>q(x)</t>
  </si>
  <si>
    <t>p(x)</t>
  </si>
  <si>
    <t>v(x)</t>
  </si>
  <si>
    <t>D(x)</t>
  </si>
  <si>
    <t>N(x)</t>
  </si>
  <si>
    <t>a(x)</t>
  </si>
  <si>
    <t>a(monthly)</t>
  </si>
  <si>
    <t>First</t>
  </si>
  <si>
    <t>Second</t>
  </si>
  <si>
    <t>PPA 2020 - Single Life Factors</t>
  </si>
  <si>
    <t>TWB</t>
  </si>
  <si>
    <t>COLA</t>
  </si>
  <si>
    <t>age</t>
  </si>
  <si>
    <t>conclusion</t>
  </si>
  <si>
    <t>NAWI</t>
  </si>
  <si>
    <t>1000/mo stays firm, LS pmt decreases when rates increase</t>
  </si>
  <si>
    <t>LS: balance * factor</t>
  </si>
  <si>
    <t>Annuity: balance / factor</t>
  </si>
  <si>
    <t>per month for life</t>
  </si>
  <si>
    <t xml:space="preserve">LS Value = </t>
  </si>
  <si>
    <t>increase factor</t>
  </si>
  <si>
    <t>no change…factor=1</t>
  </si>
  <si>
    <t>SS not allowed to take lump sum</t>
  </si>
  <si>
    <t>for some reason my factors are off…</t>
  </si>
  <si>
    <t>oh, I get it…COPY FORUMLAS</t>
  </si>
  <si>
    <t>discount rate (i) and cola rate ( c ) are opposites</t>
  </si>
  <si>
    <t>ratio creates new rate</t>
  </si>
  <si>
    <t>( 1 + c ) / ( 1 + i )</t>
  </si>
  <si>
    <t xml:space="preserve">use formulas to quickly evaluate what happens when cola or discounting </t>
  </si>
  <si>
    <t>goes up/down 1%</t>
  </si>
  <si>
    <t>maybe have multiple of these tables</t>
  </si>
  <si>
    <t>bend pts always age 62</t>
  </si>
  <si>
    <t>do some serious lookups…if nothing else fancy excel</t>
  </si>
  <si>
    <t>discount factor</t>
  </si>
  <si>
    <t>Discount Factor</t>
  </si>
  <si>
    <t>COLA / Increase Factor</t>
  </si>
  <si>
    <t>Rate</t>
  </si>
  <si>
    <t>pmt per month</t>
  </si>
  <si>
    <t>Lump Sum:</t>
  </si>
  <si>
    <t>PPA - pension protection act</t>
  </si>
  <si>
    <t>can't be taken before age 62</t>
  </si>
  <si>
    <t>must be taken by 67</t>
  </si>
  <si>
    <t>has to be taken as annuity - all in that form</t>
  </si>
  <si>
    <t>taxed at low rate</t>
  </si>
  <si>
    <t>house, business</t>
  </si>
  <si>
    <t>income:</t>
  </si>
  <si>
    <t>people will put their money into this (e.g. real estate) if they don't have a pension</t>
  </si>
  <si>
    <t>can sell without tax - 1031 6 mos new house</t>
  </si>
  <si>
    <t>Asset</t>
  </si>
  <si>
    <t>Social Security</t>
  </si>
  <si>
    <t>people who don't work corporate</t>
  </si>
  <si>
    <t>"tax is a big deal"</t>
  </si>
  <si>
    <t>lump sum you can take at any time just heavily taxed</t>
  </si>
  <si>
    <t>LS or annuity ages 55-65</t>
  </si>
  <si>
    <t>DB Plan</t>
  </si>
  <si>
    <t>DC/401k</t>
  </si>
  <si>
    <t>take at 59.5 to avoid all penalites - heavily penalized if taken early unless for certain reasons</t>
  </si>
  <si>
    <t>most can choose which way they want to take</t>
  </si>
  <si>
    <t>running account balance with contributions and interest, can start taking at 59.5 what you want out of it</t>
  </si>
  <si>
    <t>at 70.5 or 71.5 you have to start taking money</t>
  </si>
  <si>
    <t>^RMD (required minimum distribution)</t>
  </si>
  <si>
    <t>anything before 65 reduced: 55-65, cap at 70.5</t>
  </si>
  <si>
    <t>can take out money as you like - NOT like DB</t>
  </si>
  <si>
    <t>"once you've chosen, you're done"</t>
  </si>
  <si>
    <t>Roth IRA</t>
  </si>
  <si>
    <t>or personal mkt investments</t>
  </si>
  <si>
    <t>roll over benefits to retirement acct</t>
  </si>
  <si>
    <t>no tax ever? Dif varieties</t>
  </si>
  <si>
    <t>no final age, can let go forever</t>
  </si>
  <si>
    <t>convert LS to annuity --&gt; lose money</t>
  </si>
  <si>
    <t>dc might have plan defined annuity calculation - full value, don't lose money</t>
  </si>
  <si>
    <t>can do whatever you want money/time wise</t>
  </si>
  <si>
    <t>ex - asset 300K, ROTH 100k</t>
  </si>
  <si>
    <t>age 65, investment bonds 400k</t>
  </si>
  <si>
    <t>longer you wait = more money</t>
  </si>
  <si>
    <t>Capped Pay</t>
  </si>
  <si>
    <t>Index Factor</t>
  </si>
  <si>
    <t>Index Earnings</t>
  </si>
  <si>
    <t>Bend Points</t>
  </si>
  <si>
    <t>Retirement Age</t>
  </si>
  <si>
    <t>Life Expectancy</t>
  </si>
  <si>
    <t>$</t>
  </si>
  <si>
    <t>Adj</t>
  </si>
  <si>
    <t>Age of IRA or Plan Beneficiary</t>
  </si>
  <si>
    <t>Life Expectancy (in years)</t>
  </si>
  <si>
    <t>1937-50</t>
  </si>
  <si>
    <t>1937 and prior</t>
  </si>
  <si>
    <t>1951-54</t>
  </si>
  <si>
    <t>65 and 2 months</t>
  </si>
  <si>
    <t>1955-58</t>
  </si>
  <si>
    <t>65 and 4 months</t>
  </si>
  <si>
    <t>1959-65</t>
  </si>
  <si>
    <t>65 and 6 months</t>
  </si>
  <si>
    <t>1966-67</t>
  </si>
  <si>
    <t>65 and 8 months</t>
  </si>
  <si>
    <t>1968-71</t>
  </si>
  <si>
    <t>65 and 10 months</t>
  </si>
  <si>
    <t>1943-54</t>
  </si>
  <si>
    <t>66 and 2 months</t>
  </si>
  <si>
    <t>66 and 4 months</t>
  </si>
  <si>
    <t>66 and 6 months</t>
  </si>
  <si>
    <t>66 and 8 months</t>
  </si>
  <si>
    <t>66 and 10 months</t>
  </si>
  <si>
    <t>1960 and later</t>
  </si>
  <si>
    <t>        104</t>
  </si>
  <si>
    <t>        105</t>
  </si>
  <si>
    <t>120+</t>
  </si>
  <si>
    <t>National Average Wage Income ( NAWI )</t>
  </si>
  <si>
    <t>Top 35</t>
  </si>
  <si>
    <t>AIME</t>
  </si>
  <si>
    <t>SSNRA</t>
  </si>
  <si>
    <t>w/ COLA</t>
  </si>
  <si>
    <t>*projected</t>
  </si>
  <si>
    <t>*</t>
  </si>
  <si>
    <t>backup</t>
  </si>
  <si>
    <t>start getting COLA at age 62</t>
  </si>
  <si>
    <t>benefit = (1 + COLA) each yr 62-70</t>
  </si>
  <si>
    <t>ex age 67 you get 5 years COLA</t>
  </si>
  <si>
    <t>age 66 93.33%</t>
  </si>
  <si>
    <t>6 2/3 % each year after 62 after 70% at 62</t>
  </si>
  <si>
    <t>62 70, 63 75, 64 80, 65 86.67, 66 93.33, 67 no change</t>
  </si>
  <si>
    <t>then * 1.08, *1.08^2, etc. for each year</t>
  </si>
  <si>
    <t>compounded / cola is cumulative</t>
  </si>
  <si>
    <t>Current Conditions:</t>
  </si>
  <si>
    <t>SS must be collected by age 67 (born 1960 or earlier)</t>
  </si>
  <si>
    <t>6 &amp; 2/3% reduction/yr for each year before age 67</t>
  </si>
  <si>
    <t>With Early Reduction</t>
  </si>
  <si>
    <t>** COLA at a 3%/yr estimate</t>
  </si>
  <si>
    <t>SSNRA w/ COLA</t>
  </si>
  <si>
    <t>I. Control</t>
  </si>
  <si>
    <t>Social Security must be taken by age 67.</t>
  </si>
  <si>
    <t>Social Security must be taken by age 72.</t>
  </si>
  <si>
    <t>IV. Max age is 72, early reduction only until age 65, 3% COLA</t>
  </si>
  <si>
    <t>III. Original conditions, 5%/yr reduction</t>
  </si>
  <si>
    <t>II. Original Conditions, COLA is estimated at 6%/yr</t>
  </si>
  <si>
    <t>Scenarios:</t>
  </si>
  <si>
    <t xml:space="preserve">IV. </t>
  </si>
  <si>
    <t>% Increase</t>
  </si>
  <si>
    <t>Averages:</t>
  </si>
  <si>
    <t>Conclusion: COLA estimates would be greatest, but you need</t>
  </si>
  <si>
    <t>to space it out evenly in terms of increase/decrease</t>
  </si>
  <si>
    <t>Variables</t>
  </si>
  <si>
    <t>Reduction</t>
  </si>
  <si>
    <t>Collection Age</t>
  </si>
  <si>
    <t>II. COLA + X %</t>
  </si>
  <si>
    <t>III. Reduction -X%</t>
  </si>
  <si>
    <t>AIME:</t>
  </si>
  <si>
    <t>SSNRA:</t>
  </si>
  <si>
    <t>Estimated 2024 (AGE 62) bend points:</t>
  </si>
  <si>
    <t>BP1</t>
  </si>
  <si>
    <t>BP2</t>
  </si>
  <si>
    <t>Four analyses: percentages, bend point ages, AIME, bend point projections</t>
  </si>
  <si>
    <t>2024 BP1</t>
  </si>
  <si>
    <t>2024 BP2</t>
  </si>
  <si>
    <t>General Formula: SSNRA = .9 * first bend point + .32 * ( second bend point - first bend point ) + .15 * ( max ( 0, AIME - second bend point ) )</t>
  </si>
  <si>
    <t>Standard Social Security Calculation</t>
  </si>
  <si>
    <t>TWB - 1%</t>
  </si>
  <si>
    <t>TWB - 2%</t>
  </si>
  <si>
    <t>TWB - 3%</t>
  </si>
  <si>
    <t>TWB - 4%</t>
  </si>
  <si>
    <t>TWB + 5%</t>
  </si>
  <si>
    <t>TWB - 5%</t>
  </si>
  <si>
    <t>TWB + 1%</t>
  </si>
  <si>
    <t>TWB + 2%</t>
  </si>
  <si>
    <t>TWB + 3%</t>
  </si>
  <si>
    <t>TWB + 4%</t>
  </si>
  <si>
    <t>* projected at 3% annual growth</t>
  </si>
  <si>
    <t>Sheet Name</t>
  </si>
  <si>
    <t>collection_age</t>
  </si>
  <si>
    <t>bend_pts</t>
  </si>
  <si>
    <t>I. Constant COLAs</t>
  </si>
  <si>
    <t>II. Changes Annually</t>
  </si>
  <si>
    <t xml:space="preserve"> (e.g., IRAs, investments, employer contributions, unemployment money from the state, etc.) are not included in the Social Security calculation.</t>
  </si>
  <si>
    <t>Current Social Security Assumptions:</t>
  </si>
  <si>
    <t>~ Social Security cannot be taken until age 62, but must be taken by age 67(see appendix).</t>
  </si>
  <si>
    <t>~ Index Factors are based on age 60.</t>
  </si>
  <si>
    <t>~ Bend points are based on age 62.</t>
  </si>
  <si>
    <t>~ Participants cannot earn more than the taxable wage base (TWB) each year before multiplying by the index factor.</t>
  </si>
  <si>
    <t>~ There is a 6 2/3 % reduction for each year social security is taken "early" (before 67).</t>
  </si>
  <si>
    <t>etc…</t>
  </si>
  <si>
    <t>Note: Scott only gets taxed on the money he has made through his full-time employment. His other sources of income</t>
  </si>
  <si>
    <t>~ Index Factors are fixed at 1 for every year past age 60.</t>
  </si>
  <si>
    <t>~ Bend points 90/32/15</t>
  </si>
  <si>
    <t xml:space="preserve">Scott will work until age 63, but will choose not to collect social security age 67. </t>
  </si>
  <si>
    <t>Pay*</t>
  </si>
  <si>
    <t>*these numbers are merely hypothetical and the pay through 2025 is projected.</t>
  </si>
  <si>
    <t>COLA varies every year and can be very hard to project.</t>
  </si>
  <si>
    <t>~ A Cost of Living Adjustment (COLA) factor is multiplied for each year ages 62-67.</t>
  </si>
  <si>
    <t>~ Average Indexed Monthly Earnings (AIME) are based on the highest 35 years of indexed earnings.</t>
  </si>
  <si>
    <t>Collection age, COLA, and reductions:</t>
  </si>
  <si>
    <t>I. Bend Point Percentages ( 90/32/15 each halved and doubled )</t>
  </si>
  <si>
    <t>II. Bend Point Ages ( 62 +/ 7 yrs )</t>
  </si>
  <si>
    <t>III. AIME years averaged ( 10 - 35 years in intervals of 5 )</t>
  </si>
  <si>
    <t>IV. Bend Point Projections</t>
  </si>
  <si>
    <t>A</t>
  </si>
  <si>
    <t>C</t>
  </si>
  <si>
    <t>D</t>
  </si>
  <si>
    <t>E</t>
  </si>
  <si>
    <t>F</t>
  </si>
  <si>
    <t>Change</t>
  </si>
  <si>
    <t>% Δ</t>
  </si>
  <si>
    <t>% Δ:</t>
  </si>
  <si>
    <t>90 / 2</t>
  </si>
  <si>
    <t>32 / 2</t>
  </si>
  <si>
    <t>15 / 2</t>
  </si>
  <si>
    <t>90 * 2</t>
  </si>
  <si>
    <t>32 * 2</t>
  </si>
  <si>
    <t>15 * 2</t>
  </si>
  <si>
    <r>
      <t xml:space="preserve">% </t>
    </r>
    <r>
      <rPr>
        <b/>
        <sz val="11"/>
        <color theme="1"/>
        <rFont val="Calibri"/>
        <family val="2"/>
      </rPr>
      <t>Δ</t>
    </r>
  </si>
  <si>
    <t>Top X Yrs</t>
  </si>
  <si>
    <t>* at a 3%/yr increase projection for BPs past 2022 (age 60)</t>
  </si>
  <si>
    <t>III. AIME Requirements</t>
  </si>
  <si>
    <t>I. Bend Point Percentages</t>
  </si>
  <si>
    <t>II. Age for Bend Points</t>
  </si>
  <si>
    <t xml:space="preserve">IV. Bend Point Projections ( 1 - 7 % annual increases ) </t>
  </si>
  <si>
    <t>add a general formula somewhere? I think this needs to go horiziontal like BPs…oy vey</t>
  </si>
  <si>
    <t>Since Scott is still working by the time he is 62, we are assuming he will not take out SS before 63.</t>
  </si>
  <si>
    <t>Date of Hire</t>
  </si>
  <si>
    <t>Date of Termination</t>
  </si>
  <si>
    <t>Avg | % Δ |</t>
  </si>
  <si>
    <t>Avg | % Δ | :</t>
  </si>
  <si>
    <t>Largest change on average: bend point ratios (multipliers)</t>
  </si>
  <si>
    <t>Age at Termination:</t>
  </si>
  <si>
    <t>Collection Age:</t>
  </si>
  <si>
    <t>Max Age:</t>
  </si>
  <si>
    <t>COLA:</t>
  </si>
  <si>
    <t>I. Collection Age</t>
  </si>
  <si>
    <t>II. Max Age</t>
  </si>
  <si>
    <t>Min Age:</t>
  </si>
  <si>
    <t>Reduction:</t>
  </si>
  <si>
    <t>Adjusted SSNRA:</t>
  </si>
  <si>
    <t>Since Scott has already chosen the latest collection date possible,</t>
  </si>
  <si>
    <t>Adjusted SSNRA*:</t>
  </si>
  <si>
    <t>* assuming collection age is still 67, reduction applies</t>
  </si>
  <si>
    <t>~ Social Security must be taken out as an annuity.</t>
  </si>
  <si>
    <t>A. Still retiring at 67</t>
  </si>
  <si>
    <t>B. Collecting as Late as Possible</t>
  </si>
  <si>
    <t>Max Age</t>
  </si>
  <si>
    <t>III. Min Age</t>
  </si>
  <si>
    <t>Looks at age requirements for minimum and maximum age to take Social Security.</t>
  </si>
  <si>
    <t>III. Changes in Reductions</t>
  </si>
  <si>
    <t>Assumed COLA:</t>
  </si>
  <si>
    <t>Adj SSNRA</t>
  </si>
  <si>
    <t>Annual Reduction</t>
  </si>
  <si>
    <t>Controls</t>
  </si>
  <si>
    <t>Analyses:</t>
  </si>
  <si>
    <t>collection before age 67  (holding maximum allowed age constant at 67)</t>
  </si>
  <si>
    <t>I. No TWB</t>
  </si>
  <si>
    <t>Traditional Steps to Social Security Calculation(s):</t>
  </si>
  <si>
    <t>Compare pay with TWB, take minimum of the two</t>
  </si>
  <si>
    <t>Use the age 60 NAWI for index factor</t>
  </si>
  <si>
    <t>Divide NAWI at each age 22-59 by the age 60 NAWI</t>
  </si>
  <si>
    <t>Any factor after age 60 is automatically 1.</t>
  </si>
  <si>
    <t>Any pay before age 22 is not included.</t>
  </si>
  <si>
    <t>Multiply capped pay by index factor for each year.</t>
  </si>
  <si>
    <t>Average the top 35 highest index earnings and divide by 12 to get AIME</t>
  </si>
  <si>
    <t>Use age 62 bend points to calculate SSNRA.</t>
  </si>
  <si>
    <t>Acronym</t>
  </si>
  <si>
    <t>Term</t>
  </si>
  <si>
    <t>BP</t>
  </si>
  <si>
    <t>SS</t>
  </si>
  <si>
    <t>Date of Birth</t>
  </si>
  <si>
    <t>Bend Point(s)</t>
  </si>
  <si>
    <t>Cost of Living Adjustment</t>
  </si>
  <si>
    <t>National Average Wage Index</t>
  </si>
  <si>
    <t>Taxable Wage Base</t>
  </si>
  <si>
    <t>Social Security (at) Normal Retirement Age</t>
  </si>
  <si>
    <t>Average Indexed Monthly Earnings</t>
  </si>
  <si>
    <t>Sensitivity Analyses:</t>
  </si>
  <si>
    <t>Scenario Analysis:</t>
  </si>
  <si>
    <t>Other:</t>
  </si>
  <si>
    <t>extrema</t>
  </si>
  <si>
    <t>Administrative:</t>
  </si>
  <si>
    <t>Description / Analysis</t>
  </si>
  <si>
    <t>70 is of no relevance</t>
  </si>
  <si>
    <t>I have written that this is 70% instead…why??</t>
  </si>
  <si>
    <t xml:space="preserve">ay yi yi </t>
  </si>
  <si>
    <t>COLA = 0</t>
  </si>
  <si>
    <t>reduction = 0</t>
  </si>
  <si>
    <t>Std. 5 Yr:</t>
  </si>
  <si>
    <t>COLA &amp; Annual Reductions</t>
  </si>
  <si>
    <t>/yr before age 67</t>
  </si>
  <si>
    <t>III. Alternate Reductions ( 1 - 10 % )</t>
  </si>
  <si>
    <t>I. Constant COLA ( 1 - 10% )</t>
  </si>
  <si>
    <t>Distance</t>
  </si>
  <si>
    <t>(latest BPs available)</t>
  </si>
  <si>
    <t>Conclusion</t>
  </si>
  <si>
    <t>will only cause him to lose money, since SSNRA decreases.</t>
  </si>
  <si>
    <t>A. Retiring at 67</t>
  </si>
  <si>
    <t>B. Retiring as late as possible</t>
  </si>
  <si>
    <t>C. Moving Age</t>
  </si>
  <si>
    <t>Yr 1</t>
  </si>
  <si>
    <t>Yr 2</t>
  </si>
  <si>
    <t>Yr 3</t>
  </si>
  <si>
    <t>Yr 4</t>
  </si>
  <si>
    <t>Yr 5</t>
  </si>
  <si>
    <t>1, 2, 3, 4, 5</t>
  </si>
  <si>
    <t>2, 4, 6, 8, 10</t>
  </si>
  <si>
    <t>Scenario*</t>
  </si>
  <si>
    <t>0, 0, 0, 1, 2</t>
  </si>
  <si>
    <t>3, 4, 5, 6, 7</t>
  </si>
  <si>
    <t>here</t>
  </si>
  <si>
    <t>8, 9, 10, 2, 1</t>
  </si>
  <si>
    <t xml:space="preserve">*assuming COLA always &gt; = 0 </t>
  </si>
  <si>
    <t>TWB - 10%</t>
  </si>
  <si>
    <t>TWB - 15%</t>
  </si>
  <si>
    <t>TWB - 20 %</t>
  </si>
  <si>
    <t>Rank H-L</t>
  </si>
  <si>
    <t>Round down to nearesr 10₵</t>
  </si>
  <si>
    <t>Age 62 Yr:</t>
  </si>
  <si>
    <t>Year⌄</t>
  </si>
  <si>
    <t>BPs:</t>
  </si>
  <si>
    <r>
      <t xml:space="preserve">AIME &amp; SSNRA </t>
    </r>
    <r>
      <rPr>
        <sz val="11"/>
        <color theme="1"/>
        <rFont val="Calibri"/>
        <family val="2"/>
        <scheme val="minor"/>
      </rPr>
      <t>(Only for TWB - 20% )</t>
    </r>
  </si>
  <si>
    <t>No change - never hits TWB</t>
  </si>
  <si>
    <t>II. No NAWI / Indexing</t>
  </si>
  <si>
    <t>Indexed Earnings</t>
  </si>
  <si>
    <t>III. Index with TWB</t>
  </si>
  <si>
    <t>SS Gone Rogue</t>
  </si>
  <si>
    <t>% Changes</t>
  </si>
  <si>
    <t>Only the -20% will have any effect on AIME (top 35 out of 42 years worked)</t>
  </si>
  <si>
    <t>Altering the TWB will more greatly affect those with higher pay.</t>
  </si>
  <si>
    <t>For Scott, a 20% decrease in the taxable wage base leads to less than a 1% decrease in his social security payment.</t>
  </si>
  <si>
    <t>Adjusted SSNRA</t>
  </si>
  <si>
    <t>S</t>
  </si>
  <si>
    <t>C. Moving Collection Date (keeping min age at 62)</t>
  </si>
  <si>
    <t>Trendlines:</t>
  </si>
  <si>
    <t>I. TWB (one calc)</t>
  </si>
  <si>
    <t>read_me</t>
  </si>
  <si>
    <t>summary</t>
  </si>
  <si>
    <t>data</t>
  </si>
  <si>
    <t>ss_calc</t>
  </si>
  <si>
    <t>appendix</t>
  </si>
  <si>
    <t>glossary</t>
  </si>
  <si>
    <t>Tables for bend points, COLA, NAWI, TWB, &amp; retirement age</t>
  </si>
  <si>
    <t>(Scenarios A-F)</t>
  </si>
  <si>
    <t>2, 2, 5, 6, 7</t>
  </si>
  <si>
    <t>II. Annual Changes to COLA ( 6 Scenarios )</t>
  </si>
  <si>
    <t>Agg Avg</t>
  </si>
  <si>
    <t>mutlivariate</t>
  </si>
  <si>
    <t>(AIME based on capped pay)</t>
  </si>
  <si>
    <t>I. How useful is the taxable wage base on lower-wage workers?</t>
  </si>
  <si>
    <t>II. To what extent does index increase/decrease SSNRA?</t>
  </si>
  <si>
    <t>III. How drastically would SSNRA change without either?</t>
  </si>
  <si>
    <t>new!^</t>
  </si>
  <si>
    <t>Adj (%)</t>
  </si>
  <si>
    <t>Taxable Wage Base                 ( TWB )</t>
  </si>
  <si>
    <t>Appendix</t>
  </si>
  <si>
    <t>Latest COLA (2022):</t>
  </si>
  <si>
    <t>NAWI_table</t>
  </si>
  <si>
    <t>COLA_table</t>
  </si>
  <si>
    <t>BP_table</t>
  </si>
  <si>
    <t>TWB_table</t>
  </si>
  <si>
    <t>Extras</t>
  </si>
  <si>
    <t>Data</t>
  </si>
  <si>
    <t>Multipliers:</t>
  </si>
  <si>
    <t>!</t>
  </si>
  <si>
    <t>Glossary</t>
  </si>
  <si>
    <t>Monthly pmt = 90% * first bp + 32% * difference between the two bps + 15% * difference between AIME and second bp</t>
  </si>
  <si>
    <t>Adjust this number depending on collection date</t>
  </si>
  <si>
    <t>Control</t>
  </si>
  <si>
    <t>5 Yr Adj SSNRA</t>
  </si>
  <si>
    <t>New SSNRA</t>
  </si>
  <si>
    <t>A. COLA increased to 7%, max retirement age is 70, wait until 70</t>
  </si>
  <si>
    <t>could just split into negative and positive changes, whole bunch of attempts in each section</t>
  </si>
  <si>
    <t>New</t>
  </si>
  <si>
    <t>double - as expected</t>
  </si>
  <si>
    <t>F. Mean: AIME down to nearest 1,000 , half all BPs , must take by 65, 2% COLA</t>
  </si>
  <si>
    <t>G. Take at 65, reduction now 7.5%</t>
  </si>
  <si>
    <t>B. Bend point multipliers are each doubled, 5% COLA</t>
  </si>
  <si>
    <t>C. Top 10 only for AIME, 3.5% COLA</t>
  </si>
  <si>
    <t>E. Double only the 32%, round AIME up to the nearest 1,000 , 1% COLA</t>
  </si>
  <si>
    <t>D. COLA increased to 5%, reduction also 5%, max age is 70 but still collect at 67</t>
  </si>
  <si>
    <t>Scenario Analysis</t>
  </si>
  <si>
    <t>H. No bend points, use 67% of AIME instead</t>
  </si>
  <si>
    <t>I. COLA increases 1%/yr starting at 3, 90% BP doubled, age 68</t>
  </si>
  <si>
    <t>9 Test Cases</t>
  </si>
  <si>
    <t>Max</t>
  </si>
  <si>
    <t>Collect</t>
  </si>
  <si>
    <t>*replacing the 0s in years 33-35 with 36-38</t>
  </si>
  <si>
    <t>^ age 57</t>
  </si>
  <si>
    <t>all before taxes</t>
  </si>
  <si>
    <t>SSNRRA</t>
  </si>
  <si>
    <t>IV. No TWB or NAWI</t>
  </si>
  <si>
    <t>if this is too overwhelming, just look at the conclusion page!</t>
  </si>
  <si>
    <t>V. Only working 35 Years</t>
  </si>
  <si>
    <t>hypothetical change in LS</t>
  </si>
  <si>
    <t>Retire @ 62, Collect @ 67</t>
  </si>
  <si>
    <t>Retire @ 57, Collect @ 67</t>
  </si>
  <si>
    <t>LS</t>
  </si>
  <si>
    <t>Dif</t>
  </si>
  <si>
    <t>So, hypothetically, all else ignored, my dad would have</t>
  </si>
  <si>
    <t xml:space="preserve">made an extra $500 or so by retiring 5 years earlier assuming </t>
  </si>
  <si>
    <t>he still waits until 67 to collect…</t>
  </si>
  <si>
    <t>That's nothing! Compared to 5 yrs salary…</t>
  </si>
  <si>
    <t>VI. Stop Working when Laid Off (32 years)</t>
  </si>
  <si>
    <t>add:</t>
  </si>
  <si>
    <t>he only loses 2% assuming he waits until 67 years!! After all that…</t>
  </si>
  <si>
    <t>Change in LS</t>
  </si>
  <si>
    <t>*it's very possible I used this definition incorrectly - I prefer SSNRA (BP calc) and then adjusted SSNRRA :)</t>
  </si>
  <si>
    <t>to account for COLA &amp; Reductions in a subsequent step</t>
  </si>
  <si>
    <t>Smallest: bend point projections</t>
  </si>
  <si>
    <t>Because Scott makes less than the TWB, increases will play no role in his SS calculations. TWB would need to be lowered instead.</t>
  </si>
  <si>
    <t>(holding all else equal)</t>
  </si>
  <si>
    <t>COLA factors chosen at random</t>
  </si>
  <si>
    <t>on average by 10%</t>
  </si>
  <si>
    <t>for a 1% change in reduction for every 1 year of collection, SNNRA increases</t>
  </si>
  <si>
    <t>greater reduction = lower SSNRA (negative % change), i.e. 7% &gt; 6 2/3%</t>
  </si>
  <si>
    <t>Definiton of abbreviated terms / acronyms</t>
  </si>
  <si>
    <t>General instructions for assignment, key assumptions</t>
  </si>
  <si>
    <t>Table of contents</t>
  </si>
  <si>
    <t>Age, dates, and pay for an individual</t>
  </si>
  <si>
    <t>Original / standard / control SSNRA calculation</t>
  </si>
  <si>
    <t>Summary</t>
  </si>
  <si>
    <t xml:space="preserve">A. Raising maximum collection age without additional reductions </t>
  </si>
  <si>
    <t>General Formula: SSNRA * [ ( 1 + COLA ) ^ ( collection age - min age ) ] * [ 1 - reduction * ( max age - collection age ) ]</t>
  </si>
  <si>
    <t xml:space="preserve">            This condition holds for similar subsequent analyses as well throughout the spreadsheet.</t>
  </si>
  <si>
    <r>
      <rPr>
        <sz val="11"/>
        <color rgb="FFC00000"/>
        <rFont val="Calibri"/>
        <family val="2"/>
        <scheme val="minor"/>
      </rPr>
      <t>NOTE:</t>
    </r>
    <r>
      <rPr>
        <sz val="11"/>
        <color theme="1"/>
        <rFont val="Calibri"/>
        <family val="2"/>
        <scheme val="minor"/>
      </rPr>
      <t xml:space="preserve"> Since Scott technically works until age 63, he cannot collect social security at age 62 pay based on 2025 (age 63).</t>
    </r>
  </si>
  <si>
    <t>mathces II.B</t>
  </si>
  <si>
    <t>note: SSNRA not including adjustments for COLA / early reductions</t>
  </si>
  <si>
    <t>Testing change(s) in SSNRA if caps increased/decreased</t>
  </si>
  <si>
    <r>
      <t xml:space="preserve">General Formula:  SSNRA * [ ( 1 + </t>
    </r>
    <r>
      <rPr>
        <b/>
        <sz val="11"/>
        <color theme="1"/>
        <rFont val="Calibri"/>
        <family val="2"/>
        <scheme val="minor"/>
      </rPr>
      <t>COLA</t>
    </r>
    <r>
      <rPr>
        <sz val="11"/>
        <color theme="1"/>
        <rFont val="Calibri"/>
        <family val="2"/>
        <scheme val="minor"/>
      </rPr>
      <t xml:space="preserve"> ) ^ ( collection age - min age ) ] * [ 1 - </t>
    </r>
    <r>
      <rPr>
        <b/>
        <sz val="11"/>
        <color theme="1"/>
        <rFont val="Calibri"/>
        <family val="2"/>
        <scheme val="minor"/>
      </rPr>
      <t>reduction</t>
    </r>
    <r>
      <rPr>
        <sz val="11"/>
        <color theme="1"/>
        <rFont val="Calibri"/>
        <family val="2"/>
        <scheme val="minor"/>
      </rPr>
      <t xml:space="preserve"> * ( max age - collection age ) ]</t>
    </r>
  </si>
  <si>
    <t>(aggregate)</t>
  </si>
  <si>
    <t>Results:</t>
  </si>
  <si>
    <t>Age *</t>
  </si>
  <si>
    <t>Dif in Yrs</t>
  </si>
  <si>
    <t>Distance**</t>
  </si>
  <si>
    <t>**how far from original collection age</t>
  </si>
  <si>
    <t>Distance (Yrs)</t>
  </si>
  <si>
    <t>using PPA single life factors</t>
  </si>
  <si>
    <t>LS* at age 67:</t>
  </si>
  <si>
    <t>*lump sum not actually possible (legal) for SS</t>
  </si>
  <si>
    <t>Lump Sum</t>
  </si>
  <si>
    <t>PPA</t>
  </si>
  <si>
    <t>Cost-of-Living Adjustment ( COLA )</t>
  </si>
  <si>
    <t>SLA</t>
  </si>
  <si>
    <t>Single Life Annuity</t>
  </si>
  <si>
    <t>Pension Protection Act</t>
  </si>
  <si>
    <t>SSNRA*</t>
  </si>
  <si>
    <t>* - 6 2/3 % ages 64-67, 5% ages 62…80% of initial value at 64, 70% at 62</t>
  </si>
  <si>
    <t>Age Requirements</t>
  </si>
  <si>
    <t>Analyses I - VI</t>
  </si>
  <si>
    <t xml:space="preserve">Diminishing all caps and indexing </t>
  </si>
  <si>
    <t>pmt by 11.7%.</t>
  </si>
  <si>
    <t>only decreases Scott's SS annuity</t>
  </si>
  <si>
    <t>VI. What if Scott as retired as soon as he was laid off at age 54?</t>
  </si>
  <si>
    <t>IV. How much would SS decrease without indexing or caps?</t>
  </si>
  <si>
    <t>(as expected)</t>
  </si>
  <si>
    <t>V. How much would be lost if working a minimum 35 years? Is the extra 6 years of pay worth it?</t>
  </si>
  <si>
    <t xml:space="preserve">He should have retired early!! </t>
  </si>
  <si>
    <t>Current Reduction*:</t>
  </si>
  <si>
    <r>
      <t xml:space="preserve">*NOTE: </t>
    </r>
    <r>
      <rPr>
        <sz val="11"/>
        <rFont val="Calibri"/>
        <family val="2"/>
        <scheme val="minor"/>
      </rPr>
      <t>COLA oversimplified to 6 2/3% for 5 yrs</t>
    </r>
  </si>
  <si>
    <t>Assumptions:</t>
  </si>
  <si>
    <t>TWB, NAWI, and bend points are all projected to grow at 3%/yr.</t>
  </si>
  <si>
    <t>Explores different options for methods in bend point calculations.</t>
  </si>
  <si>
    <t>COLA_reductions</t>
  </si>
  <si>
    <t>Adjusts Taxable Wage Base to see change in SSNRA.</t>
  </si>
  <si>
    <t>Combination of several previously examined variables in one SSNRA calculation</t>
  </si>
  <si>
    <t>Miscellaneous, more drastic / exaggerated changes</t>
  </si>
  <si>
    <t>Summary of results and suggestions</t>
  </si>
  <si>
    <t>Changes in COLA, max and min age, collection age, AIME, bend points, reductions, etc…</t>
  </si>
  <si>
    <t>Scenarios chosen ~slightly~ at random - not necessarily worst or optimal situation, just an extension to see the interaction</t>
  </si>
  <si>
    <t xml:space="preserve">Because Scott has relatively consistent </t>
  </si>
  <si>
    <t>pay throughout the years,</t>
  </si>
  <si>
    <t>a reduction in AIME requirements</t>
  </si>
  <si>
    <t>is not hugely beneficial.</t>
  </si>
  <si>
    <t>Reductions are held at a constant 6 2/3% per year taken before age 67.</t>
  </si>
  <si>
    <t>Doubling Bend Points:</t>
  </si>
  <si>
    <t>change in SSNRA</t>
  </si>
  <si>
    <t>Taking 10 Years off of AIME Calculations</t>
  </si>
  <si>
    <t>Lowering TWB by 20%</t>
  </si>
  <si>
    <t>Increasing COLA to 8%:</t>
  </si>
  <si>
    <t>Allowing 5 more years to wait to collect:</t>
  </si>
  <si>
    <t>Notably helpful</t>
  </si>
  <si>
    <t>Indexing with TWB instead of NAWI</t>
  </si>
  <si>
    <t>Relatively indifferent</t>
  </si>
  <si>
    <t>Hurtful</t>
  </si>
  <si>
    <t>Collecting 5 years early</t>
  </si>
  <si>
    <t>Changing the 32% BP to 16%</t>
  </si>
  <si>
    <t>0% COLA for 3 yrs, followed by 1 &amp; 2%</t>
  </si>
  <si>
    <t>Individuals on the lower-pay end would benefit from:</t>
  </si>
  <si>
    <t>C. Increasing bend point ratios (rather than the actual bend points themselves)</t>
  </si>
  <si>
    <t>So, if the government is worried about social security going bankrupt, they</t>
  </si>
  <si>
    <t>can consider starting with some minor changes that would be the opposite</t>
  </si>
  <si>
    <t>of those listed above.</t>
  </si>
  <si>
    <t>These include changes the indivual can make, but mostly</t>
  </si>
  <si>
    <t>depend on the government's authority / general regulation.</t>
  </si>
  <si>
    <t>B. Increasing COLA (rather than lowering reductions)</t>
  </si>
  <si>
    <t>To use this sheet for another user, please change the "data" tab to appropriate years and pay.</t>
  </si>
  <si>
    <t>Some of the cell references may need to be changed / adjusted to account for fewer or additional years.</t>
  </si>
  <si>
    <t>AM451 FINAL PROJECT: SOCIAL SECURITY</t>
  </si>
  <si>
    <t>Overview:</t>
  </si>
  <si>
    <t>Utility:</t>
  </si>
  <si>
    <t>Your own idea</t>
  </si>
  <si>
    <t xml:space="preserve">Question to answer: </t>
  </si>
  <si>
    <t>How do certain factors of the U.S. Social Security system affect individuals, and how can the government look to reduce costs?</t>
  </si>
  <si>
    <t>The following excel sheet examines the current social security process for an individual through both sensitivity and scenario analysis.</t>
  </si>
  <si>
    <t>A. Keeping COLA low</t>
  </si>
  <si>
    <t>From a calculation standpoint, this would include:</t>
  </si>
  <si>
    <t>Impactful possible changes to Social Security from Scott's perspective:</t>
  </si>
  <si>
    <t>B. Raising the minimum retirement age but still keeping reductions (forcing individuals to work longer)</t>
  </si>
  <si>
    <t>C. Decreasing pay caps</t>
  </si>
  <si>
    <t>III. Minimum Age</t>
  </si>
  <si>
    <t>II. Maximum Age</t>
  </si>
  <si>
    <t>Choice(s) : B &amp; F</t>
  </si>
  <si>
    <t>After a standard social security calculation, the sheets following allow for alternative hypotheticals if social security were to change.</t>
  </si>
  <si>
    <t>COLA is estimated at an even 3%/yr.</t>
  </si>
  <si>
    <t>Personal Background:</t>
  </si>
  <si>
    <t>Social Security is an interesting topic to me ever since my dad got laid off in his 50s.</t>
  </si>
  <si>
    <t>He used to go on and on about how he just wanted to retire, especially since it was hard to find employment at his age, but my mom was only working time.</t>
  </si>
  <si>
    <t>In 2018, she went back full-time for the first time in about 25 years (for reference, they have two children).</t>
  </si>
  <si>
    <t>Analyzes living adjustments &amp; reductions throughout collection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</si>
</sst>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0.00000"/>
    <numFmt numFmtId="165" formatCode="0.0%"/>
    <numFmt numFmtId="166" formatCode="0.000%"/>
    <numFmt numFmtId="167" formatCode="0.0000%"/>
    <numFmt numFmtId="168" formatCode="0.0000"/>
    <numFmt numFmtId="169" formatCode="0.000"/>
  </numFmts>
  <fonts count="22" x14ac:knownFonts="1">
    <font>
      <sz val="11"/>
      <color theme="1"/>
      <name val="Calibri"/>
      <family val="2"/>
      <scheme val="minor"/>
    </font>
    <font>
      <sz val="11"/>
      <color theme="1"/>
      <name val="Calibri"/>
      <family val="2"/>
      <scheme val="minor"/>
    </font>
    <font>
      <sz val="10"/>
      <name val="Arial"/>
      <family val="2"/>
    </font>
    <font>
      <b/>
      <sz val="10"/>
      <name val="Arial"/>
      <family val="2"/>
    </font>
    <font>
      <u/>
      <sz val="11"/>
      <color theme="10"/>
      <name val="Calibri"/>
      <family val="2"/>
      <scheme val="minor"/>
    </font>
    <font>
      <b/>
      <u/>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
      <sz val="11"/>
      <color theme="0"/>
      <name val="Calibri"/>
      <family val="2"/>
      <scheme val="minor"/>
    </font>
    <font>
      <b/>
      <sz val="11"/>
      <color theme="4"/>
      <name val="Calibri"/>
      <family val="2"/>
      <scheme val="minor"/>
    </font>
    <font>
      <sz val="11"/>
      <color theme="4"/>
      <name val="Calibri"/>
      <family val="2"/>
      <scheme val="minor"/>
    </font>
    <font>
      <u/>
      <sz val="11"/>
      <color theme="1"/>
      <name val="Calibri"/>
      <family val="2"/>
      <scheme val="minor"/>
    </font>
    <font>
      <sz val="11"/>
      <color rgb="FFC00000"/>
      <name val="Calibri"/>
      <family val="2"/>
      <scheme val="minor"/>
    </font>
    <font>
      <b/>
      <sz val="11"/>
      <color rgb="FFC00000"/>
      <name val="Calibri"/>
      <family val="2"/>
      <scheme val="minor"/>
    </font>
    <font>
      <sz val="11"/>
      <color theme="1"/>
      <name val="Calibri"/>
      <family val="2"/>
    </font>
    <font>
      <b/>
      <sz val="11"/>
      <color theme="1"/>
      <name val="Calibri"/>
      <family val="2"/>
    </font>
    <font>
      <i/>
      <sz val="11"/>
      <color theme="1"/>
      <name val="Calibri"/>
      <family val="2"/>
      <scheme val="minor"/>
    </font>
    <font>
      <b/>
      <sz val="11"/>
      <color rgb="FF00B0F0"/>
      <name val="Calibri"/>
      <family val="2"/>
      <scheme val="minor"/>
    </font>
    <font>
      <sz val="11"/>
      <color rgb="FF7030A0"/>
      <name val="Calibri"/>
      <family val="2"/>
      <scheme val="minor"/>
    </font>
    <font>
      <b/>
      <sz val="11"/>
      <color rgb="FF00B050"/>
      <name val="Calibri"/>
      <family val="2"/>
      <scheme val="minor"/>
    </font>
    <font>
      <b/>
      <sz val="11"/>
      <color theme="8"/>
      <name val="Calibri"/>
      <family val="2"/>
      <scheme val="minor"/>
    </font>
  </fonts>
  <fills count="30">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FF00"/>
        <bgColor indexed="64"/>
      </patternFill>
    </fill>
    <fill>
      <patternFill patternType="solid">
        <fgColor rgb="FFE0D4FC"/>
        <bgColor indexed="64"/>
      </patternFill>
    </fill>
    <fill>
      <patternFill patternType="solid">
        <fgColor rgb="FFEBE3FD"/>
        <bgColor indexed="64"/>
      </patternFill>
    </fill>
    <fill>
      <patternFill patternType="solid">
        <fgColor rgb="FFF4F0FE"/>
        <bgColor indexed="64"/>
      </patternFill>
    </fill>
    <fill>
      <patternFill patternType="solid">
        <fgColor rgb="FFE1FFFF"/>
        <bgColor indexed="64"/>
      </patternFill>
    </fill>
    <fill>
      <patternFill patternType="solid">
        <fgColor rgb="FFFFD1D1"/>
        <bgColor indexed="64"/>
      </patternFill>
    </fill>
    <fill>
      <patternFill patternType="solid">
        <fgColor rgb="FFFF2121"/>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s>
  <cellStyleXfs count="9">
    <xf numFmtId="0" fontId="0" fillId="0" borderId="0"/>
    <xf numFmtId="44" fontId="1" fillId="0" borderId="0" applyFont="0" applyFill="0" applyBorder="0" applyAlignment="0" applyProtection="0"/>
    <xf numFmtId="0" fontId="2" fillId="0" borderId="0"/>
    <xf numFmtId="44" fontId="2" fillId="0" borderId="0" applyFont="0" applyFill="0" applyBorder="0" applyAlignment="0" applyProtection="0"/>
    <xf numFmtId="0" fontId="2" fillId="0" borderId="0"/>
    <xf numFmtId="0" fontId="1" fillId="0" borderId="0"/>
    <xf numFmtId="44"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cellStyleXfs>
  <cellXfs count="621">
    <xf numFmtId="0" fontId="0" fillId="0" borderId="0" xfId="0"/>
    <xf numFmtId="0" fontId="0" fillId="2" borderId="0" xfId="0" applyFill="1"/>
    <xf numFmtId="44" fontId="0" fillId="0" borderId="0" xfId="1" applyFont="1"/>
    <xf numFmtId="0" fontId="5" fillId="2" borderId="0" xfId="0" applyFont="1" applyFill="1" applyAlignment="1">
      <alignment horizontal="center"/>
    </xf>
    <xf numFmtId="15" fontId="0" fillId="2" borderId="0" xfId="0" applyNumberFormat="1" applyFill="1"/>
    <xf numFmtId="0" fontId="0" fillId="2" borderId="0" xfId="0" applyFill="1" applyAlignment="1">
      <alignment horizontal="left"/>
    </xf>
    <xf numFmtId="0" fontId="6" fillId="2" borderId="0" xfId="0" applyFont="1" applyFill="1"/>
    <xf numFmtId="0" fontId="6" fillId="2" borderId="0" xfId="4" applyFont="1" applyFill="1"/>
    <xf numFmtId="0" fontId="7" fillId="2" borderId="0" xfId="4" applyFont="1" applyFill="1"/>
    <xf numFmtId="44" fontId="6" fillId="2" borderId="0" xfId="4" applyNumberFormat="1" applyFont="1" applyFill="1"/>
    <xf numFmtId="44" fontId="6" fillId="2" borderId="0" xfId="6" applyFont="1" applyFill="1"/>
    <xf numFmtId="0" fontId="6" fillId="2" borderId="0" xfId="2" applyFont="1" applyFill="1"/>
    <xf numFmtId="16" fontId="0" fillId="0" borderId="0" xfId="0" applyNumberFormat="1"/>
    <xf numFmtId="44" fontId="6" fillId="2" borderId="0" xfId="1" applyFont="1" applyFill="1"/>
    <xf numFmtId="0" fontId="2" fillId="0" borderId="0" xfId="4"/>
    <xf numFmtId="0" fontId="2" fillId="0" borderId="6" xfId="4" applyBorder="1"/>
    <xf numFmtId="0" fontId="2" fillId="0" borderId="4" xfId="4" applyBorder="1"/>
    <xf numFmtId="0" fontId="2" fillId="3" borderId="5" xfId="4" applyFill="1" applyBorder="1"/>
    <xf numFmtId="0" fontId="1" fillId="0" borderId="0" xfId="5"/>
    <xf numFmtId="164" fontId="2" fillId="4" borderId="5" xfId="4" applyNumberFormat="1" applyFill="1" applyBorder="1"/>
    <xf numFmtId="0" fontId="1" fillId="0" borderId="7" xfId="5" applyBorder="1"/>
    <xf numFmtId="0" fontId="2" fillId="0" borderId="7" xfId="4" applyBorder="1"/>
    <xf numFmtId="164" fontId="2" fillId="3" borderId="5" xfId="4" applyNumberFormat="1" applyFill="1" applyBorder="1"/>
    <xf numFmtId="164" fontId="2" fillId="3" borderId="8" xfId="4" applyNumberFormat="1" applyFill="1" applyBorder="1"/>
    <xf numFmtId="0" fontId="3" fillId="3" borderId="8" xfId="4" applyFont="1" applyFill="1" applyBorder="1"/>
    <xf numFmtId="0" fontId="0" fillId="3" borderId="1" xfId="0" applyFill="1" applyBorder="1"/>
    <xf numFmtId="0" fontId="0" fillId="3" borderId="2" xfId="0" applyFill="1" applyBorder="1"/>
    <xf numFmtId="0" fontId="2" fillId="3" borderId="3" xfId="4" applyFill="1" applyBorder="1"/>
    <xf numFmtId="0" fontId="0" fillId="3" borderId="4" xfId="0" applyFill="1" applyBorder="1"/>
    <xf numFmtId="0" fontId="0" fillId="3" borderId="0" xfId="0" applyFill="1"/>
    <xf numFmtId="0" fontId="2" fillId="3" borderId="6" xfId="4" applyFill="1" applyBorder="1"/>
    <xf numFmtId="0" fontId="0" fillId="3" borderId="7" xfId="0" applyFill="1" applyBorder="1"/>
    <xf numFmtId="0" fontId="3" fillId="0" borderId="4" xfId="4" applyFont="1" applyBorder="1" applyAlignment="1">
      <alignment horizontal="center"/>
    </xf>
    <xf numFmtId="0" fontId="3" fillId="0" borderId="0" xfId="4" applyFont="1" applyAlignment="1">
      <alignment horizontal="center"/>
    </xf>
    <xf numFmtId="0" fontId="3" fillId="3" borderId="5" xfId="4" applyFont="1" applyFill="1" applyBorder="1" applyAlignment="1">
      <alignment horizontal="center"/>
    </xf>
    <xf numFmtId="0" fontId="8" fillId="0" borderId="0" xfId="0" applyFont="1"/>
    <xf numFmtId="0" fontId="0" fillId="8" borderId="9" xfId="0" applyFill="1" applyBorder="1" applyAlignment="1">
      <alignment horizontal="center"/>
    </xf>
    <xf numFmtId="0" fontId="0" fillId="8" borderId="11" xfId="0" applyFill="1" applyBorder="1" applyAlignment="1">
      <alignment horizontal="center"/>
    </xf>
    <xf numFmtId="0" fontId="0" fillId="18" borderId="4" xfId="0" applyFill="1" applyBorder="1"/>
    <xf numFmtId="44" fontId="0" fillId="18" borderId="13" xfId="1" applyFont="1" applyFill="1" applyBorder="1"/>
    <xf numFmtId="0" fontId="0" fillId="19" borderId="4" xfId="0" applyFill="1" applyBorder="1"/>
    <xf numFmtId="0" fontId="0" fillId="20" borderId="4" xfId="0" applyFill="1" applyBorder="1" applyAlignment="1">
      <alignment horizontal="right"/>
    </xf>
    <xf numFmtId="0" fontId="0" fillId="21" borderId="4" xfId="0" applyFill="1" applyBorder="1" applyAlignment="1">
      <alignment horizontal="right"/>
    </xf>
    <xf numFmtId="0" fontId="0" fillId="21" borderId="13" xfId="0" applyFill="1" applyBorder="1"/>
    <xf numFmtId="0" fontId="0" fillId="20" borderId="4" xfId="0" applyFill="1" applyBorder="1"/>
    <xf numFmtId="0" fontId="0" fillId="17" borderId="4" xfId="0" applyFill="1" applyBorder="1"/>
    <xf numFmtId="0" fontId="0" fillId="18" borderId="6" xfId="0" applyFill="1" applyBorder="1"/>
    <xf numFmtId="44" fontId="0" fillId="18" borderId="15" xfId="1" applyFont="1" applyFill="1" applyBorder="1"/>
    <xf numFmtId="0" fontId="0" fillId="19" borderId="6" xfId="0" applyFill="1" applyBorder="1"/>
    <xf numFmtId="0" fontId="0" fillId="17" borderId="6" xfId="0" applyFill="1" applyBorder="1"/>
    <xf numFmtId="0" fontId="0" fillId="3" borderId="6" xfId="0" applyFill="1" applyBorder="1"/>
    <xf numFmtId="0" fontId="0" fillId="21" borderId="6" xfId="0" applyFill="1" applyBorder="1" applyAlignment="1">
      <alignment horizontal="right"/>
    </xf>
    <xf numFmtId="0" fontId="0" fillId="21" borderId="15" xfId="0" applyFill="1" applyBorder="1"/>
    <xf numFmtId="0" fontId="0" fillId="2" borderId="0" xfId="0" applyFill="1" applyAlignment="1">
      <alignment horizontal="center"/>
    </xf>
    <xf numFmtId="44" fontId="0" fillId="2" borderId="0" xfId="0" applyNumberFormat="1" applyFill="1"/>
    <xf numFmtId="44" fontId="0" fillId="2" borderId="0" xfId="1" applyFont="1" applyFill="1"/>
    <xf numFmtId="0" fontId="8" fillId="2" borderId="0" xfId="0" applyFont="1" applyFill="1"/>
    <xf numFmtId="0" fontId="0" fillId="2" borderId="0" xfId="0" applyFill="1" applyAlignment="1">
      <alignment horizontal="right"/>
    </xf>
    <xf numFmtId="0" fontId="0" fillId="12" borderId="9" xfId="0" applyFill="1" applyBorder="1" applyAlignment="1">
      <alignment horizontal="center"/>
    </xf>
    <xf numFmtId="0" fontId="0" fillId="12" borderId="12" xfId="0" applyFill="1" applyBorder="1" applyAlignment="1">
      <alignment horizontal="center"/>
    </xf>
    <xf numFmtId="0" fontId="0" fillId="13" borderId="9" xfId="0" applyFill="1" applyBorder="1" applyAlignment="1">
      <alignment horizontal="center"/>
    </xf>
    <xf numFmtId="0" fontId="0" fillId="13" borderId="12" xfId="0" applyFill="1" applyBorder="1" applyAlignment="1">
      <alignment horizontal="center"/>
    </xf>
    <xf numFmtId="0" fontId="0" fillId="14" borderId="9" xfId="0" applyFill="1" applyBorder="1" applyAlignment="1">
      <alignment horizontal="center"/>
    </xf>
    <xf numFmtId="0" fontId="0" fillId="14" borderId="12" xfId="0" applyFill="1" applyBorder="1" applyAlignment="1">
      <alignment horizontal="center"/>
    </xf>
    <xf numFmtId="0" fontId="0" fillId="15" borderId="9" xfId="0" applyFill="1" applyBorder="1" applyAlignment="1">
      <alignment horizontal="center"/>
    </xf>
    <xf numFmtId="0" fontId="0" fillId="15" borderId="12" xfId="0" applyFill="1" applyBorder="1" applyAlignment="1">
      <alignment horizontal="center"/>
    </xf>
    <xf numFmtId="0" fontId="0" fillId="16" borderId="9" xfId="0" applyFill="1" applyBorder="1" applyAlignment="1">
      <alignment horizontal="center" wrapText="1"/>
    </xf>
    <xf numFmtId="0" fontId="0" fillId="16" borderId="12" xfId="0" applyFill="1" applyBorder="1" applyAlignment="1">
      <alignment horizontal="center" wrapText="1"/>
    </xf>
    <xf numFmtId="0" fontId="6" fillId="2" borderId="0" xfId="4" applyFont="1" applyFill="1" applyAlignment="1">
      <alignment horizontal="right"/>
    </xf>
    <xf numFmtId="0" fontId="8" fillId="22" borderId="0" xfId="0" applyFont="1" applyFill="1"/>
    <xf numFmtId="0" fontId="0" fillId="9" borderId="21" xfId="0" applyFill="1" applyBorder="1"/>
    <xf numFmtId="0" fontId="0" fillId="9" borderId="22" xfId="0" applyFill="1" applyBorder="1"/>
    <xf numFmtId="0" fontId="0" fillId="9" borderId="29" xfId="0" applyFill="1" applyBorder="1"/>
    <xf numFmtId="0" fontId="0" fillId="20" borderId="23" xfId="0" applyFill="1" applyBorder="1"/>
    <xf numFmtId="0" fontId="0" fillId="20" borderId="0" xfId="0" applyFill="1"/>
    <xf numFmtId="44" fontId="0" fillId="20" borderId="24" xfId="0" applyNumberFormat="1" applyFill="1" applyBorder="1"/>
    <xf numFmtId="44" fontId="0" fillId="20" borderId="30" xfId="0" applyNumberFormat="1" applyFill="1" applyBorder="1"/>
    <xf numFmtId="0" fontId="0" fillId="20" borderId="25" xfId="0" applyFill="1" applyBorder="1"/>
    <xf numFmtId="0" fontId="0" fillId="20" borderId="28" xfId="0" applyFill="1" applyBorder="1"/>
    <xf numFmtId="44" fontId="0" fillId="20" borderId="26" xfId="0" applyNumberFormat="1" applyFill="1" applyBorder="1"/>
    <xf numFmtId="0" fontId="0" fillId="20" borderId="29" xfId="0" applyFill="1" applyBorder="1"/>
    <xf numFmtId="0" fontId="0" fillId="20" borderId="30" xfId="0" applyFill="1" applyBorder="1"/>
    <xf numFmtId="0" fontId="0" fillId="20" borderId="27" xfId="0" applyFill="1" applyBorder="1"/>
    <xf numFmtId="0" fontId="0" fillId="20" borderId="21" xfId="0" applyFill="1" applyBorder="1"/>
    <xf numFmtId="0" fontId="0" fillId="20" borderId="17" xfId="0" applyFill="1" applyBorder="1"/>
    <xf numFmtId="0" fontId="0" fillId="20" borderId="22" xfId="0" applyFill="1" applyBorder="1"/>
    <xf numFmtId="0" fontId="0" fillId="20" borderId="24" xfId="0" applyFill="1" applyBorder="1"/>
    <xf numFmtId="0" fontId="0" fillId="20" borderId="26" xfId="0" applyFill="1" applyBorder="1"/>
    <xf numFmtId="0" fontId="0" fillId="2" borderId="21" xfId="0" applyFill="1" applyBorder="1"/>
    <xf numFmtId="0" fontId="0" fillId="2" borderId="17" xfId="0" applyFill="1" applyBorder="1"/>
    <xf numFmtId="0" fontId="0" fillId="2" borderId="23" xfId="0" applyFill="1" applyBorder="1"/>
    <xf numFmtId="0" fontId="0" fillId="2" borderId="24" xfId="0" applyFill="1" applyBorder="1"/>
    <xf numFmtId="0" fontId="0" fillId="2" borderId="25" xfId="0" applyFill="1" applyBorder="1"/>
    <xf numFmtId="0" fontId="0" fillId="2" borderId="28" xfId="0" applyFill="1" applyBorder="1"/>
    <xf numFmtId="44" fontId="0" fillId="20" borderId="27" xfId="0" applyNumberFormat="1" applyFill="1" applyBorder="1"/>
    <xf numFmtId="0" fontId="8" fillId="9" borderId="22" xfId="0" applyFont="1" applyFill="1" applyBorder="1"/>
    <xf numFmtId="44" fontId="8" fillId="20" borderId="24" xfId="0" applyNumberFormat="1" applyFont="1" applyFill="1" applyBorder="1"/>
    <xf numFmtId="0" fontId="8" fillId="9" borderId="29" xfId="0" applyFont="1" applyFill="1" applyBorder="1"/>
    <xf numFmtId="44" fontId="8" fillId="20" borderId="30" xfId="0" applyNumberFormat="1" applyFont="1" applyFill="1" applyBorder="1"/>
    <xf numFmtId="10" fontId="0" fillId="2" borderId="0" xfId="8" applyNumberFormat="1" applyFont="1" applyFill="1"/>
    <xf numFmtId="166" fontId="0" fillId="2" borderId="0" xfId="8" applyNumberFormat="1" applyFont="1" applyFill="1"/>
    <xf numFmtId="44" fontId="0" fillId="2" borderId="23" xfId="0" applyNumberFormat="1" applyFill="1" applyBorder="1"/>
    <xf numFmtId="167" fontId="0" fillId="2" borderId="0" xfId="8" applyNumberFormat="1" applyFont="1" applyFill="1"/>
    <xf numFmtId="9" fontId="0" fillId="20" borderId="17" xfId="0" applyNumberFormat="1" applyFill="1" applyBorder="1"/>
    <xf numFmtId="166" fontId="0" fillId="20" borderId="28" xfId="8" applyNumberFormat="1" applyFont="1" applyFill="1" applyBorder="1"/>
    <xf numFmtId="44" fontId="0" fillId="2" borderId="0" xfId="1" applyFont="1" applyFill="1" applyBorder="1"/>
    <xf numFmtId="0" fontId="8" fillId="7" borderId="18" xfId="0" applyFont="1" applyFill="1" applyBorder="1"/>
    <xf numFmtId="0" fontId="0" fillId="7" borderId="19" xfId="0" applyFill="1" applyBorder="1"/>
    <xf numFmtId="0" fontId="0" fillId="7" borderId="20" xfId="0" applyFill="1" applyBorder="1"/>
    <xf numFmtId="0" fontId="0" fillId="13" borderId="18" xfId="0" applyFill="1" applyBorder="1" applyAlignment="1">
      <alignment horizontal="center"/>
    </xf>
    <xf numFmtId="0" fontId="0" fillId="13" borderId="16" xfId="0" applyFill="1" applyBorder="1" applyAlignment="1">
      <alignment horizontal="center"/>
    </xf>
    <xf numFmtId="0" fontId="0" fillId="13" borderId="19" xfId="0" applyFill="1" applyBorder="1" applyAlignment="1">
      <alignment horizontal="center"/>
    </xf>
    <xf numFmtId="0" fontId="0" fillId="18" borderId="23" xfId="0" applyFill="1" applyBorder="1"/>
    <xf numFmtId="44" fontId="0" fillId="18" borderId="30" xfId="1" applyFont="1" applyFill="1" applyBorder="1"/>
    <xf numFmtId="44" fontId="0" fillId="18" borderId="0" xfId="1" applyFont="1" applyFill="1" applyBorder="1"/>
    <xf numFmtId="44" fontId="0" fillId="18" borderId="30" xfId="0" applyNumberFormat="1" applyFill="1" applyBorder="1"/>
    <xf numFmtId="0" fontId="0" fillId="18" borderId="25" xfId="0" applyFill="1" applyBorder="1"/>
    <xf numFmtId="44" fontId="0" fillId="18" borderId="27" xfId="1" applyFont="1" applyFill="1" applyBorder="1"/>
    <xf numFmtId="44" fontId="0" fillId="18" borderId="28" xfId="1" applyFont="1" applyFill="1" applyBorder="1"/>
    <xf numFmtId="44" fontId="0" fillId="18" borderId="27" xfId="0" applyNumberFormat="1" applyFill="1" applyBorder="1"/>
    <xf numFmtId="166" fontId="8" fillId="18" borderId="24" xfId="8" applyNumberFormat="1" applyFont="1" applyFill="1" applyBorder="1"/>
    <xf numFmtId="166" fontId="8" fillId="18" borderId="26" xfId="8" applyNumberFormat="1" applyFont="1" applyFill="1" applyBorder="1"/>
    <xf numFmtId="44" fontId="0" fillId="18" borderId="0" xfId="0" applyNumberFormat="1" applyFill="1"/>
    <xf numFmtId="44" fontId="0" fillId="18" borderId="28" xfId="0" applyNumberFormat="1" applyFill="1" applyBorder="1"/>
    <xf numFmtId="166" fontId="8" fillId="18" borderId="30" xfId="8" applyNumberFormat="1" applyFont="1" applyFill="1" applyBorder="1"/>
    <xf numFmtId="166" fontId="8" fillId="18" borderId="27" xfId="8" applyNumberFormat="1" applyFont="1" applyFill="1" applyBorder="1"/>
    <xf numFmtId="9" fontId="0" fillId="13" borderId="18" xfId="0" applyNumberFormat="1" applyFill="1" applyBorder="1" applyAlignment="1">
      <alignment horizontal="center"/>
    </xf>
    <xf numFmtId="0" fontId="0" fillId="7" borderId="18" xfId="0" applyFill="1" applyBorder="1"/>
    <xf numFmtId="44" fontId="0" fillId="7" borderId="19" xfId="1" applyFont="1" applyFill="1" applyBorder="1"/>
    <xf numFmtId="44" fontId="0" fillId="7" borderId="20" xfId="1" applyFont="1" applyFill="1" applyBorder="1"/>
    <xf numFmtId="44" fontId="0" fillId="7" borderId="20" xfId="0" applyNumberFormat="1" applyFill="1" applyBorder="1"/>
    <xf numFmtId="0" fontId="8" fillId="6" borderId="18" xfId="0" applyFont="1" applyFill="1" applyBorder="1"/>
    <xf numFmtId="0" fontId="8" fillId="6" borderId="20" xfId="0" applyFont="1" applyFill="1" applyBorder="1"/>
    <xf numFmtId="44" fontId="0" fillId="3" borderId="0" xfId="0" applyNumberFormat="1" applyFill="1"/>
    <xf numFmtId="44" fontId="8" fillId="3" borderId="0" xfId="0" applyNumberFormat="1" applyFont="1" applyFill="1"/>
    <xf numFmtId="44" fontId="0" fillId="6" borderId="8" xfId="0" applyNumberFormat="1" applyFill="1" applyBorder="1"/>
    <xf numFmtId="0" fontId="0" fillId="8" borderId="10" xfId="0" applyFill="1" applyBorder="1" applyAlignment="1">
      <alignment horizontal="center"/>
    </xf>
    <xf numFmtId="0" fontId="0" fillId="19" borderId="0" xfId="0" applyFill="1"/>
    <xf numFmtId="44" fontId="0" fillId="19" borderId="0" xfId="0" applyNumberFormat="1" applyFill="1"/>
    <xf numFmtId="44" fontId="0" fillId="19" borderId="0" xfId="1" applyFont="1" applyFill="1" applyBorder="1"/>
    <xf numFmtId="44" fontId="0" fillId="19" borderId="5" xfId="1" applyFont="1" applyFill="1" applyBorder="1"/>
    <xf numFmtId="0" fontId="0" fillId="19" borderId="5" xfId="0" applyFill="1" applyBorder="1"/>
    <xf numFmtId="0" fontId="8" fillId="19" borderId="4" xfId="0" applyFont="1" applyFill="1" applyBorder="1"/>
    <xf numFmtId="0" fontId="8" fillId="19" borderId="0" xfId="0" applyFont="1" applyFill="1"/>
    <xf numFmtId="0" fontId="0" fillId="19" borderId="7" xfId="0" applyFill="1" applyBorder="1"/>
    <xf numFmtId="0" fontId="0" fillId="19" borderId="8" xfId="0" applyFill="1" applyBorder="1"/>
    <xf numFmtId="0" fontId="0" fillId="6" borderId="1" xfId="0" applyFill="1" applyBorder="1"/>
    <xf numFmtId="44" fontId="0" fillId="6" borderId="3" xfId="1" applyFont="1" applyFill="1" applyBorder="1"/>
    <xf numFmtId="0" fontId="0" fillId="6" borderId="4" xfId="0" applyFill="1" applyBorder="1"/>
    <xf numFmtId="44" fontId="0" fillId="6" borderId="5" xfId="1" applyFont="1" applyFill="1" applyBorder="1"/>
    <xf numFmtId="0" fontId="0" fillId="6" borderId="6" xfId="0" applyFill="1" applyBorder="1"/>
    <xf numFmtId="0" fontId="12" fillId="2" borderId="0" xfId="0" applyFont="1" applyFill="1"/>
    <xf numFmtId="0" fontId="0" fillId="2" borderId="4" xfId="0" applyFill="1" applyBorder="1"/>
    <xf numFmtId="0" fontId="0" fillId="16" borderId="1" xfId="0" applyFill="1" applyBorder="1"/>
    <xf numFmtId="0" fontId="0" fillId="16" borderId="3" xfId="0" applyFill="1" applyBorder="1" applyAlignment="1">
      <alignment horizontal="right"/>
    </xf>
    <xf numFmtId="0" fontId="0" fillId="16" borderId="4" xfId="0" applyFill="1" applyBorder="1"/>
    <xf numFmtId="14" fontId="0" fillId="16" borderId="5" xfId="0" applyNumberFormat="1" applyFill="1" applyBorder="1"/>
    <xf numFmtId="0" fontId="0" fillId="16" borderId="6" xfId="0" applyFill="1" applyBorder="1"/>
    <xf numFmtId="14" fontId="0" fillId="16" borderId="8" xfId="0" applyNumberFormat="1" applyFill="1" applyBorder="1"/>
    <xf numFmtId="0" fontId="0" fillId="16" borderId="36" xfId="0" applyFill="1" applyBorder="1" applyAlignment="1">
      <alignment horizontal="center"/>
    </xf>
    <xf numFmtId="0" fontId="0" fillId="16" borderId="37" xfId="0" applyFill="1" applyBorder="1" applyAlignment="1">
      <alignment horizontal="center"/>
    </xf>
    <xf numFmtId="0" fontId="0" fillId="16" borderId="38" xfId="0" applyFill="1" applyBorder="1" applyAlignment="1">
      <alignment horizontal="center"/>
    </xf>
    <xf numFmtId="0" fontId="0" fillId="16" borderId="39" xfId="0" applyFill="1" applyBorder="1" applyAlignment="1">
      <alignment horizontal="center"/>
    </xf>
    <xf numFmtId="0" fontId="0" fillId="21" borderId="31" xfId="0" applyFill="1" applyBorder="1"/>
    <xf numFmtId="0" fontId="0" fillId="21" borderId="0" xfId="0" applyFill="1"/>
    <xf numFmtId="0" fontId="0" fillId="21" borderId="30" xfId="0" applyFill="1" applyBorder="1"/>
    <xf numFmtId="44" fontId="0" fillId="21" borderId="5" xfId="1" applyFont="1" applyFill="1" applyBorder="1"/>
    <xf numFmtId="0" fontId="0" fillId="21" borderId="32" xfId="0" applyFill="1" applyBorder="1"/>
    <xf numFmtId="0" fontId="0" fillId="21" borderId="7" xfId="0" applyFill="1" applyBorder="1"/>
    <xf numFmtId="0" fontId="0" fillId="21" borderId="35" xfId="0" applyFill="1" applyBorder="1"/>
    <xf numFmtId="44" fontId="0" fillId="21" borderId="8" xfId="1" applyFont="1" applyFill="1" applyBorder="1"/>
    <xf numFmtId="0" fontId="0" fillId="21" borderId="21" xfId="0" applyFill="1" applyBorder="1"/>
    <xf numFmtId="0" fontId="0" fillId="21" borderId="17" xfId="0" applyFill="1" applyBorder="1"/>
    <xf numFmtId="0" fontId="0" fillId="21" borderId="22" xfId="0" applyFill="1" applyBorder="1"/>
    <xf numFmtId="0" fontId="0" fillId="21" borderId="25" xfId="0" applyFill="1" applyBorder="1"/>
    <xf numFmtId="0" fontId="0" fillId="21" borderId="28" xfId="0" applyFill="1" applyBorder="1"/>
    <xf numFmtId="0" fontId="0" fillId="21" borderId="26" xfId="0" applyFill="1" applyBorder="1"/>
    <xf numFmtId="0" fontId="0" fillId="21" borderId="23" xfId="0" applyFill="1" applyBorder="1"/>
    <xf numFmtId="0" fontId="0" fillId="21" borderId="24" xfId="0" applyFill="1" applyBorder="1"/>
    <xf numFmtId="44" fontId="11" fillId="19" borderId="0" xfId="1" applyFont="1" applyFill="1" applyBorder="1"/>
    <xf numFmtId="44" fontId="11" fillId="19" borderId="0" xfId="0" applyNumberFormat="1" applyFont="1" applyFill="1"/>
    <xf numFmtId="44" fontId="10" fillId="19" borderId="0" xfId="0" applyNumberFormat="1" applyFont="1" applyFill="1"/>
    <xf numFmtId="44" fontId="11" fillId="19" borderId="7" xfId="1" applyFont="1" applyFill="1" applyBorder="1"/>
    <xf numFmtId="44" fontId="11" fillId="19" borderId="7" xfId="0" applyNumberFormat="1" applyFont="1" applyFill="1" applyBorder="1"/>
    <xf numFmtId="0" fontId="13" fillId="2" borderId="0" xfId="0" applyFont="1" applyFill="1"/>
    <xf numFmtId="0" fontId="14" fillId="2" borderId="0" xfId="0" applyFont="1" applyFill="1"/>
    <xf numFmtId="0" fontId="7" fillId="2" borderId="0" xfId="0" applyFont="1" applyFill="1"/>
    <xf numFmtId="0" fontId="13" fillId="2" borderId="17" xfId="0" applyFont="1" applyFill="1" applyBorder="1"/>
    <xf numFmtId="165" fontId="0" fillId="2" borderId="0" xfId="8" applyNumberFormat="1" applyFont="1" applyFill="1" applyBorder="1"/>
    <xf numFmtId="166" fontId="0" fillId="2" borderId="0" xfId="8" applyNumberFormat="1" applyFont="1" applyFill="1" applyBorder="1"/>
    <xf numFmtId="0" fontId="8" fillId="13" borderId="16" xfId="0" applyFont="1" applyFill="1" applyBorder="1" applyAlignment="1">
      <alignment horizontal="center"/>
    </xf>
    <xf numFmtId="0" fontId="8" fillId="13" borderId="20" xfId="0" applyFont="1" applyFill="1" applyBorder="1" applyAlignment="1">
      <alignment horizontal="center"/>
    </xf>
    <xf numFmtId="0" fontId="0" fillId="18" borderId="18" xfId="0" applyFill="1" applyBorder="1"/>
    <xf numFmtId="166" fontId="0" fillId="18" borderId="20" xfId="0" applyNumberFormat="1" applyFill="1" applyBorder="1"/>
    <xf numFmtId="0" fontId="0" fillId="9" borderId="18" xfId="0" applyFill="1" applyBorder="1"/>
    <xf numFmtId="0" fontId="0" fillId="9" borderId="20" xfId="0" applyFill="1" applyBorder="1"/>
    <xf numFmtId="0" fontId="0" fillId="15" borderId="18" xfId="0" applyFill="1" applyBorder="1" applyAlignment="1">
      <alignment horizontal="center"/>
    </xf>
    <xf numFmtId="0" fontId="0" fillId="15" borderId="16" xfId="0" applyFill="1" applyBorder="1" applyAlignment="1">
      <alignment horizontal="center"/>
    </xf>
    <xf numFmtId="0" fontId="0" fillId="15" borderId="20" xfId="0" applyFill="1" applyBorder="1" applyAlignment="1">
      <alignment horizontal="center"/>
    </xf>
    <xf numFmtId="166" fontId="8" fillId="20" borderId="24" xfId="8" applyNumberFormat="1" applyFont="1" applyFill="1" applyBorder="1"/>
    <xf numFmtId="166" fontId="8" fillId="20" borderId="26" xfId="8" applyNumberFormat="1" applyFont="1" applyFill="1" applyBorder="1"/>
    <xf numFmtId="10" fontId="0" fillId="20" borderId="24" xfId="8" applyNumberFormat="1" applyFont="1" applyFill="1" applyBorder="1"/>
    <xf numFmtId="0" fontId="0" fillId="15" borderId="18" xfId="0" applyFill="1" applyBorder="1"/>
    <xf numFmtId="0" fontId="0" fillId="15" borderId="16" xfId="0" applyFill="1" applyBorder="1"/>
    <xf numFmtId="0" fontId="0" fillId="15" borderId="19" xfId="0" applyFill="1" applyBorder="1"/>
    <xf numFmtId="0" fontId="0" fillId="15" borderId="20" xfId="0" applyFill="1" applyBorder="1"/>
    <xf numFmtId="166" fontId="0" fillId="15" borderId="20" xfId="0" applyNumberFormat="1" applyFill="1" applyBorder="1"/>
    <xf numFmtId="0" fontId="0" fillId="5" borderId="18" xfId="0" applyFill="1" applyBorder="1"/>
    <xf numFmtId="0" fontId="0" fillId="5" borderId="19" xfId="0" applyFill="1" applyBorder="1"/>
    <xf numFmtId="0" fontId="0" fillId="5" borderId="20" xfId="0" applyFill="1" applyBorder="1"/>
    <xf numFmtId="0" fontId="0" fillId="11" borderId="18" xfId="0" applyFill="1" applyBorder="1" applyAlignment="1">
      <alignment horizontal="center"/>
    </xf>
    <xf numFmtId="0" fontId="0" fillId="11" borderId="16" xfId="0" applyFill="1" applyBorder="1" applyAlignment="1">
      <alignment horizontal="center"/>
    </xf>
    <xf numFmtId="0" fontId="0" fillId="11" borderId="20" xfId="0" applyFill="1" applyBorder="1" applyAlignment="1">
      <alignment horizontal="center"/>
    </xf>
    <xf numFmtId="165" fontId="0" fillId="17" borderId="21" xfId="8" applyNumberFormat="1" applyFont="1" applyFill="1" applyBorder="1"/>
    <xf numFmtId="44" fontId="0" fillId="17" borderId="29" xfId="0" applyNumberFormat="1" applyFill="1" applyBorder="1"/>
    <xf numFmtId="166" fontId="0" fillId="17" borderId="22" xfId="8" applyNumberFormat="1" applyFont="1" applyFill="1" applyBorder="1"/>
    <xf numFmtId="165" fontId="0" fillId="17" borderId="23" xfId="8" applyNumberFormat="1" applyFont="1" applyFill="1" applyBorder="1"/>
    <xf numFmtId="44" fontId="0" fillId="17" borderId="30" xfId="0" applyNumberFormat="1" applyFill="1" applyBorder="1"/>
    <xf numFmtId="166" fontId="0" fillId="17" borderId="24" xfId="8" applyNumberFormat="1" applyFont="1" applyFill="1" applyBorder="1"/>
    <xf numFmtId="166" fontId="0" fillId="17" borderId="26" xfId="8" applyNumberFormat="1" applyFont="1" applyFill="1" applyBorder="1"/>
    <xf numFmtId="0" fontId="0" fillId="11" borderId="18" xfId="0" applyFill="1" applyBorder="1"/>
    <xf numFmtId="166" fontId="0" fillId="11" borderId="20" xfId="0" applyNumberFormat="1" applyFill="1" applyBorder="1"/>
    <xf numFmtId="0" fontId="14" fillId="2" borderId="0" xfId="0" applyFont="1" applyFill="1" applyAlignment="1">
      <alignment horizontal="left"/>
    </xf>
    <xf numFmtId="166" fontId="0" fillId="2" borderId="0" xfId="0" applyNumberFormat="1" applyFill="1"/>
    <xf numFmtId="166" fontId="8" fillId="2" borderId="0" xfId="0" applyNumberFormat="1" applyFont="1" applyFill="1"/>
    <xf numFmtId="0" fontId="0" fillId="6" borderId="19" xfId="0" applyFill="1" applyBorder="1"/>
    <xf numFmtId="0" fontId="0" fillId="6" borderId="20" xfId="0" applyFill="1" applyBorder="1"/>
    <xf numFmtId="9" fontId="0" fillId="20" borderId="22" xfId="0" applyNumberFormat="1" applyFill="1" applyBorder="1"/>
    <xf numFmtId="10" fontId="0" fillId="3" borderId="0" xfId="8" applyNumberFormat="1" applyFont="1" applyFill="1"/>
    <xf numFmtId="0" fontId="8" fillId="11" borderId="16" xfId="0" applyFont="1" applyFill="1" applyBorder="1"/>
    <xf numFmtId="0" fontId="0" fillId="11" borderId="21" xfId="0" applyFill="1" applyBorder="1"/>
    <xf numFmtId="0" fontId="0" fillId="11" borderId="25" xfId="0" applyFill="1" applyBorder="1"/>
    <xf numFmtId="0" fontId="0" fillId="11" borderId="23" xfId="0" applyFill="1" applyBorder="1"/>
    <xf numFmtId="0" fontId="0" fillId="17" borderId="21" xfId="0" applyFill="1" applyBorder="1"/>
    <xf numFmtId="0" fontId="0" fillId="17" borderId="17" xfId="0" applyFill="1" applyBorder="1"/>
    <xf numFmtId="0" fontId="0" fillId="17" borderId="22" xfId="0" applyFill="1" applyBorder="1"/>
    <xf numFmtId="44" fontId="0" fillId="17" borderId="25" xfId="0" applyNumberFormat="1" applyFill="1" applyBorder="1"/>
    <xf numFmtId="44" fontId="0" fillId="17" borderId="28" xfId="0" applyNumberFormat="1" applyFill="1" applyBorder="1"/>
    <xf numFmtId="44" fontId="0" fillId="17" borderId="26" xfId="0" applyNumberFormat="1" applyFill="1" applyBorder="1"/>
    <xf numFmtId="0" fontId="0" fillId="17" borderId="23" xfId="0" applyFill="1" applyBorder="1"/>
    <xf numFmtId="166" fontId="8" fillId="17" borderId="30" xfId="0" applyNumberFormat="1" applyFont="1" applyFill="1" applyBorder="1"/>
    <xf numFmtId="0" fontId="0" fillId="17" borderId="25" xfId="0" applyFill="1" applyBorder="1"/>
    <xf numFmtId="166" fontId="8" fillId="17" borderId="27" xfId="0" applyNumberFormat="1" applyFont="1" applyFill="1" applyBorder="1"/>
    <xf numFmtId="44" fontId="0" fillId="17" borderId="22" xfId="0" applyNumberFormat="1" applyFill="1" applyBorder="1"/>
    <xf numFmtId="44" fontId="0" fillId="17" borderId="24" xfId="0" applyNumberFormat="1" applyFill="1" applyBorder="1"/>
    <xf numFmtId="165" fontId="0" fillId="17" borderId="0" xfId="8" applyNumberFormat="1" applyFont="1" applyFill="1" applyBorder="1"/>
    <xf numFmtId="165" fontId="0" fillId="17" borderId="29" xfId="8" applyNumberFormat="1" applyFont="1" applyFill="1" applyBorder="1"/>
    <xf numFmtId="165" fontId="0" fillId="17" borderId="30" xfId="8" applyNumberFormat="1" applyFont="1" applyFill="1" applyBorder="1"/>
    <xf numFmtId="165" fontId="0" fillId="17" borderId="27" xfId="8" applyNumberFormat="1" applyFont="1" applyFill="1" applyBorder="1"/>
    <xf numFmtId="0" fontId="0" fillId="11" borderId="29" xfId="0" applyFill="1" applyBorder="1"/>
    <xf numFmtId="0" fontId="0" fillId="11" borderId="30" xfId="0" applyFill="1" applyBorder="1"/>
    <xf numFmtId="0" fontId="0" fillId="11" borderId="27" xfId="0" applyFill="1" applyBorder="1"/>
    <xf numFmtId="44" fontId="0" fillId="17" borderId="0" xfId="0" applyNumberFormat="1" applyFill="1"/>
    <xf numFmtId="166" fontId="0" fillId="17" borderId="28" xfId="8" applyNumberFormat="1" applyFont="1" applyFill="1" applyBorder="1"/>
    <xf numFmtId="166" fontId="0" fillId="11" borderId="20" xfId="8" applyNumberFormat="1" applyFont="1" applyFill="1" applyBorder="1"/>
    <xf numFmtId="165" fontId="0" fillId="17" borderId="17" xfId="0" applyNumberFormat="1" applyFill="1" applyBorder="1"/>
    <xf numFmtId="0" fontId="0" fillId="17" borderId="0" xfId="0" applyFill="1"/>
    <xf numFmtId="0" fontId="0" fillId="17" borderId="28" xfId="0" applyFill="1" applyBorder="1"/>
    <xf numFmtId="10" fontId="0" fillId="17" borderId="28" xfId="8" applyNumberFormat="1" applyFont="1" applyFill="1" applyBorder="1"/>
    <xf numFmtId="0" fontId="0" fillId="17" borderId="26" xfId="0" applyFill="1" applyBorder="1"/>
    <xf numFmtId="165" fontId="0" fillId="17" borderId="17" xfId="8" applyNumberFormat="1" applyFont="1" applyFill="1" applyBorder="1"/>
    <xf numFmtId="165" fontId="0" fillId="17" borderId="22" xfId="8" applyNumberFormat="1" applyFont="1" applyFill="1" applyBorder="1"/>
    <xf numFmtId="165" fontId="0" fillId="17" borderId="24" xfId="8" applyNumberFormat="1" applyFont="1" applyFill="1" applyBorder="1"/>
    <xf numFmtId="165" fontId="0" fillId="18" borderId="0" xfId="8" applyNumberFormat="1" applyFont="1" applyFill="1" applyBorder="1"/>
    <xf numFmtId="165" fontId="0" fillId="18" borderId="28" xfId="8" applyNumberFormat="1" applyFont="1" applyFill="1" applyBorder="1"/>
    <xf numFmtId="166" fontId="0" fillId="15" borderId="20" xfId="8" applyNumberFormat="1" applyFont="1" applyFill="1" applyBorder="1"/>
    <xf numFmtId="44" fontId="0" fillId="17" borderId="23" xfId="0" applyNumberFormat="1" applyFill="1" applyBorder="1"/>
    <xf numFmtId="166" fontId="0" fillId="17" borderId="25" xfId="8" applyNumberFormat="1" applyFont="1" applyFill="1" applyBorder="1"/>
    <xf numFmtId="0" fontId="0" fillId="17" borderId="29" xfId="0" applyFill="1" applyBorder="1"/>
    <xf numFmtId="0" fontId="0" fillId="17" borderId="27" xfId="0" applyFill="1" applyBorder="1"/>
    <xf numFmtId="0" fontId="0" fillId="17" borderId="30" xfId="0" applyFill="1" applyBorder="1"/>
    <xf numFmtId="0" fontId="0" fillId="11" borderId="17" xfId="0" applyFill="1" applyBorder="1" applyAlignment="1">
      <alignment horizontal="center"/>
    </xf>
    <xf numFmtId="0" fontId="0" fillId="11" borderId="29" xfId="0" applyFill="1" applyBorder="1" applyAlignment="1">
      <alignment horizontal="center"/>
    </xf>
    <xf numFmtId="0" fontId="0" fillId="11" borderId="22" xfId="0" applyFill="1" applyBorder="1" applyAlignment="1">
      <alignment horizontal="center"/>
    </xf>
    <xf numFmtId="0" fontId="0" fillId="11" borderId="28" xfId="0" applyFill="1" applyBorder="1" applyAlignment="1">
      <alignment horizontal="center"/>
    </xf>
    <xf numFmtId="0" fontId="0" fillId="11" borderId="27" xfId="0" applyFill="1" applyBorder="1" applyAlignment="1">
      <alignment horizontal="center"/>
    </xf>
    <xf numFmtId="0" fontId="0" fillId="11" borderId="26" xfId="0" applyFill="1" applyBorder="1" applyAlignment="1">
      <alignment horizontal="center"/>
    </xf>
    <xf numFmtId="0" fontId="0" fillId="17" borderId="24" xfId="0" applyFill="1" applyBorder="1"/>
    <xf numFmtId="2" fontId="0" fillId="17" borderId="24" xfId="0" applyNumberFormat="1" applyFill="1" applyBorder="1"/>
    <xf numFmtId="2" fontId="0" fillId="17" borderId="30" xfId="0" applyNumberFormat="1" applyFill="1" applyBorder="1"/>
    <xf numFmtId="166" fontId="0" fillId="17" borderId="27" xfId="8" applyNumberFormat="1" applyFont="1" applyFill="1" applyBorder="1"/>
    <xf numFmtId="44" fontId="0" fillId="17" borderId="17" xfId="0" applyNumberFormat="1" applyFill="1" applyBorder="1"/>
    <xf numFmtId="0" fontId="15" fillId="2" borderId="0" xfId="0" applyFont="1" applyFill="1"/>
    <xf numFmtId="0" fontId="10" fillId="2" borderId="0" xfId="0" applyFont="1" applyFill="1"/>
    <xf numFmtId="44" fontId="0" fillId="3" borderId="30" xfId="0" applyNumberFormat="1" applyFill="1" applyBorder="1"/>
    <xf numFmtId="44" fontId="8" fillId="3" borderId="30" xfId="0" applyNumberFormat="1" applyFont="1" applyFill="1" applyBorder="1"/>
    <xf numFmtId="44" fontId="0" fillId="3" borderId="24" xfId="0" applyNumberFormat="1" applyFill="1" applyBorder="1"/>
    <xf numFmtId="44" fontId="10" fillId="3" borderId="30" xfId="0" applyNumberFormat="1" applyFont="1" applyFill="1" applyBorder="1"/>
    <xf numFmtId="44" fontId="0" fillId="3" borderId="27" xfId="0" applyNumberFormat="1" applyFill="1" applyBorder="1"/>
    <xf numFmtId="44" fontId="0" fillId="3" borderId="28" xfId="0" applyNumberFormat="1" applyFill="1" applyBorder="1"/>
    <xf numFmtId="44" fontId="10" fillId="3" borderId="27" xfId="0" applyNumberFormat="1" applyFont="1" applyFill="1" applyBorder="1"/>
    <xf numFmtId="44" fontId="0" fillId="3" borderId="26" xfId="0" applyNumberFormat="1" applyFill="1" applyBorder="1"/>
    <xf numFmtId="0" fontId="0" fillId="12" borderId="16" xfId="0" applyFill="1" applyBorder="1" applyAlignment="1">
      <alignment horizontal="center"/>
    </xf>
    <xf numFmtId="0" fontId="0" fillId="12" borderId="23" xfId="0" applyFill="1" applyBorder="1"/>
    <xf numFmtId="0" fontId="0" fillId="12" borderId="25" xfId="0" applyFill="1" applyBorder="1"/>
    <xf numFmtId="0" fontId="0" fillId="12" borderId="29" xfId="0" applyFill="1" applyBorder="1" applyAlignment="1">
      <alignment horizontal="center"/>
    </xf>
    <xf numFmtId="0" fontId="0" fillId="12" borderId="17" xfId="0" applyFill="1" applyBorder="1" applyAlignment="1">
      <alignment horizontal="center"/>
    </xf>
    <xf numFmtId="0" fontId="8" fillId="12" borderId="29" xfId="0" applyFont="1" applyFill="1" applyBorder="1" applyAlignment="1">
      <alignment horizontal="center"/>
    </xf>
    <xf numFmtId="0" fontId="0" fillId="12" borderId="22" xfId="0" applyFill="1" applyBorder="1" applyAlignment="1">
      <alignment horizontal="center"/>
    </xf>
    <xf numFmtId="2" fontId="0" fillId="12" borderId="27" xfId="0" applyNumberFormat="1" applyFill="1" applyBorder="1"/>
    <xf numFmtId="0" fontId="0" fillId="12" borderId="28" xfId="0" applyFill="1" applyBorder="1"/>
    <xf numFmtId="0" fontId="0" fillId="12" borderId="27" xfId="0" applyFill="1" applyBorder="1"/>
    <xf numFmtId="2" fontId="8" fillId="12" borderId="27" xfId="0" applyNumberFormat="1" applyFont="1" applyFill="1" applyBorder="1"/>
    <xf numFmtId="0" fontId="0" fillId="12" borderId="26" xfId="0" applyFill="1" applyBorder="1"/>
    <xf numFmtId="44" fontId="18" fillId="3" borderId="23" xfId="0" applyNumberFormat="1" applyFont="1" applyFill="1" applyBorder="1"/>
    <xf numFmtId="44" fontId="18" fillId="3" borderId="30" xfId="0" applyNumberFormat="1" applyFont="1" applyFill="1" applyBorder="1"/>
    <xf numFmtId="44" fontId="18" fillId="3" borderId="0" xfId="0" applyNumberFormat="1" applyFont="1" applyFill="1"/>
    <xf numFmtId="44" fontId="0" fillId="3" borderId="23" xfId="0" applyNumberFormat="1" applyFill="1" applyBorder="1"/>
    <xf numFmtId="44" fontId="0" fillId="3" borderId="25" xfId="0" applyNumberFormat="1" applyFill="1" applyBorder="1"/>
    <xf numFmtId="44" fontId="8" fillId="3" borderId="28" xfId="0" applyNumberFormat="1" applyFont="1" applyFill="1" applyBorder="1"/>
    <xf numFmtId="0" fontId="0" fillId="3" borderId="23" xfId="0" applyFill="1" applyBorder="1"/>
    <xf numFmtId="0" fontId="0" fillId="3" borderId="25" xfId="0" applyFill="1" applyBorder="1"/>
    <xf numFmtId="0" fontId="0" fillId="12" borderId="21" xfId="0" applyFill="1" applyBorder="1"/>
    <xf numFmtId="0" fontId="0" fillId="12" borderId="17" xfId="0" applyFill="1" applyBorder="1"/>
    <xf numFmtId="0" fontId="0" fillId="12" borderId="22" xfId="0" applyFill="1" applyBorder="1"/>
    <xf numFmtId="44" fontId="0" fillId="12" borderId="28" xfId="1" applyFont="1" applyFill="1" applyBorder="1"/>
    <xf numFmtId="44" fontId="0" fillId="12" borderId="26" xfId="1" applyFont="1" applyFill="1" applyBorder="1"/>
    <xf numFmtId="0" fontId="0" fillId="12" borderId="18" xfId="0" applyFill="1" applyBorder="1"/>
    <xf numFmtId="0" fontId="0" fillId="12" borderId="19" xfId="0" applyFill="1" applyBorder="1"/>
    <xf numFmtId="0" fontId="0" fillId="12" borderId="29" xfId="0" applyFill="1" applyBorder="1"/>
    <xf numFmtId="0" fontId="0" fillId="12" borderId="30" xfId="0" applyFill="1" applyBorder="1"/>
    <xf numFmtId="44" fontId="0" fillId="3" borderId="17" xfId="1" applyFont="1" applyFill="1" applyBorder="1"/>
    <xf numFmtId="166" fontId="8" fillId="3" borderId="29" xfId="8" applyNumberFormat="1" applyFont="1" applyFill="1" applyBorder="1"/>
    <xf numFmtId="166" fontId="8" fillId="3" borderId="30" xfId="8" applyNumberFormat="1" applyFont="1" applyFill="1" applyBorder="1"/>
    <xf numFmtId="0" fontId="0" fillId="3" borderId="18" xfId="0" applyFill="1" applyBorder="1"/>
    <xf numFmtId="166" fontId="0" fillId="3" borderId="20" xfId="0" applyNumberFormat="1" applyFill="1" applyBorder="1"/>
    <xf numFmtId="0" fontId="8" fillId="2" borderId="23" xfId="0" applyFont="1" applyFill="1" applyBorder="1"/>
    <xf numFmtId="0" fontId="0" fillId="24" borderId="18" xfId="0" applyFill="1" applyBorder="1"/>
    <xf numFmtId="0" fontId="0" fillId="24" borderId="20" xfId="0" applyFill="1" applyBorder="1"/>
    <xf numFmtId="0" fontId="0" fillId="25" borderId="18" xfId="0" applyFill="1" applyBorder="1" applyAlignment="1">
      <alignment horizontal="center"/>
    </xf>
    <xf numFmtId="0" fontId="0" fillId="25" borderId="16" xfId="0" applyFill="1" applyBorder="1" applyAlignment="1">
      <alignment horizontal="center"/>
    </xf>
    <xf numFmtId="0" fontId="0" fillId="25" borderId="19" xfId="0" applyFill="1" applyBorder="1" applyAlignment="1">
      <alignment horizontal="center"/>
    </xf>
    <xf numFmtId="0" fontId="0" fillId="25" borderId="20" xfId="0" applyFill="1" applyBorder="1" applyAlignment="1">
      <alignment horizontal="center"/>
    </xf>
    <xf numFmtId="0" fontId="0" fillId="25" borderId="23" xfId="0" applyFill="1" applyBorder="1"/>
    <xf numFmtId="44" fontId="0" fillId="25" borderId="0" xfId="0" applyNumberFormat="1" applyFill="1"/>
    <xf numFmtId="44" fontId="0" fillId="25" borderId="30" xfId="0" applyNumberFormat="1" applyFill="1" applyBorder="1"/>
    <xf numFmtId="0" fontId="0" fillId="25" borderId="25" xfId="0" applyFill="1" applyBorder="1"/>
    <xf numFmtId="44" fontId="0" fillId="25" borderId="27" xfId="0" applyNumberFormat="1" applyFill="1" applyBorder="1"/>
    <xf numFmtId="44" fontId="0" fillId="25" borderId="26" xfId="1" applyFont="1" applyFill="1" applyBorder="1"/>
    <xf numFmtId="0" fontId="0" fillId="26" borderId="23" xfId="0" applyFill="1" applyBorder="1"/>
    <xf numFmtId="0" fontId="0" fillId="26" borderId="30" xfId="0" applyFill="1" applyBorder="1"/>
    <xf numFmtId="44" fontId="0" fillId="26" borderId="0" xfId="0" applyNumberFormat="1" applyFill="1"/>
    <xf numFmtId="44" fontId="0" fillId="26" borderId="30" xfId="0" applyNumberFormat="1" applyFill="1" applyBorder="1"/>
    <xf numFmtId="168" fontId="0" fillId="26" borderId="0" xfId="0" applyNumberFormat="1" applyFill="1"/>
    <xf numFmtId="44" fontId="0" fillId="26" borderId="30" xfId="1" applyFont="1" applyFill="1" applyBorder="1"/>
    <xf numFmtId="44" fontId="0" fillId="26" borderId="24" xfId="1" applyFont="1" applyFill="1" applyBorder="1"/>
    <xf numFmtId="0" fontId="0" fillId="26" borderId="25" xfId="0" applyFill="1" applyBorder="1"/>
    <xf numFmtId="0" fontId="0" fillId="26" borderId="27" xfId="0" applyFill="1" applyBorder="1"/>
    <xf numFmtId="44" fontId="0" fillId="26" borderId="28" xfId="0" applyNumberFormat="1" applyFill="1" applyBorder="1"/>
    <xf numFmtId="44" fontId="0" fillId="26" borderId="27" xfId="0" applyNumberFormat="1" applyFill="1" applyBorder="1"/>
    <xf numFmtId="168" fontId="0" fillId="26" borderId="28" xfId="0" applyNumberFormat="1" applyFill="1" applyBorder="1"/>
    <xf numFmtId="44" fontId="0" fillId="26" borderId="27" xfId="1" applyFont="1" applyFill="1" applyBorder="1"/>
    <xf numFmtId="44" fontId="0" fillId="26" borderId="26" xfId="1" applyFont="1" applyFill="1" applyBorder="1"/>
    <xf numFmtId="0" fontId="0" fillId="25" borderId="21" xfId="0" applyFill="1" applyBorder="1"/>
    <xf numFmtId="44" fontId="0" fillId="25" borderId="22" xfId="0" applyNumberFormat="1" applyFill="1" applyBorder="1"/>
    <xf numFmtId="44" fontId="0" fillId="25" borderId="24" xfId="0" applyNumberFormat="1" applyFill="1" applyBorder="1"/>
    <xf numFmtId="44" fontId="0" fillId="25" borderId="26" xfId="0" applyNumberFormat="1" applyFill="1" applyBorder="1"/>
    <xf numFmtId="0" fontId="0" fillId="25" borderId="17" xfId="0" applyFill="1" applyBorder="1"/>
    <xf numFmtId="0" fontId="0" fillId="25" borderId="22" xfId="0" applyFill="1" applyBorder="1"/>
    <xf numFmtId="44" fontId="0" fillId="25" borderId="28" xfId="1" applyFont="1" applyFill="1" applyBorder="1"/>
    <xf numFmtId="44" fontId="0" fillId="25" borderId="29" xfId="0" applyNumberFormat="1" applyFill="1" applyBorder="1"/>
    <xf numFmtId="0" fontId="0" fillId="25" borderId="18" xfId="0" applyFill="1" applyBorder="1"/>
    <xf numFmtId="166" fontId="0" fillId="25" borderId="16" xfId="8" applyNumberFormat="1" applyFont="1" applyFill="1" applyBorder="1"/>
    <xf numFmtId="169" fontId="0" fillId="26" borderId="0" xfId="0" applyNumberFormat="1" applyFill="1"/>
    <xf numFmtId="44" fontId="8" fillId="26" borderId="0" xfId="0" applyNumberFormat="1" applyFont="1" applyFill="1"/>
    <xf numFmtId="169" fontId="0" fillId="26" borderId="28" xfId="0" applyNumberFormat="1" applyFill="1" applyBorder="1"/>
    <xf numFmtId="44" fontId="8" fillId="3" borderId="23" xfId="0" applyNumberFormat="1" applyFont="1" applyFill="1" applyBorder="1"/>
    <xf numFmtId="168" fontId="0" fillId="3" borderId="23" xfId="0" applyNumberFormat="1" applyFill="1" applyBorder="1"/>
    <xf numFmtId="0" fontId="0" fillId="3" borderId="21" xfId="0" applyFill="1" applyBorder="1"/>
    <xf numFmtId="44" fontId="0" fillId="3" borderId="21" xfId="0" applyNumberFormat="1" applyFill="1" applyBorder="1"/>
    <xf numFmtId="168" fontId="0" fillId="3" borderId="21" xfId="0" applyNumberFormat="1" applyFill="1" applyBorder="1"/>
    <xf numFmtId="168" fontId="0" fillId="3" borderId="25" xfId="0" applyNumberFormat="1" applyFill="1" applyBorder="1"/>
    <xf numFmtId="44" fontId="0" fillId="3" borderId="22" xfId="1" applyFont="1" applyFill="1" applyBorder="1"/>
    <xf numFmtId="44" fontId="0" fillId="3" borderId="24" xfId="1" applyFont="1" applyFill="1" applyBorder="1"/>
    <xf numFmtId="44" fontId="0" fillId="3" borderId="26" xfId="1" applyFont="1" applyFill="1" applyBorder="1"/>
    <xf numFmtId="44" fontId="0" fillId="3" borderId="29" xfId="0" applyNumberFormat="1" applyFill="1" applyBorder="1"/>
    <xf numFmtId="0" fontId="6" fillId="12" borderId="17" xfId="0" applyFont="1" applyFill="1" applyBorder="1"/>
    <xf numFmtId="0" fontId="6" fillId="12" borderId="22" xfId="0" applyFont="1" applyFill="1" applyBorder="1"/>
    <xf numFmtId="0" fontId="6" fillId="12" borderId="25" xfId="0" applyFont="1" applyFill="1" applyBorder="1"/>
    <xf numFmtId="0" fontId="6" fillId="12" borderId="28" xfId="0" applyFont="1" applyFill="1" applyBorder="1"/>
    <xf numFmtId="0" fontId="6" fillId="12" borderId="26" xfId="0" applyFont="1" applyFill="1" applyBorder="1"/>
    <xf numFmtId="0" fontId="6" fillId="12" borderId="21" xfId="0" applyFont="1" applyFill="1" applyBorder="1"/>
    <xf numFmtId="0" fontId="8" fillId="12" borderId="18" xfId="0" applyFont="1" applyFill="1" applyBorder="1"/>
    <xf numFmtId="0" fontId="0" fillId="12" borderId="20" xfId="0" applyFill="1" applyBorder="1"/>
    <xf numFmtId="0" fontId="8" fillId="12" borderId="19" xfId="0" applyFont="1" applyFill="1" applyBorder="1"/>
    <xf numFmtId="0" fontId="8" fillId="12" borderId="20" xfId="0" applyFont="1" applyFill="1" applyBorder="1"/>
    <xf numFmtId="0" fontId="0" fillId="15" borderId="21" xfId="0" applyFill="1" applyBorder="1"/>
    <xf numFmtId="0" fontId="0" fillId="15" borderId="23" xfId="0" applyFill="1" applyBorder="1"/>
    <xf numFmtId="0" fontId="0" fillId="15" borderId="25" xfId="0" applyFill="1" applyBorder="1"/>
    <xf numFmtId="44" fontId="0" fillId="20" borderId="22" xfId="0" applyNumberFormat="1" applyFill="1" applyBorder="1"/>
    <xf numFmtId="166" fontId="0" fillId="20" borderId="29" xfId="8" applyNumberFormat="1" applyFont="1" applyFill="1" applyBorder="1"/>
    <xf numFmtId="166" fontId="0" fillId="20" borderId="30" xfId="8" applyNumberFormat="1" applyFont="1" applyFill="1" applyBorder="1"/>
    <xf numFmtId="166" fontId="0" fillId="20" borderId="27" xfId="8" applyNumberFormat="1" applyFont="1" applyFill="1" applyBorder="1"/>
    <xf numFmtId="0" fontId="0" fillId="2" borderId="23" xfId="0" applyFill="1" applyBorder="1" applyAlignment="1">
      <alignment horizontal="center"/>
    </xf>
    <xf numFmtId="0" fontId="19" fillId="2" borderId="0" xfId="0" applyFont="1" applyFill="1"/>
    <xf numFmtId="0" fontId="0" fillId="2" borderId="0" xfId="0" applyFill="1" applyAlignment="1">
      <alignment horizontal="left" indent="1"/>
    </xf>
    <xf numFmtId="0" fontId="0" fillId="2" borderId="23" xfId="0" applyFill="1" applyBorder="1" applyAlignment="1">
      <alignment horizontal="left" indent="1"/>
    </xf>
    <xf numFmtId="0" fontId="0" fillId="2" borderId="23" xfId="0" applyFill="1" applyBorder="1" applyAlignment="1">
      <alignment horizontal="left" indent="2"/>
    </xf>
    <xf numFmtId="0" fontId="6" fillId="17" borderId="14" xfId="4" applyFont="1" applyFill="1" applyBorder="1" applyAlignment="1">
      <alignment horizontal="center" vertical="center" wrapText="1"/>
    </xf>
    <xf numFmtId="44" fontId="6" fillId="17" borderId="2" xfId="6" applyFont="1" applyFill="1" applyBorder="1" applyAlignment="1">
      <alignment horizontal="right" vertical="center" wrapText="1"/>
    </xf>
    <xf numFmtId="44" fontId="6" fillId="17" borderId="14" xfId="6" applyFont="1" applyFill="1" applyBorder="1" applyAlignment="1">
      <alignment horizontal="right" vertical="center" wrapText="1"/>
    </xf>
    <xf numFmtId="0" fontId="6" fillId="17" borderId="13" xfId="4" applyFont="1" applyFill="1" applyBorder="1" applyAlignment="1">
      <alignment horizontal="center" vertical="center" wrapText="1"/>
    </xf>
    <xf numFmtId="44" fontId="6" fillId="17" borderId="0" xfId="6" applyFont="1" applyFill="1" applyBorder="1" applyAlignment="1">
      <alignment horizontal="right" vertical="center" wrapText="1"/>
    </xf>
    <xf numFmtId="44" fontId="6" fillId="17" borderId="13" xfId="6" applyFont="1" applyFill="1" applyBorder="1" applyAlignment="1">
      <alignment horizontal="right" vertical="center" wrapText="1"/>
    </xf>
    <xf numFmtId="0" fontId="6" fillId="17" borderId="15" xfId="4" applyFont="1" applyFill="1" applyBorder="1" applyAlignment="1">
      <alignment horizontal="center" vertical="center" wrapText="1"/>
    </xf>
    <xf numFmtId="44" fontId="6" fillId="17" borderId="7" xfId="6" applyFont="1" applyFill="1" applyBorder="1" applyAlignment="1">
      <alignment horizontal="right" vertical="center" wrapText="1"/>
    </xf>
    <xf numFmtId="44" fontId="6" fillId="17" borderId="15" xfId="6" applyFont="1" applyFill="1" applyBorder="1" applyAlignment="1">
      <alignment horizontal="right" vertical="center" wrapText="1"/>
    </xf>
    <xf numFmtId="0" fontId="6" fillId="17" borderId="1" xfId="0" applyFont="1" applyFill="1" applyBorder="1"/>
    <xf numFmtId="44" fontId="6" fillId="17" borderId="3" xfId="0" applyNumberFormat="1" applyFont="1" applyFill="1" applyBorder="1"/>
    <xf numFmtId="0" fontId="6" fillId="17" borderId="4" xfId="0" applyFont="1" applyFill="1" applyBorder="1"/>
    <xf numFmtId="44" fontId="6" fillId="17" borderId="5" xfId="0" applyNumberFormat="1" applyFont="1" applyFill="1" applyBorder="1"/>
    <xf numFmtId="44" fontId="0" fillId="17" borderId="5" xfId="0" applyNumberFormat="1" applyFill="1" applyBorder="1"/>
    <xf numFmtId="44" fontId="0" fillId="17" borderId="8" xfId="0" applyNumberFormat="1" applyFill="1" applyBorder="1"/>
    <xf numFmtId="44" fontId="6" fillId="17" borderId="14" xfId="0" applyNumberFormat="1" applyFont="1" applyFill="1" applyBorder="1"/>
    <xf numFmtId="44" fontId="6" fillId="17" borderId="13" xfId="0" applyNumberFormat="1" applyFont="1" applyFill="1" applyBorder="1"/>
    <xf numFmtId="44" fontId="0" fillId="17" borderId="13" xfId="0" applyNumberFormat="1" applyFill="1" applyBorder="1"/>
    <xf numFmtId="44" fontId="0" fillId="17" borderId="15" xfId="0" applyNumberFormat="1" applyFill="1" applyBorder="1"/>
    <xf numFmtId="0" fontId="7" fillId="11" borderId="12" xfId="7" applyFont="1" applyFill="1" applyBorder="1" applyAlignment="1">
      <alignment horizontal="center" vertical="center" wrapText="1"/>
    </xf>
    <xf numFmtId="44" fontId="7" fillId="11" borderId="10" xfId="6" applyFont="1" applyFill="1" applyBorder="1" applyAlignment="1">
      <alignment horizontal="center" vertical="center" wrapText="1"/>
    </xf>
    <xf numFmtId="44" fontId="7" fillId="11" borderId="12" xfId="6" applyFont="1" applyFill="1" applyBorder="1" applyAlignment="1">
      <alignment horizontal="center" vertical="center" wrapText="1"/>
    </xf>
    <xf numFmtId="0" fontId="4" fillId="2" borderId="0" xfId="7" applyFill="1" applyAlignment="1">
      <alignment horizontal="right"/>
    </xf>
    <xf numFmtId="0" fontId="0" fillId="3" borderId="13" xfId="0" applyFill="1" applyBorder="1"/>
    <xf numFmtId="0" fontId="0" fillId="3" borderId="15" xfId="0" applyFill="1" applyBorder="1"/>
    <xf numFmtId="0" fontId="0" fillId="3" borderId="12" xfId="0" applyFill="1" applyBorder="1"/>
    <xf numFmtId="0" fontId="0" fillId="18" borderId="1" xfId="0" applyFill="1" applyBorder="1"/>
    <xf numFmtId="44" fontId="0" fillId="18" borderId="14" xfId="1" applyFont="1" applyFill="1" applyBorder="1"/>
    <xf numFmtId="0" fontId="0" fillId="2" borderId="0" xfId="0" applyFill="1" applyAlignment="1">
      <alignment horizontal="center" wrapText="1"/>
    </xf>
    <xf numFmtId="0" fontId="0" fillId="19" borderId="4" xfId="0" applyFill="1" applyBorder="1" applyAlignment="1">
      <alignment horizontal="right"/>
    </xf>
    <xf numFmtId="0" fontId="0" fillId="19" borderId="1" xfId="0" applyFill="1" applyBorder="1"/>
    <xf numFmtId="0" fontId="6" fillId="2" borderId="5" xfId="0" applyFont="1" applyFill="1" applyBorder="1" applyAlignment="1">
      <alignment wrapText="1"/>
    </xf>
    <xf numFmtId="0" fontId="8" fillId="2" borderId="0" xfId="0" applyFont="1" applyFill="1" applyAlignment="1">
      <alignment horizontal="center" wrapText="1"/>
    </xf>
    <xf numFmtId="44" fontId="0" fillId="20" borderId="13" xfId="1" applyFont="1" applyFill="1" applyBorder="1"/>
    <xf numFmtId="0" fontId="0" fillId="20" borderId="6" xfId="0" applyFill="1" applyBorder="1"/>
    <xf numFmtId="0" fontId="0" fillId="20" borderId="1" xfId="0" applyFill="1" applyBorder="1"/>
    <xf numFmtId="44" fontId="0" fillId="20" borderId="14" xfId="0" applyNumberFormat="1" applyFill="1" applyBorder="1"/>
    <xf numFmtId="44" fontId="0" fillId="20" borderId="13" xfId="0" applyNumberFormat="1" applyFill="1" applyBorder="1"/>
    <xf numFmtId="44" fontId="0" fillId="20" borderId="15" xfId="0" applyNumberFormat="1" applyFill="1" applyBorder="1"/>
    <xf numFmtId="0" fontId="0" fillId="19" borderId="13" xfId="0" applyFill="1" applyBorder="1" applyAlignment="1">
      <alignment horizontal="left"/>
    </xf>
    <xf numFmtId="0" fontId="0" fillId="19" borderId="6" xfId="0" applyFill="1" applyBorder="1" applyAlignment="1">
      <alignment horizontal="right"/>
    </xf>
    <xf numFmtId="0" fontId="0" fillId="19" borderId="15" xfId="0" applyFill="1" applyBorder="1" applyAlignment="1">
      <alignment horizontal="left"/>
    </xf>
    <xf numFmtId="0" fontId="6" fillId="2" borderId="0" xfId="0" applyFont="1" applyFill="1" applyAlignment="1">
      <alignment horizontal="right"/>
    </xf>
    <xf numFmtId="44" fontId="0" fillId="18" borderId="14" xfId="0" applyNumberFormat="1" applyFill="1" applyBorder="1"/>
    <xf numFmtId="44" fontId="0" fillId="18" borderId="13" xfId="0" applyNumberFormat="1" applyFill="1" applyBorder="1"/>
    <xf numFmtId="44" fontId="0" fillId="18" borderId="15" xfId="0" applyNumberFormat="1" applyFill="1" applyBorder="1"/>
    <xf numFmtId="0" fontId="0" fillId="19" borderId="2" xfId="0" applyFill="1" applyBorder="1"/>
    <xf numFmtId="44" fontId="0" fillId="19" borderId="2" xfId="0" applyNumberFormat="1" applyFill="1" applyBorder="1"/>
    <xf numFmtId="44" fontId="0" fillId="19" borderId="2" xfId="1" applyFont="1" applyFill="1" applyBorder="1"/>
    <xf numFmtId="44" fontId="0" fillId="19" borderId="3" xfId="1" applyFont="1" applyFill="1" applyBorder="1"/>
    <xf numFmtId="0" fontId="0" fillId="18" borderId="21" xfId="0" applyFill="1" applyBorder="1"/>
    <xf numFmtId="44" fontId="0" fillId="18" borderId="29" xfId="1" applyFont="1" applyFill="1" applyBorder="1"/>
    <xf numFmtId="44" fontId="0" fillId="18" borderId="17" xfId="1" applyFont="1" applyFill="1" applyBorder="1"/>
    <xf numFmtId="44" fontId="0" fillId="18" borderId="29" xfId="0" applyNumberFormat="1" applyFill="1" applyBorder="1"/>
    <xf numFmtId="166" fontId="8" fillId="18" borderId="22" xfId="8" applyNumberFormat="1" applyFont="1" applyFill="1" applyBorder="1"/>
    <xf numFmtId="0" fontId="7" fillId="16" borderId="9" xfId="4" applyFont="1" applyFill="1" applyBorder="1" applyAlignment="1">
      <alignment horizontal="center"/>
    </xf>
    <xf numFmtId="0" fontId="7" fillId="16" borderId="10" xfId="4" applyFont="1" applyFill="1" applyBorder="1" applyAlignment="1">
      <alignment horizontal="center"/>
    </xf>
    <xf numFmtId="0" fontId="6" fillId="21" borderId="4" xfId="4" applyFont="1" applyFill="1" applyBorder="1"/>
    <xf numFmtId="0" fontId="6" fillId="21" borderId="0" xfId="5" applyFont="1" applyFill="1"/>
    <xf numFmtId="0" fontId="6" fillId="21" borderId="0" xfId="4" applyFont="1" applyFill="1"/>
    <xf numFmtId="0" fontId="6" fillId="21" borderId="6" xfId="4" applyFont="1" applyFill="1" applyBorder="1"/>
    <xf numFmtId="0" fontId="6" fillId="21" borderId="7" xfId="5" applyFont="1" applyFill="1" applyBorder="1"/>
    <xf numFmtId="0" fontId="6" fillId="21" borderId="7" xfId="4" applyFont="1" applyFill="1" applyBorder="1"/>
    <xf numFmtId="0" fontId="5" fillId="2" borderId="0" xfId="0" applyFont="1" applyFill="1"/>
    <xf numFmtId="0" fontId="7" fillId="16" borderId="11" xfId="4" applyFont="1" applyFill="1" applyBorder="1" applyAlignment="1">
      <alignment horizontal="center"/>
    </xf>
    <xf numFmtId="164" fontId="7" fillId="21" borderId="5" xfId="4" applyNumberFormat="1" applyFont="1" applyFill="1" applyBorder="1"/>
    <xf numFmtId="164" fontId="7" fillId="21" borderId="8" xfId="4" applyNumberFormat="1" applyFont="1" applyFill="1" applyBorder="1"/>
    <xf numFmtId="0" fontId="11" fillId="2" borderId="0" xfId="0" applyFont="1" applyFill="1"/>
    <xf numFmtId="0" fontId="0" fillId="27" borderId="21" xfId="0" applyFill="1" applyBorder="1"/>
    <xf numFmtId="0" fontId="0" fillId="27" borderId="17" xfId="0" applyFill="1" applyBorder="1"/>
    <xf numFmtId="0" fontId="0" fillId="27" borderId="22" xfId="0" applyFill="1" applyBorder="1"/>
    <xf numFmtId="0" fontId="0" fillId="27" borderId="23" xfId="0" applyFill="1" applyBorder="1"/>
    <xf numFmtId="0" fontId="0" fillId="27" borderId="0" xfId="0" applyFill="1"/>
    <xf numFmtId="44" fontId="0" fillId="27" borderId="0" xfId="0" applyNumberFormat="1" applyFill="1"/>
    <xf numFmtId="0" fontId="0" fillId="27" borderId="24" xfId="0" applyFill="1" applyBorder="1"/>
    <xf numFmtId="0" fontId="0" fillId="27" borderId="25" xfId="0" applyFill="1" applyBorder="1"/>
    <xf numFmtId="0" fontId="0" fillId="27" borderId="28" xfId="0" applyFill="1" applyBorder="1"/>
    <xf numFmtId="0" fontId="0" fillId="27" borderId="26" xfId="0" applyFill="1" applyBorder="1"/>
    <xf numFmtId="166" fontId="8" fillId="27" borderId="28" xfId="8" applyNumberFormat="1" applyFont="1" applyFill="1" applyBorder="1"/>
    <xf numFmtId="44" fontId="0" fillId="27" borderId="0" xfId="1" applyFont="1" applyFill="1" applyBorder="1"/>
    <xf numFmtId="166" fontId="0" fillId="27" borderId="0" xfId="8" applyNumberFormat="1" applyFont="1" applyFill="1" applyBorder="1"/>
    <xf numFmtId="166" fontId="8" fillId="27" borderId="0" xfId="8" applyNumberFormat="1" applyFont="1" applyFill="1" applyBorder="1"/>
    <xf numFmtId="9" fontId="0" fillId="27" borderId="0" xfId="0" applyNumberFormat="1" applyFill="1"/>
    <xf numFmtId="165" fontId="0" fillId="27" borderId="0" xfId="0" applyNumberFormat="1" applyFill="1"/>
    <xf numFmtId="0" fontId="0" fillId="2" borderId="0" xfId="0" applyFill="1" applyAlignment="1">
      <alignment vertical="center"/>
    </xf>
    <xf numFmtId="0" fontId="0" fillId="2" borderId="23" xfId="0" applyFill="1" applyBorder="1" applyAlignment="1">
      <alignment horizontal="right"/>
    </xf>
    <xf numFmtId="44" fontId="0" fillId="25" borderId="29" xfId="1" applyFont="1" applyFill="1" applyBorder="1"/>
    <xf numFmtId="44" fontId="0" fillId="26" borderId="0" xfId="1" applyFont="1" applyFill="1" applyBorder="1"/>
    <xf numFmtId="44" fontId="0" fillId="26" borderId="28" xfId="1" applyFont="1" applyFill="1" applyBorder="1"/>
    <xf numFmtId="168" fontId="0" fillId="26" borderId="30" xfId="0" applyNumberFormat="1" applyFill="1" applyBorder="1"/>
    <xf numFmtId="168" fontId="0" fillId="26" borderId="27" xfId="0" applyNumberFormat="1" applyFill="1" applyBorder="1"/>
    <xf numFmtId="164" fontId="2" fillId="26" borderId="5" xfId="4" applyNumberFormat="1" applyFill="1" applyBorder="1"/>
    <xf numFmtId="0" fontId="20" fillId="2" borderId="0" xfId="0" applyFont="1" applyFill="1"/>
    <xf numFmtId="44" fontId="8" fillId="3" borderId="29" xfId="0" applyNumberFormat="1" applyFont="1" applyFill="1" applyBorder="1"/>
    <xf numFmtId="0" fontId="0" fillId="25" borderId="0" xfId="0" applyFill="1"/>
    <xf numFmtId="0" fontId="8" fillId="25" borderId="0" xfId="0" applyFont="1" applyFill="1" applyAlignment="1">
      <alignment horizontal="right"/>
    </xf>
    <xf numFmtId="44" fontId="8" fillId="25" borderId="24" xfId="0" applyNumberFormat="1" applyFont="1" applyFill="1" applyBorder="1"/>
    <xf numFmtId="0" fontId="0" fillId="25" borderId="28" xfId="0" applyFill="1" applyBorder="1"/>
    <xf numFmtId="0" fontId="0" fillId="25" borderId="28" xfId="0" applyFill="1" applyBorder="1" applyAlignment="1">
      <alignment horizontal="right"/>
    </xf>
    <xf numFmtId="166" fontId="0" fillId="25" borderId="26" xfId="8" applyNumberFormat="1" applyFont="1" applyFill="1" applyBorder="1"/>
    <xf numFmtId="0" fontId="0" fillId="24" borderId="19" xfId="0" applyFill="1" applyBorder="1"/>
    <xf numFmtId="166" fontId="10" fillId="18" borderId="24" xfId="8" applyNumberFormat="1" applyFont="1" applyFill="1" applyBorder="1"/>
    <xf numFmtId="0" fontId="13" fillId="2" borderId="0" xfId="0" applyFont="1" applyFill="1" applyAlignment="1">
      <alignment horizontal="right"/>
    </xf>
    <xf numFmtId="166" fontId="21" fillId="3" borderId="27" xfId="8" applyNumberFormat="1" applyFont="1" applyFill="1" applyBorder="1"/>
    <xf numFmtId="0" fontId="0" fillId="18" borderId="30" xfId="0" applyFill="1" applyBorder="1"/>
    <xf numFmtId="0" fontId="0" fillId="18" borderId="27" xfId="0" applyFill="1" applyBorder="1"/>
    <xf numFmtId="0" fontId="0" fillId="0" borderId="17" xfId="0" applyBorder="1"/>
    <xf numFmtId="0" fontId="0" fillId="19" borderId="21" xfId="0" applyFill="1" applyBorder="1"/>
    <xf numFmtId="9" fontId="0" fillId="19" borderId="22" xfId="0" applyNumberFormat="1" applyFill="1" applyBorder="1"/>
    <xf numFmtId="0" fontId="0" fillId="19" borderId="25" xfId="0" applyFill="1" applyBorder="1"/>
    <xf numFmtId="0" fontId="0" fillId="19" borderId="26" xfId="0" applyFill="1" applyBorder="1"/>
    <xf numFmtId="44" fontId="0" fillId="19" borderId="22" xfId="0" applyNumberFormat="1" applyFill="1" applyBorder="1"/>
    <xf numFmtId="44" fontId="0" fillId="19" borderId="26" xfId="0" applyNumberFormat="1" applyFill="1" applyBorder="1"/>
    <xf numFmtId="0" fontId="0" fillId="19" borderId="34" xfId="0" applyFill="1" applyBorder="1"/>
    <xf numFmtId="0" fontId="0" fillId="19" borderId="30" xfId="0" applyFill="1" applyBorder="1"/>
    <xf numFmtId="0" fontId="8" fillId="19" borderId="30" xfId="0" applyFont="1" applyFill="1" applyBorder="1"/>
    <xf numFmtId="44" fontId="0" fillId="19" borderId="34" xfId="0" applyNumberFormat="1" applyFill="1" applyBorder="1"/>
    <xf numFmtId="44" fontId="0" fillId="19" borderId="30" xfId="0" applyNumberFormat="1" applyFill="1" applyBorder="1"/>
    <xf numFmtId="44" fontId="8" fillId="19" borderId="30" xfId="0" applyNumberFormat="1" applyFont="1" applyFill="1" applyBorder="1"/>
    <xf numFmtId="44" fontId="0" fillId="19" borderId="34" xfId="1" applyFont="1" applyFill="1" applyBorder="1"/>
    <xf numFmtId="44" fontId="0" fillId="19" borderId="30" xfId="1" applyFont="1" applyFill="1" applyBorder="1"/>
    <xf numFmtId="44" fontId="11" fillId="19" borderId="30" xfId="1" applyFont="1" applyFill="1" applyBorder="1"/>
    <xf numFmtId="164" fontId="0" fillId="19" borderId="34" xfId="0" applyNumberFormat="1" applyFill="1" applyBorder="1"/>
    <xf numFmtId="164" fontId="0" fillId="19" borderId="30" xfId="0" applyNumberFormat="1" applyFill="1" applyBorder="1"/>
    <xf numFmtId="0" fontId="0" fillId="8" borderId="33" xfId="0" applyFill="1" applyBorder="1" applyAlignment="1">
      <alignment horizontal="center"/>
    </xf>
    <xf numFmtId="0" fontId="0" fillId="19" borderId="35" xfId="0" applyFill="1" applyBorder="1"/>
    <xf numFmtId="44" fontId="0" fillId="19" borderId="35" xfId="0" applyNumberFormat="1" applyFill="1" applyBorder="1"/>
    <xf numFmtId="44" fontId="11" fillId="19" borderId="35" xfId="1" applyFont="1" applyFill="1" applyBorder="1"/>
    <xf numFmtId="164" fontId="0" fillId="19" borderId="35" xfId="0" applyNumberFormat="1" applyFill="1" applyBorder="1"/>
    <xf numFmtId="44" fontId="8" fillId="25" borderId="26" xfId="0" applyNumberFormat="1" applyFont="1" applyFill="1" applyBorder="1"/>
    <xf numFmtId="165" fontId="9" fillId="2" borderId="0" xfId="8" applyNumberFormat="1" applyFont="1" applyFill="1" applyBorder="1"/>
    <xf numFmtId="44" fontId="9" fillId="2" borderId="0" xfId="1" applyFont="1" applyFill="1"/>
    <xf numFmtId="0" fontId="17" fillId="2" borderId="0" xfId="0" applyFont="1" applyFill="1"/>
    <xf numFmtId="0" fontId="6" fillId="2" borderId="23" xfId="0" applyFont="1" applyFill="1" applyBorder="1" applyAlignment="1">
      <alignment horizontal="left" indent="1"/>
    </xf>
    <xf numFmtId="165" fontId="0" fillId="3" borderId="0" xfId="8" applyNumberFormat="1" applyFont="1" applyFill="1" applyBorder="1"/>
    <xf numFmtId="0" fontId="0" fillId="3" borderId="24" xfId="0" applyFill="1" applyBorder="1"/>
    <xf numFmtId="0" fontId="0" fillId="3" borderId="28" xfId="0" applyFill="1" applyBorder="1"/>
    <xf numFmtId="10" fontId="0" fillId="3" borderId="28" xfId="8" applyNumberFormat="1" applyFont="1" applyFill="1" applyBorder="1"/>
    <xf numFmtId="0" fontId="0" fillId="3" borderId="26" xfId="0" applyFill="1" applyBorder="1"/>
    <xf numFmtId="0" fontId="0" fillId="28" borderId="23" xfId="0" applyFill="1" applyBorder="1"/>
    <xf numFmtId="0" fontId="0" fillId="28" borderId="0" xfId="0" applyFill="1"/>
    <xf numFmtId="165" fontId="0" fillId="28" borderId="0" xfId="8" applyNumberFormat="1" applyFont="1" applyFill="1" applyBorder="1"/>
    <xf numFmtId="0" fontId="0" fillId="28" borderId="24" xfId="0" applyFill="1" applyBorder="1"/>
    <xf numFmtId="0" fontId="0" fillId="28" borderId="25" xfId="0" applyFill="1" applyBorder="1"/>
    <xf numFmtId="0" fontId="0" fillId="28" borderId="28" xfId="0" applyFill="1" applyBorder="1"/>
    <xf numFmtId="165" fontId="0" fillId="28" borderId="28" xfId="8" applyNumberFormat="1" applyFont="1" applyFill="1" applyBorder="1"/>
    <xf numFmtId="0" fontId="0" fillId="28" borderId="26" xfId="0" applyFill="1" applyBorder="1"/>
    <xf numFmtId="0" fontId="0" fillId="18" borderId="0" xfId="0" applyFill="1"/>
    <xf numFmtId="0" fontId="0" fillId="18" borderId="24" xfId="0" applyFill="1" applyBorder="1"/>
    <xf numFmtId="0" fontId="0" fillId="18" borderId="28" xfId="0" applyFill="1" applyBorder="1"/>
    <xf numFmtId="0" fontId="0" fillId="18" borderId="26" xfId="0" applyFill="1" applyBorder="1"/>
    <xf numFmtId="0" fontId="0" fillId="18" borderId="17" xfId="0" applyFill="1" applyBorder="1"/>
    <xf numFmtId="165" fontId="0" fillId="18" borderId="17" xfId="8" applyNumberFormat="1" applyFont="1" applyFill="1" applyBorder="1"/>
    <xf numFmtId="0" fontId="0" fillId="18" borderId="22" xfId="0" applyFill="1" applyBorder="1"/>
    <xf numFmtId="0" fontId="4" fillId="2" borderId="23" xfId="7" applyFill="1" applyBorder="1"/>
    <xf numFmtId="0" fontId="7" fillId="2" borderId="0" xfId="2" applyFont="1" applyFill="1"/>
    <xf numFmtId="10" fontId="0" fillId="2" borderId="0" xfId="8" applyNumberFormat="1" applyFont="1" applyFill="1" applyAlignment="1">
      <alignment horizontal="left" indent="1"/>
    </xf>
    <xf numFmtId="0" fontId="5" fillId="2" borderId="0" xfId="0" applyFont="1" applyFill="1" applyAlignment="1">
      <alignment horizontal="center"/>
    </xf>
    <xf numFmtId="0" fontId="0" fillId="15" borderId="18" xfId="0" applyFill="1" applyBorder="1" applyAlignment="1">
      <alignment horizontal="center"/>
    </xf>
    <xf numFmtId="0" fontId="0" fillId="15" borderId="19" xfId="0" applyFill="1" applyBorder="1" applyAlignment="1">
      <alignment horizontal="center"/>
    </xf>
    <xf numFmtId="0" fontId="0" fillId="15" borderId="20" xfId="0" applyFill="1" applyBorder="1" applyAlignment="1">
      <alignment horizontal="center"/>
    </xf>
    <xf numFmtId="0" fontId="0" fillId="15" borderId="21" xfId="0" applyFill="1" applyBorder="1" applyAlignment="1">
      <alignment horizontal="center"/>
    </xf>
    <xf numFmtId="0" fontId="0" fillId="15" borderId="17" xfId="0" applyFill="1" applyBorder="1" applyAlignment="1">
      <alignment horizontal="center"/>
    </xf>
    <xf numFmtId="0" fontId="0" fillId="15" borderId="22" xfId="0" applyFill="1" applyBorder="1" applyAlignment="1">
      <alignment horizontal="center"/>
    </xf>
    <xf numFmtId="0" fontId="8" fillId="12" borderId="18" xfId="0" applyFont="1" applyFill="1" applyBorder="1" applyAlignment="1">
      <alignment horizontal="center"/>
    </xf>
    <xf numFmtId="0" fontId="8" fillId="12" borderId="19" xfId="0" applyFont="1" applyFill="1" applyBorder="1" applyAlignment="1">
      <alignment horizontal="center"/>
    </xf>
    <xf numFmtId="0" fontId="8" fillId="12" borderId="20" xfId="0" applyFont="1" applyFill="1" applyBorder="1" applyAlignment="1">
      <alignment horizontal="center"/>
    </xf>
    <xf numFmtId="0" fontId="0" fillId="2" borderId="0" xfId="0" applyFill="1" applyAlignment="1">
      <alignment horizontal="center"/>
    </xf>
    <xf numFmtId="0" fontId="0" fillId="12" borderId="29" xfId="0" applyFill="1" applyBorder="1" applyAlignment="1">
      <alignment horizontal="center" vertical="center"/>
    </xf>
    <xf numFmtId="0" fontId="0" fillId="12" borderId="27" xfId="0" applyFill="1" applyBorder="1" applyAlignment="1">
      <alignment horizontal="center" vertical="center"/>
    </xf>
    <xf numFmtId="0" fontId="0" fillId="12" borderId="29" xfId="0" applyFill="1" applyBorder="1" applyAlignment="1">
      <alignment horizontal="center" vertical="center" wrapText="1"/>
    </xf>
    <xf numFmtId="0" fontId="0" fillId="12" borderId="27" xfId="0" applyFill="1" applyBorder="1" applyAlignment="1">
      <alignment horizontal="center" vertical="center" wrapText="1"/>
    </xf>
    <xf numFmtId="0" fontId="0" fillId="12" borderId="30" xfId="0" applyFill="1" applyBorder="1" applyAlignment="1">
      <alignment horizontal="center" vertical="center" wrapText="1"/>
    </xf>
    <xf numFmtId="0" fontId="8" fillId="12" borderId="29" xfId="0" applyFont="1" applyFill="1" applyBorder="1" applyAlignment="1">
      <alignment horizontal="center" vertical="center"/>
    </xf>
    <xf numFmtId="0" fontId="8" fillId="12" borderId="27" xfId="0" applyFont="1" applyFill="1" applyBorder="1" applyAlignment="1">
      <alignment horizontal="center" vertical="center"/>
    </xf>
    <xf numFmtId="0" fontId="0" fillId="12" borderId="18" xfId="0" applyFill="1" applyBorder="1" applyAlignment="1">
      <alignment horizontal="center"/>
    </xf>
    <xf numFmtId="0" fontId="0" fillId="12" borderId="19" xfId="0" applyFill="1" applyBorder="1" applyAlignment="1">
      <alignment horizontal="center"/>
    </xf>
    <xf numFmtId="0" fontId="0" fillId="12" borderId="20" xfId="0" applyFill="1" applyBorder="1" applyAlignment="1">
      <alignment horizontal="center"/>
    </xf>
    <xf numFmtId="0" fontId="0" fillId="11" borderId="18" xfId="0" applyFill="1" applyBorder="1" applyAlignment="1">
      <alignment horizontal="center"/>
    </xf>
    <xf numFmtId="0" fontId="0" fillId="11" borderId="19" xfId="0" applyFill="1" applyBorder="1" applyAlignment="1">
      <alignment horizontal="center"/>
    </xf>
    <xf numFmtId="0" fontId="0" fillId="11" borderId="20" xfId="0" applyFill="1" applyBorder="1" applyAlignment="1">
      <alignment horizontal="center"/>
    </xf>
    <xf numFmtId="0" fontId="0" fillId="4" borderId="21" xfId="0" applyFill="1" applyBorder="1" applyAlignment="1">
      <alignment horizontal="center"/>
    </xf>
    <xf numFmtId="0" fontId="0" fillId="4" borderId="17" xfId="0" applyFill="1" applyBorder="1" applyAlignment="1">
      <alignment horizontal="center"/>
    </xf>
    <xf numFmtId="0" fontId="0" fillId="4" borderId="22" xfId="0" applyFill="1" applyBorder="1" applyAlignment="1">
      <alignment horizontal="center"/>
    </xf>
    <xf numFmtId="0" fontId="0" fillId="29" borderId="18" xfId="0" applyFill="1" applyBorder="1" applyAlignment="1">
      <alignment horizontal="center"/>
    </xf>
    <xf numFmtId="0" fontId="0" fillId="29" borderId="19" xfId="0" applyFill="1" applyBorder="1" applyAlignment="1">
      <alignment horizontal="center"/>
    </xf>
    <xf numFmtId="0" fontId="0" fillId="29" borderId="20" xfId="0" applyFill="1" applyBorder="1" applyAlignment="1">
      <alignment horizontal="center"/>
    </xf>
    <xf numFmtId="0" fontId="0" fillId="23" borderId="18" xfId="0" applyFill="1" applyBorder="1" applyAlignment="1">
      <alignment horizontal="center"/>
    </xf>
    <xf numFmtId="0" fontId="0" fillId="23" borderId="19" xfId="0" applyFill="1" applyBorder="1" applyAlignment="1">
      <alignment horizontal="center"/>
    </xf>
    <xf numFmtId="0" fontId="0" fillId="23" borderId="20" xfId="0" applyFill="1" applyBorder="1" applyAlignment="1">
      <alignment horizontal="center"/>
    </xf>
    <xf numFmtId="0" fontId="0" fillId="19" borderId="21" xfId="0" applyFill="1" applyBorder="1" applyAlignment="1">
      <alignment horizontal="center"/>
    </xf>
    <xf numFmtId="0" fontId="0" fillId="19" borderId="17" xfId="0" applyFill="1" applyBorder="1" applyAlignment="1">
      <alignment horizontal="center"/>
    </xf>
    <xf numFmtId="0" fontId="0" fillId="19" borderId="22" xfId="0" applyFill="1" applyBorder="1" applyAlignment="1">
      <alignment horizontal="center"/>
    </xf>
    <xf numFmtId="0" fontId="0" fillId="19" borderId="23" xfId="0" applyFill="1" applyBorder="1" applyAlignment="1">
      <alignment horizontal="center"/>
    </xf>
    <xf numFmtId="0" fontId="0" fillId="19" borderId="0" xfId="0" applyFill="1" applyAlignment="1">
      <alignment horizontal="center"/>
    </xf>
    <xf numFmtId="0" fontId="0" fillId="19" borderId="24" xfId="0" applyFill="1" applyBorder="1" applyAlignment="1">
      <alignment horizontal="center"/>
    </xf>
    <xf numFmtId="0" fontId="0" fillId="19" borderId="25" xfId="0" applyFill="1" applyBorder="1" applyAlignment="1">
      <alignment horizontal="center"/>
    </xf>
    <xf numFmtId="0" fontId="0" fillId="19" borderId="28" xfId="0" applyFill="1" applyBorder="1" applyAlignment="1">
      <alignment horizontal="center"/>
    </xf>
    <xf numFmtId="0" fontId="0" fillId="19" borderId="26" xfId="0" applyFill="1" applyBorder="1" applyAlignment="1">
      <alignment horizontal="center"/>
    </xf>
    <xf numFmtId="0" fontId="0" fillId="10" borderId="9" xfId="0" applyFill="1" applyBorder="1" applyAlignment="1">
      <alignment horizontal="center" vertical="center"/>
    </xf>
    <xf numFmtId="0" fontId="0" fillId="10" borderId="11" xfId="0" applyFill="1" applyBorder="1" applyAlignment="1">
      <alignment horizontal="center" vertical="center"/>
    </xf>
    <xf numFmtId="0" fontId="7" fillId="10" borderId="9" xfId="4" applyFont="1" applyFill="1" applyBorder="1" applyAlignment="1">
      <alignment horizontal="center"/>
    </xf>
    <xf numFmtId="0" fontId="7" fillId="10" borderId="10" xfId="4" applyFont="1" applyFill="1" applyBorder="1" applyAlignment="1">
      <alignment horizontal="center"/>
    </xf>
    <xf numFmtId="0" fontId="7" fillId="10" borderId="11" xfId="4" applyFont="1" applyFill="1" applyBorder="1" applyAlignment="1">
      <alignment horizontal="center"/>
    </xf>
    <xf numFmtId="0" fontId="8" fillId="9" borderId="9" xfId="0" applyFont="1" applyFill="1" applyBorder="1" applyAlignment="1">
      <alignment horizontal="center" vertical="center" wrapText="1"/>
    </xf>
    <xf numFmtId="0" fontId="8" fillId="9" borderId="11" xfId="0" applyFont="1" applyFill="1" applyBorder="1" applyAlignment="1">
      <alignment horizontal="center" vertical="center" wrapText="1"/>
    </xf>
    <xf numFmtId="0" fontId="8" fillId="7" borderId="9" xfId="0" applyFont="1" applyFill="1" applyBorder="1" applyAlignment="1">
      <alignment horizontal="center" wrapText="1"/>
    </xf>
    <xf numFmtId="0" fontId="8" fillId="7" borderId="11" xfId="0" applyFont="1" applyFill="1" applyBorder="1" applyAlignment="1">
      <alignment horizontal="center" wrapText="1"/>
    </xf>
    <xf numFmtId="0" fontId="7" fillId="5" borderId="9" xfId="4" applyFont="1" applyFill="1" applyBorder="1" applyAlignment="1">
      <alignment horizontal="center" vertical="center"/>
    </xf>
    <xf numFmtId="0" fontId="7" fillId="5" borderId="10" xfId="4" applyFont="1" applyFill="1" applyBorder="1" applyAlignment="1">
      <alignment horizontal="center" vertical="center"/>
    </xf>
    <xf numFmtId="0" fontId="7" fillId="5" borderId="11" xfId="4" applyFont="1" applyFill="1" applyBorder="1" applyAlignment="1">
      <alignment horizontal="center" vertical="center"/>
    </xf>
    <xf numFmtId="0" fontId="8" fillId="6" borderId="9"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8" fillId="8" borderId="9" xfId="0" applyFont="1" applyFill="1" applyBorder="1" applyAlignment="1">
      <alignment horizontal="center" vertical="center"/>
    </xf>
    <xf numFmtId="0" fontId="8" fillId="8" borderId="11" xfId="0" applyFont="1" applyFill="1" applyBorder="1" applyAlignment="1">
      <alignment horizontal="center" vertical="center"/>
    </xf>
    <xf numFmtId="0" fontId="3" fillId="0" borderId="9" xfId="4" applyFont="1" applyBorder="1" applyAlignment="1">
      <alignment horizontal="center"/>
    </xf>
    <xf numFmtId="0" fontId="3" fillId="0" borderId="10" xfId="4" applyFont="1" applyBorder="1" applyAlignment="1">
      <alignment horizontal="center"/>
    </xf>
    <xf numFmtId="0" fontId="3" fillId="0" borderId="11" xfId="4" applyFont="1" applyBorder="1" applyAlignment="1">
      <alignment horizontal="center"/>
    </xf>
    <xf numFmtId="0" fontId="0" fillId="9" borderId="18" xfId="0" applyFill="1" applyBorder="1" applyAlignment="1">
      <alignment horizontal="center"/>
    </xf>
    <xf numFmtId="0" fontId="0" fillId="9" borderId="19" xfId="0" applyFill="1" applyBorder="1" applyAlignment="1">
      <alignment horizontal="center"/>
    </xf>
    <xf numFmtId="0" fontId="0" fillId="9" borderId="20" xfId="0" applyFill="1" applyBorder="1" applyAlignment="1">
      <alignment horizontal="center"/>
    </xf>
    <xf numFmtId="0" fontId="0" fillId="9" borderId="27" xfId="0" applyFill="1" applyBorder="1" applyAlignment="1">
      <alignment horizontal="center"/>
    </xf>
    <xf numFmtId="0" fontId="0" fillId="9" borderId="16" xfId="0" applyFill="1" applyBorder="1" applyAlignment="1">
      <alignment horizontal="center"/>
    </xf>
  </cellXfs>
  <cellStyles count="9">
    <cellStyle name="Currency" xfId="1" builtinId="4"/>
    <cellStyle name="Currency 2" xfId="6" xr:uid="{E4CB023E-A48C-4129-8B99-D0E39DE27980}"/>
    <cellStyle name="Currency 3" xfId="3" xr:uid="{64F19C8C-1FDC-4693-AFF9-85783E81311B}"/>
    <cellStyle name="Hyperlink" xfId="7" builtinId="8"/>
    <cellStyle name="Normal" xfId="0" builtinId="0"/>
    <cellStyle name="Normal 2" xfId="5" xr:uid="{488B29E3-355C-44C4-BA91-901C334F0073}"/>
    <cellStyle name="Normal 3" xfId="4" xr:uid="{14202724-A2AE-434A-9D47-24CD3713CCEB}"/>
    <cellStyle name="Normal 4" xfId="2" xr:uid="{3E123094-954E-49BC-A30A-4A60F685FDD9}"/>
    <cellStyle name="Percent" xfId="8" builtinId="5"/>
  </cellStyles>
  <dxfs count="0"/>
  <tableStyles count="0" defaultTableStyle="TableStyleMedium2" defaultPivotStyle="PivotStyleLight16"/>
  <colors>
    <mruColors>
      <color rgb="FFFFD1D1"/>
      <color rgb="FFFF2121"/>
      <color rgb="FF0000FF"/>
      <color rgb="FFF4F0FE"/>
      <color rgb="FFEBE3FD"/>
      <color rgb="FFE0D4FC"/>
      <color rgb="FFE1FFFF"/>
      <color rgb="FFFFC9E4"/>
      <color rgb="FFFFCDCD"/>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II.B:</a:t>
            </a:r>
            <a:r>
              <a:rPr lang="en-US" baseline="0"/>
              <a:t> </a:t>
            </a:r>
            <a:r>
              <a:rPr lang="en-US"/>
              <a:t>Extending Maximum Collection</a:t>
            </a:r>
            <a:r>
              <a:rPr lang="en-US" baseline="0"/>
              <a:t> Dates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sq">
                <a:solidFill>
                  <a:schemeClr val="accent2">
                    <a:lumMod val="75000"/>
                  </a:schemeClr>
                </a:solidFill>
                <a:prstDash val="solid"/>
                <a:round/>
                <a:tailEnd type="arrow" w="sm" len="sm"/>
              </a:ln>
              <a:effectLst/>
            </c:spPr>
            <c:trendlineType val="exp"/>
            <c:dispRSqr val="0"/>
            <c:dispEq val="0"/>
          </c:trendline>
          <c:cat>
            <c:numRef>
              <c:f>collection_age!$G$31:$G$41</c:f>
              <c:numCache>
                <c:formatCode>General</c:formatCode>
                <c:ptCount val="11"/>
                <c:pt idx="0">
                  <c:v>67</c:v>
                </c:pt>
                <c:pt idx="1">
                  <c:v>67.5</c:v>
                </c:pt>
                <c:pt idx="2">
                  <c:v>68</c:v>
                </c:pt>
                <c:pt idx="3">
                  <c:v>68.5</c:v>
                </c:pt>
                <c:pt idx="4">
                  <c:v>69</c:v>
                </c:pt>
                <c:pt idx="5">
                  <c:v>69.5</c:v>
                </c:pt>
                <c:pt idx="6">
                  <c:v>70</c:v>
                </c:pt>
                <c:pt idx="7">
                  <c:v>70.5</c:v>
                </c:pt>
                <c:pt idx="8">
                  <c:v>71</c:v>
                </c:pt>
                <c:pt idx="9">
                  <c:v>71.5</c:v>
                </c:pt>
                <c:pt idx="10">
                  <c:v>72</c:v>
                </c:pt>
              </c:numCache>
            </c:numRef>
          </c:cat>
          <c:val>
            <c:numRef>
              <c:f>collection_age!$H$31:$H$41</c:f>
              <c:numCache>
                <c:formatCode>_("$"* #,##0.00_);_("$"* \(#,##0.00\);_("$"* "-"??_);_(@_)</c:formatCode>
                <c:ptCount val="11"/>
                <c:pt idx="0">
                  <c:v>3577.1702072370495</c:v>
                </c:pt>
                <c:pt idx="1">
                  <c:v>3630.4312543127289</c:v>
                </c:pt>
                <c:pt idx="2">
                  <c:v>3684.4853134541613</c:v>
                </c:pt>
                <c:pt idx="3">
                  <c:v>3739.3441919421111</c:v>
                </c:pt>
                <c:pt idx="4">
                  <c:v>3795.0198728577861</c:v>
                </c:pt>
                <c:pt idx="5">
                  <c:v>3851.5245177003744</c:v>
                </c:pt>
                <c:pt idx="6">
                  <c:v>3908.8704690435193</c:v>
                </c:pt>
                <c:pt idx="7">
                  <c:v>3967.0702532313858</c:v>
                </c:pt>
                <c:pt idx="8">
                  <c:v>4026.136583114825</c:v>
                </c:pt>
                <c:pt idx="9">
                  <c:v>4086.0823608283276</c:v>
                </c:pt>
                <c:pt idx="10">
                  <c:v>4146.9206806082702</c:v>
                </c:pt>
              </c:numCache>
            </c:numRef>
          </c:val>
          <c:extLst>
            <c:ext xmlns:c16="http://schemas.microsoft.com/office/drawing/2014/chart" uri="{C3380CC4-5D6E-409C-BE32-E72D297353CC}">
              <c16:uniqueId val="{00000000-7607-4C6F-BCC4-2E9586C03E9B}"/>
            </c:ext>
          </c:extLst>
        </c:ser>
        <c:dLbls>
          <c:showLegendKey val="0"/>
          <c:showVal val="0"/>
          <c:showCatName val="0"/>
          <c:showSerName val="0"/>
          <c:showPercent val="0"/>
          <c:showBubbleSize val="0"/>
        </c:dLbls>
        <c:gapWidth val="219"/>
        <c:overlap val="-27"/>
        <c:axId val="1076324696"/>
        <c:axId val="1076326336"/>
      </c:barChart>
      <c:catAx>
        <c:axId val="1076324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Max</a:t>
                </a:r>
                <a:r>
                  <a:rPr lang="en-US" baseline="0"/>
                  <a:t> Retirement &amp; Collection Age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326336"/>
        <c:crosses val="autoZero"/>
        <c:auto val="1"/>
        <c:lblAlgn val="ctr"/>
        <c:lblOffset val="100"/>
        <c:noMultiLvlLbl val="0"/>
      </c:catAx>
      <c:valAx>
        <c:axId val="1076326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SSNRA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324696"/>
        <c:crosses val="autoZero"/>
        <c:crossBetween val="between"/>
        <c:majorUnit val="200"/>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 Change in SSNRA per 1% Change in COLA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COLA_reductions!$X$34:$X$43</c:f>
              <c:numCache>
                <c:formatCode>0.0%</c:formatCode>
                <c:ptCount val="10"/>
                <c:pt idx="0">
                  <c:v>-0.02</c:v>
                </c:pt>
                <c:pt idx="1">
                  <c:v>-0.01</c:v>
                </c:pt>
                <c:pt idx="2">
                  <c:v>0</c:v>
                </c:pt>
                <c:pt idx="3">
                  <c:v>1.0000000000000002E-2</c:v>
                </c:pt>
                <c:pt idx="4">
                  <c:v>2.0000000000000004E-2</c:v>
                </c:pt>
                <c:pt idx="5">
                  <c:v>3.0000000000000006E-2</c:v>
                </c:pt>
                <c:pt idx="6">
                  <c:v>4.0000000000000008E-2</c:v>
                </c:pt>
                <c:pt idx="7">
                  <c:v>0.05</c:v>
                </c:pt>
                <c:pt idx="8">
                  <c:v>0.06</c:v>
                </c:pt>
                <c:pt idx="9">
                  <c:v>6.9999999999999993E-2</c:v>
                </c:pt>
              </c:numCache>
            </c:numRef>
          </c:cat>
          <c:val>
            <c:numRef>
              <c:f>COLA_reductions!$Y$34:$Y$43</c:f>
              <c:numCache>
                <c:formatCode>_("$"* #,##0.00_);_("$"* \(#,##0.00\);_("$"* "-"??_);_(@_)</c:formatCode>
                <c:ptCount val="10"/>
                <c:pt idx="0">
                  <c:v>3243.1000762219314</c:v>
                </c:pt>
                <c:pt idx="1">
                  <c:v>3406.8604164845101</c:v>
                </c:pt>
                <c:pt idx="2">
                  <c:v>3577.1702072370495</c:v>
                </c:pt>
                <c:pt idx="3">
                  <c:v>3754.2239678237647</c:v>
                </c:pt>
                <c:pt idx="4">
                  <c:v>3938.2200315121386</c:v>
                </c:pt>
                <c:pt idx="5">
                  <c:v>4129.3605825213226</c:v>
                </c:pt>
                <c:pt idx="6">
                  <c:v>4327.8516930504975</c:v>
                </c:pt>
                <c:pt idx="7">
                  <c:v>4533.903360307273</c:v>
                </c:pt>
                <c:pt idx="8">
                  <c:v>4747.7295435360575</c:v>
                </c:pt>
                <c:pt idx="9">
                  <c:v>4969.5482010464411</c:v>
                </c:pt>
              </c:numCache>
            </c:numRef>
          </c:val>
          <c:smooth val="0"/>
          <c:extLst>
            <c:ext xmlns:c16="http://schemas.microsoft.com/office/drawing/2014/chart" uri="{C3380CC4-5D6E-409C-BE32-E72D297353CC}">
              <c16:uniqueId val="{00000000-DC43-4831-9ABC-3759A5175357}"/>
            </c:ext>
          </c:extLst>
        </c:ser>
        <c:dLbls>
          <c:showLegendKey val="0"/>
          <c:showVal val="0"/>
          <c:showCatName val="0"/>
          <c:showSerName val="0"/>
          <c:showPercent val="0"/>
          <c:showBubbleSize val="0"/>
        </c:dLbls>
        <c:marker val="1"/>
        <c:smooth val="0"/>
        <c:axId val="1211804816"/>
        <c:axId val="1211806128"/>
      </c:lineChart>
      <c:catAx>
        <c:axId val="1211804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Change from 3%</a:t>
                </a:r>
              </a:p>
            </c:rich>
          </c:tx>
          <c:layout>
            <c:manualLayout>
              <c:xMode val="edge"/>
              <c:yMode val="edge"/>
              <c:x val="0.40601460384467497"/>
              <c:y val="0.854809909279097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806128"/>
        <c:crosses val="autoZero"/>
        <c:auto val="1"/>
        <c:lblAlgn val="ctr"/>
        <c:lblOffset val="100"/>
        <c:tickLblSkip val="2"/>
        <c:noMultiLvlLbl val="0"/>
      </c:catAx>
      <c:valAx>
        <c:axId val="1211806128"/>
        <c:scaling>
          <c:orientation val="minMax"/>
          <c:min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Adj</a:t>
                </a:r>
                <a:r>
                  <a:rPr lang="en-US" baseline="0"/>
                  <a:t> SSNRA</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804816"/>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18</xdr:col>
      <xdr:colOff>37354</xdr:colOff>
      <xdr:row>27</xdr:row>
      <xdr:rowOff>122517</xdr:rowOff>
    </xdr:from>
    <xdr:to>
      <xdr:col>25</xdr:col>
      <xdr:colOff>321236</xdr:colOff>
      <xdr:row>42</xdr:row>
      <xdr:rowOff>64246</xdr:rowOff>
    </xdr:to>
    <xdr:graphicFrame macro="">
      <xdr:nvGraphicFramePr>
        <xdr:cNvPr id="2" name="Chart 1">
          <a:extLst>
            <a:ext uri="{FF2B5EF4-FFF2-40B4-BE49-F238E27FC236}">
              <a16:creationId xmlns:a16="http://schemas.microsoft.com/office/drawing/2014/main" id="{B70A3496-336F-5D89-29D5-C0A88731B0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87505</xdr:colOff>
      <xdr:row>16</xdr:row>
      <xdr:rowOff>46463</xdr:rowOff>
    </xdr:from>
    <xdr:to>
      <xdr:col>23</xdr:col>
      <xdr:colOff>247804</xdr:colOff>
      <xdr:row>28</xdr:row>
      <xdr:rowOff>108415</xdr:rowOff>
    </xdr:to>
    <xdr:graphicFrame macro="">
      <xdr:nvGraphicFramePr>
        <xdr:cNvPr id="3" name="Chart 2">
          <a:extLst>
            <a:ext uri="{FF2B5EF4-FFF2-40B4-BE49-F238E27FC236}">
              <a16:creationId xmlns:a16="http://schemas.microsoft.com/office/drawing/2014/main" id="{D4176335-1655-C619-32E1-6859DCF99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sa.gov/oact/cola/latestCOLA.html"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9A18-6CE8-4CDC-B8EE-79F6A95321F7}">
  <sheetPr>
    <tabColor theme="7" tint="0.79998168889431442"/>
  </sheetPr>
  <dimension ref="A1:T26"/>
  <sheetViews>
    <sheetView zoomScale="82" workbookViewId="0">
      <pane ySplit="3" topLeftCell="A14" activePane="bottomLeft" state="frozen"/>
      <selection pane="bottomLeft" activeCell="A27" sqref="A27"/>
    </sheetView>
  </sheetViews>
  <sheetFormatPr defaultRowHeight="14.5" x14ac:dyDescent="0.35"/>
  <cols>
    <col min="1" max="1" width="9.1796875" style="1" bestFit="1" customWidth="1"/>
    <col min="2" max="16384" width="8.7265625" style="1"/>
  </cols>
  <sheetData>
    <row r="1" spans="1:20" x14ac:dyDescent="0.35">
      <c r="A1" s="1" t="s">
        <v>11</v>
      </c>
    </row>
    <row r="2" spans="1:20" x14ac:dyDescent="0.35">
      <c r="A2" s="4" t="str">
        <f>"December 16, 2022"</f>
        <v>December 16, 2022</v>
      </c>
    </row>
    <row r="3" spans="1:20" x14ac:dyDescent="0.35">
      <c r="A3" s="555" t="s">
        <v>502</v>
      </c>
      <c r="B3" s="555"/>
      <c r="C3" s="555"/>
      <c r="D3" s="555"/>
      <c r="E3" s="555"/>
      <c r="F3" s="555"/>
      <c r="G3" s="555"/>
      <c r="H3" s="555"/>
      <c r="I3" s="555"/>
      <c r="J3" s="555"/>
      <c r="K3" s="555"/>
      <c r="L3" s="555"/>
    </row>
    <row r="4" spans="1:20" x14ac:dyDescent="0.35">
      <c r="A4" s="5" t="s">
        <v>516</v>
      </c>
      <c r="B4" s="3"/>
      <c r="C4" s="3"/>
      <c r="D4" s="3"/>
      <c r="E4" s="3"/>
      <c r="F4" s="3"/>
      <c r="G4" s="3"/>
      <c r="H4" s="3"/>
      <c r="I4" s="3"/>
      <c r="J4" s="3"/>
      <c r="K4" s="3"/>
      <c r="L4" s="3"/>
    </row>
    <row r="5" spans="1:20" x14ac:dyDescent="0.35">
      <c r="A5" s="553" t="s">
        <v>8</v>
      </c>
      <c r="B5" s="11" t="s">
        <v>9</v>
      </c>
      <c r="F5" s="1" t="s">
        <v>10</v>
      </c>
    </row>
    <row r="6" spans="1:20" x14ac:dyDescent="0.35">
      <c r="A6" s="56" t="s">
        <v>211</v>
      </c>
      <c r="B6" s="1" t="s">
        <v>505</v>
      </c>
    </row>
    <row r="7" spans="1:20" x14ac:dyDescent="0.35">
      <c r="A7" s="56"/>
    </row>
    <row r="8" spans="1:20" x14ac:dyDescent="0.35">
      <c r="A8" s="56" t="s">
        <v>506</v>
      </c>
      <c r="C8" s="1" t="s">
        <v>507</v>
      </c>
    </row>
    <row r="10" spans="1:20" x14ac:dyDescent="0.35">
      <c r="A10" s="151" t="s">
        <v>503</v>
      </c>
      <c r="B10" s="56"/>
    </row>
    <row r="11" spans="1:20" x14ac:dyDescent="0.35">
      <c r="A11" s="395" t="s">
        <v>508</v>
      </c>
      <c r="Q11" s="151"/>
    </row>
    <row r="12" spans="1:20" x14ac:dyDescent="0.35">
      <c r="A12" s="395" t="s">
        <v>517</v>
      </c>
      <c r="Q12" s="151"/>
    </row>
    <row r="13" spans="1:20" x14ac:dyDescent="0.35">
      <c r="Q13" s="151"/>
    </row>
    <row r="14" spans="1:20" x14ac:dyDescent="0.35">
      <c r="A14" s="151" t="s">
        <v>464</v>
      </c>
      <c r="F14" s="151"/>
      <c r="P14" s="461"/>
    </row>
    <row r="15" spans="1:20" x14ac:dyDescent="0.35">
      <c r="A15" s="395" t="s">
        <v>518</v>
      </c>
      <c r="T15" s="490"/>
    </row>
    <row r="16" spans="1:20" x14ac:dyDescent="0.35">
      <c r="A16" s="395" t="s">
        <v>465</v>
      </c>
      <c r="Q16" s="185"/>
      <c r="T16" s="490"/>
    </row>
    <row r="17" spans="1:20" x14ac:dyDescent="0.35">
      <c r="A17" s="395" t="s">
        <v>478</v>
      </c>
      <c r="T17" s="490"/>
    </row>
    <row r="18" spans="1:20" x14ac:dyDescent="0.35">
      <c r="F18" s="185"/>
      <c r="K18" s="394"/>
    </row>
    <row r="19" spans="1:20" x14ac:dyDescent="0.35">
      <c r="A19" s="151" t="s">
        <v>504</v>
      </c>
      <c r="F19" s="185"/>
    </row>
    <row r="20" spans="1:20" x14ac:dyDescent="0.35">
      <c r="A20" s="395" t="s">
        <v>500</v>
      </c>
    </row>
    <row r="21" spans="1:20" x14ac:dyDescent="0.35">
      <c r="A21" s="395" t="s">
        <v>501</v>
      </c>
    </row>
    <row r="22" spans="1:20" x14ac:dyDescent="0.35">
      <c r="F22" s="394"/>
    </row>
    <row r="23" spans="1:20" x14ac:dyDescent="0.35">
      <c r="A23" s="151" t="s">
        <v>519</v>
      </c>
    </row>
    <row r="24" spans="1:20" x14ac:dyDescent="0.35">
      <c r="A24" s="395" t="s">
        <v>520</v>
      </c>
    </row>
    <row r="25" spans="1:20" x14ac:dyDescent="0.35">
      <c r="A25" s="395" t="s">
        <v>521</v>
      </c>
    </row>
    <row r="26" spans="1:20" x14ac:dyDescent="0.35">
      <c r="A26" s="395" t="s">
        <v>522</v>
      </c>
    </row>
  </sheetData>
  <mergeCells count="1">
    <mergeCell ref="A3: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94606-C045-444C-A94C-53517DFDD67A}">
  <sheetPr>
    <tabColor theme="7" tint="0.79998168889431442"/>
  </sheetPr>
  <dimension ref="A1:J37"/>
  <sheetViews>
    <sheetView zoomScale="87" workbookViewId="0">
      <pane ySplit="1" topLeftCell="A5" activePane="bottomLeft" state="frozen"/>
      <selection pane="bottomLeft" activeCell="J25" sqref="J25"/>
    </sheetView>
  </sheetViews>
  <sheetFormatPr defaultRowHeight="14.5" x14ac:dyDescent="0.35"/>
  <cols>
    <col min="1" max="1" width="17.26953125" style="1" customWidth="1"/>
    <col min="2" max="16384" width="8.7265625" style="1"/>
  </cols>
  <sheetData>
    <row r="1" spans="1:10" x14ac:dyDescent="0.35">
      <c r="A1" s="56" t="s">
        <v>425</v>
      </c>
    </row>
    <row r="2" spans="1:10" x14ac:dyDescent="0.35">
      <c r="A2" s="530" t="s">
        <v>396</v>
      </c>
    </row>
    <row r="4" spans="1:10" x14ac:dyDescent="0.35">
      <c r="B4" s="93" t="s">
        <v>180</v>
      </c>
      <c r="C4" s="93"/>
      <c r="D4" s="92" t="s">
        <v>286</v>
      </c>
      <c r="E4" s="93"/>
      <c r="F4" s="93"/>
      <c r="G4" s="93"/>
      <c r="H4" s="93"/>
      <c r="I4" s="93"/>
    </row>
    <row r="5" spans="1:10" x14ac:dyDescent="0.35">
      <c r="A5" s="151" t="s">
        <v>285</v>
      </c>
      <c r="D5" s="90"/>
    </row>
    <row r="6" spans="1:10" x14ac:dyDescent="0.35">
      <c r="B6" s="1" t="s">
        <v>340</v>
      </c>
      <c r="D6" s="396" t="s">
        <v>421</v>
      </c>
    </row>
    <row r="7" spans="1:10" x14ac:dyDescent="0.35">
      <c r="B7" s="1" t="s">
        <v>341</v>
      </c>
      <c r="D7" s="396" t="s">
        <v>422</v>
      </c>
    </row>
    <row r="8" spans="1:10" x14ac:dyDescent="0.35">
      <c r="B8" s="1" t="s">
        <v>342</v>
      </c>
      <c r="D8" s="396" t="s">
        <v>423</v>
      </c>
    </row>
    <row r="9" spans="1:10" x14ac:dyDescent="0.35">
      <c r="B9" s="1" t="s">
        <v>343</v>
      </c>
      <c r="D9" s="396" t="s">
        <v>424</v>
      </c>
    </row>
    <row r="10" spans="1:10" x14ac:dyDescent="0.35">
      <c r="A10" s="151" t="s">
        <v>281</v>
      </c>
      <c r="D10" s="90"/>
    </row>
    <row r="11" spans="1:10" x14ac:dyDescent="0.35">
      <c r="B11" s="1" t="s">
        <v>181</v>
      </c>
      <c r="D11" s="396" t="str">
        <f>collection_age!A11</f>
        <v>I. Collection Age</v>
      </c>
      <c r="J11" s="1" t="s">
        <v>252</v>
      </c>
    </row>
    <row r="12" spans="1:10" x14ac:dyDescent="0.35">
      <c r="D12" s="396" t="str">
        <f>collection_age!A28</f>
        <v>II. Maximum Age</v>
      </c>
    </row>
    <row r="13" spans="1:10" x14ac:dyDescent="0.35">
      <c r="D13" s="397" t="str">
        <f>collection_age!B29</f>
        <v>A. Still retiring at 67</v>
      </c>
      <c r="E13" s="395"/>
      <c r="F13" s="395"/>
    </row>
    <row r="14" spans="1:10" x14ac:dyDescent="0.35">
      <c r="D14" s="397" t="str">
        <f>collection_age!G29</f>
        <v>B. Collecting as Late as Possible</v>
      </c>
      <c r="E14" s="395"/>
      <c r="F14" s="395"/>
    </row>
    <row r="15" spans="1:10" x14ac:dyDescent="0.35">
      <c r="D15" s="397" t="str">
        <f>collection_age!L29</f>
        <v>C. Moving Collection Date (keeping min age at 62)</v>
      </c>
      <c r="E15" s="395"/>
      <c r="F15" s="395"/>
    </row>
    <row r="16" spans="1:10" x14ac:dyDescent="0.35">
      <c r="D16" s="396" t="str">
        <f>collection_age!A44</f>
        <v>III. Minimum Age</v>
      </c>
    </row>
    <row r="17" spans="1:10" x14ac:dyDescent="0.35">
      <c r="B17" s="1" t="s">
        <v>182</v>
      </c>
      <c r="D17" s="396" t="str">
        <f>bend_pts!A12</f>
        <v>I. Bend Point Percentages</v>
      </c>
      <c r="J17" s="1" t="s">
        <v>466</v>
      </c>
    </row>
    <row r="18" spans="1:10" x14ac:dyDescent="0.35">
      <c r="D18" s="396" t="str">
        <f>bend_pts!A24</f>
        <v>II. Age for Bend Points</v>
      </c>
    </row>
    <row r="19" spans="1:10" x14ac:dyDescent="0.35">
      <c r="D19" s="396" t="str">
        <f>bend_pts!A43</f>
        <v>III. AIME Requirements</v>
      </c>
    </row>
    <row r="20" spans="1:10" x14ac:dyDescent="0.35">
      <c r="D20" s="396" t="str">
        <f>bend_pts!A53</f>
        <v>IV. Bend Point Projections</v>
      </c>
      <c r="G20" s="185"/>
    </row>
    <row r="21" spans="1:10" x14ac:dyDescent="0.35">
      <c r="B21" s="1" t="s">
        <v>23</v>
      </c>
      <c r="D21" s="396" t="s">
        <v>339</v>
      </c>
      <c r="J21" s="1" t="s">
        <v>468</v>
      </c>
    </row>
    <row r="22" spans="1:10" x14ac:dyDescent="0.35">
      <c r="B22" s="1" t="s">
        <v>467</v>
      </c>
      <c r="D22" s="396" t="str">
        <f>COLA_reductions!A10</f>
        <v>I. Constant COLAs</v>
      </c>
      <c r="J22" s="1" t="s">
        <v>523</v>
      </c>
    </row>
    <row r="23" spans="1:10" x14ac:dyDescent="0.35">
      <c r="D23" s="396" t="str">
        <f>COLA_reductions!A17</f>
        <v>II. Changes Annually</v>
      </c>
      <c r="G23" s="1" t="s">
        <v>347</v>
      </c>
    </row>
    <row r="24" spans="1:10" x14ac:dyDescent="0.35">
      <c r="D24" s="396" t="str">
        <f>COLA_reductions!A30</f>
        <v>III. Changes in Reductions</v>
      </c>
    </row>
    <row r="25" spans="1:10" x14ac:dyDescent="0.35">
      <c r="B25" s="1" t="s">
        <v>284</v>
      </c>
      <c r="D25" s="396" t="str">
        <f>extrema!A8</f>
        <v>I. No TWB</v>
      </c>
      <c r="J25" s="1" t="s">
        <v>470</v>
      </c>
    </row>
    <row r="26" spans="1:10" x14ac:dyDescent="0.35">
      <c r="D26" s="396" t="str">
        <f>extrema!J8</f>
        <v>II. No NAWI / Indexing</v>
      </c>
    </row>
    <row r="27" spans="1:10" x14ac:dyDescent="0.35">
      <c r="D27" s="396" t="str">
        <f>extrema!Q8</f>
        <v>III. Index with TWB</v>
      </c>
    </row>
    <row r="28" spans="1:10" x14ac:dyDescent="0.35">
      <c r="D28" s="396" t="str">
        <f>extrema!Z8</f>
        <v>IV. No TWB or NAWI</v>
      </c>
    </row>
    <row r="29" spans="1:10" x14ac:dyDescent="0.35">
      <c r="D29" s="396" t="str">
        <f>extrema!AG8</f>
        <v>V. Only working 35 Years</v>
      </c>
    </row>
    <row r="30" spans="1:10" x14ac:dyDescent="0.35">
      <c r="D30" s="396" t="str">
        <f>extrema!AV8</f>
        <v>VI. Stop Working when Laid Off (32 years)</v>
      </c>
      <c r="J30" s="394"/>
    </row>
    <row r="31" spans="1:10" x14ac:dyDescent="0.35">
      <c r="A31" s="151" t="s">
        <v>282</v>
      </c>
      <c r="D31" s="90"/>
      <c r="E31" s="394"/>
    </row>
    <row r="32" spans="1:10" x14ac:dyDescent="0.35">
      <c r="B32" s="1" t="s">
        <v>351</v>
      </c>
      <c r="D32" s="90" t="s">
        <v>388</v>
      </c>
      <c r="H32" s="185"/>
      <c r="J32" s="1" t="s">
        <v>469</v>
      </c>
    </row>
    <row r="33" spans="1:9" x14ac:dyDescent="0.35">
      <c r="A33" s="151" t="s">
        <v>283</v>
      </c>
      <c r="D33" s="90"/>
    </row>
    <row r="34" spans="1:9" x14ac:dyDescent="0.35">
      <c r="A34" s="151"/>
      <c r="B34" s="1" t="s">
        <v>26</v>
      </c>
      <c r="D34" s="531" t="s">
        <v>471</v>
      </c>
    </row>
    <row r="35" spans="1:9" x14ac:dyDescent="0.35">
      <c r="B35" s="1" t="s">
        <v>344</v>
      </c>
      <c r="D35" s="396" t="s">
        <v>346</v>
      </c>
    </row>
    <row r="36" spans="1:9" x14ac:dyDescent="0.35">
      <c r="B36" s="1" t="s">
        <v>345</v>
      </c>
      <c r="D36" s="396" t="s">
        <v>420</v>
      </c>
    </row>
    <row r="37" spans="1:9" x14ac:dyDescent="0.35">
      <c r="A37" s="93"/>
      <c r="B37" s="93"/>
      <c r="C37" s="93"/>
      <c r="D37" s="92"/>
      <c r="E37" s="93"/>
      <c r="F37" s="93"/>
      <c r="G37" s="93"/>
      <c r="H37" s="93"/>
      <c r="I37" s="9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EDEB-EBC3-4618-B4A5-CB0B9B6AB7B8}">
  <sheetPr>
    <tabColor theme="2" tint="-9.9978637043366805E-2"/>
  </sheetPr>
  <dimension ref="A1:Q50"/>
  <sheetViews>
    <sheetView zoomScale="74" workbookViewId="0">
      <pane ySplit="1" topLeftCell="A2" activePane="bottomLeft" state="frozen"/>
      <selection pane="bottomLeft" activeCell="G25" sqref="G25"/>
    </sheetView>
  </sheetViews>
  <sheetFormatPr defaultRowHeight="14.5" x14ac:dyDescent="0.35"/>
  <cols>
    <col min="1" max="1" width="8.7265625" style="1"/>
    <col min="2" max="2" width="18.1796875" style="1" customWidth="1"/>
    <col min="3" max="3" width="10.453125" style="1" bestFit="1" customWidth="1"/>
    <col min="4" max="4" width="12.7265625" style="1" customWidth="1"/>
    <col min="5" max="5" width="14.453125" style="1" customWidth="1"/>
    <col min="6" max="6" width="12.1796875" style="1" customWidth="1"/>
    <col min="7" max="16384" width="8.7265625" style="1"/>
  </cols>
  <sheetData>
    <row r="1" spans="1:17" ht="15" thickBot="1" x14ac:dyDescent="0.4">
      <c r="A1" s="56" t="s">
        <v>366</v>
      </c>
    </row>
    <row r="2" spans="1:17" x14ac:dyDescent="0.35">
      <c r="B2" s="153" t="s">
        <v>0</v>
      </c>
      <c r="C2" s="154" t="s">
        <v>5</v>
      </c>
      <c r="E2" s="171" t="s">
        <v>193</v>
      </c>
      <c r="F2" s="172"/>
      <c r="G2" s="172"/>
      <c r="H2" s="172"/>
      <c r="I2" s="172"/>
      <c r="J2" s="172"/>
      <c r="K2" s="172"/>
      <c r="L2" s="172"/>
      <c r="M2" s="172"/>
      <c r="N2" s="172"/>
      <c r="O2" s="172"/>
      <c r="P2" s="172"/>
      <c r="Q2" s="173"/>
    </row>
    <row r="3" spans="1:17" x14ac:dyDescent="0.35">
      <c r="B3" s="155" t="s">
        <v>1</v>
      </c>
      <c r="C3" s="156">
        <v>22722</v>
      </c>
      <c r="E3" s="177" t="s">
        <v>185</v>
      </c>
      <c r="F3" s="164"/>
      <c r="G3" s="164"/>
      <c r="H3" s="164"/>
      <c r="I3" s="164"/>
      <c r="J3" s="164"/>
      <c r="K3" s="164"/>
      <c r="L3" s="164"/>
      <c r="M3" s="164"/>
      <c r="N3" s="164"/>
      <c r="O3" s="164"/>
      <c r="P3" s="164"/>
      <c r="Q3" s="178"/>
    </row>
    <row r="4" spans="1:17" x14ac:dyDescent="0.35">
      <c r="B4" s="155" t="s">
        <v>230</v>
      </c>
      <c r="C4" s="156">
        <v>30834</v>
      </c>
      <c r="E4" s="174" t="s">
        <v>196</v>
      </c>
      <c r="F4" s="175"/>
      <c r="G4" s="175"/>
      <c r="H4" s="175"/>
      <c r="I4" s="175"/>
      <c r="J4" s="175"/>
      <c r="K4" s="175"/>
      <c r="L4" s="175"/>
      <c r="M4" s="175"/>
      <c r="N4" s="175"/>
      <c r="O4" s="175"/>
      <c r="P4" s="175"/>
      <c r="Q4" s="176"/>
    </row>
    <row r="5" spans="1:17" x14ac:dyDescent="0.35">
      <c r="B5" s="155" t="s">
        <v>231</v>
      </c>
      <c r="C5" s="156">
        <v>46022</v>
      </c>
    </row>
    <row r="6" spans="1:17" ht="15" thickBot="1" x14ac:dyDescent="0.4">
      <c r="B6" s="157" t="s">
        <v>7</v>
      </c>
      <c r="C6" s="158">
        <v>47209</v>
      </c>
      <c r="E6" s="1" t="s">
        <v>198</v>
      </c>
    </row>
    <row r="7" spans="1:17" ht="15" thickBot="1" x14ac:dyDescent="0.4"/>
    <row r="8" spans="1:17" x14ac:dyDescent="0.35">
      <c r="B8" s="159" t="s">
        <v>6</v>
      </c>
      <c r="C8" s="160" t="s">
        <v>2</v>
      </c>
      <c r="D8" s="161" t="s">
        <v>3</v>
      </c>
      <c r="E8" s="162" t="s">
        <v>197</v>
      </c>
      <c r="G8" s="151" t="s">
        <v>186</v>
      </c>
    </row>
    <row r="9" spans="1:17" x14ac:dyDescent="0.35">
      <c r="B9" s="163">
        <v>1</v>
      </c>
      <c r="C9" s="164">
        <v>1984</v>
      </c>
      <c r="D9" s="165">
        <f>1984-1962</f>
        <v>22</v>
      </c>
      <c r="E9" s="166">
        <v>35000</v>
      </c>
      <c r="F9" s="152"/>
      <c r="G9" s="1" t="s">
        <v>187</v>
      </c>
    </row>
    <row r="10" spans="1:17" x14ac:dyDescent="0.35">
      <c r="B10" s="163">
        <f>B9+1</f>
        <v>2</v>
      </c>
      <c r="C10" s="164">
        <f>C9+1</f>
        <v>1985</v>
      </c>
      <c r="D10" s="165">
        <f>D9+1</f>
        <v>23</v>
      </c>
      <c r="E10" s="166">
        <f>E9*1.035</f>
        <v>36225</v>
      </c>
      <c r="G10" s="1" t="s">
        <v>191</v>
      </c>
    </row>
    <row r="11" spans="1:17" x14ac:dyDescent="0.35">
      <c r="B11" s="163">
        <f t="shared" ref="B11:B50" si="0">B10+1</f>
        <v>3</v>
      </c>
      <c r="C11" s="164">
        <f t="shared" ref="C11:C50" si="1">C10+1</f>
        <v>1986</v>
      </c>
      <c r="D11" s="165">
        <f t="shared" ref="D11:D50" si="2">D10+1</f>
        <v>24</v>
      </c>
      <c r="E11" s="166">
        <f t="shared" ref="E11:E40" si="3">E10*1.03</f>
        <v>37311.75</v>
      </c>
      <c r="G11" s="1" t="s">
        <v>190</v>
      </c>
    </row>
    <row r="12" spans="1:17" x14ac:dyDescent="0.35">
      <c r="B12" s="163">
        <f t="shared" si="0"/>
        <v>4</v>
      </c>
      <c r="C12" s="164">
        <f t="shared" si="1"/>
        <v>1987</v>
      </c>
      <c r="D12" s="165">
        <f t="shared" si="2"/>
        <v>25</v>
      </c>
      <c r="E12" s="166">
        <f t="shared" si="3"/>
        <v>38431.102500000001</v>
      </c>
      <c r="G12" s="1" t="s">
        <v>188</v>
      </c>
    </row>
    <row r="13" spans="1:17" x14ac:dyDescent="0.35">
      <c r="B13" s="163">
        <f t="shared" si="0"/>
        <v>5</v>
      </c>
      <c r="C13" s="164">
        <f t="shared" si="1"/>
        <v>1988</v>
      </c>
      <c r="D13" s="165">
        <f t="shared" si="2"/>
        <v>26</v>
      </c>
      <c r="E13" s="166">
        <f t="shared" si="3"/>
        <v>39584.035575000002</v>
      </c>
      <c r="G13" s="1" t="s">
        <v>194</v>
      </c>
    </row>
    <row r="14" spans="1:17" x14ac:dyDescent="0.35">
      <c r="B14" s="163">
        <f t="shared" si="0"/>
        <v>6</v>
      </c>
      <c r="C14" s="164">
        <f t="shared" si="1"/>
        <v>1989</v>
      </c>
      <c r="D14" s="165">
        <f t="shared" si="2"/>
        <v>27</v>
      </c>
      <c r="E14" s="166">
        <f t="shared" si="3"/>
        <v>40771.556642250005</v>
      </c>
      <c r="G14" s="1" t="s">
        <v>201</v>
      </c>
    </row>
    <row r="15" spans="1:17" x14ac:dyDescent="0.35">
      <c r="B15" s="163">
        <f t="shared" si="0"/>
        <v>7</v>
      </c>
      <c r="C15" s="164">
        <f t="shared" si="1"/>
        <v>1990</v>
      </c>
      <c r="D15" s="165">
        <f t="shared" si="2"/>
        <v>28</v>
      </c>
      <c r="E15" s="166">
        <f t="shared" si="3"/>
        <v>41994.703341517503</v>
      </c>
      <c r="G15" s="1" t="s">
        <v>189</v>
      </c>
    </row>
    <row r="16" spans="1:17" x14ac:dyDescent="0.35">
      <c r="B16" s="163">
        <f t="shared" si="0"/>
        <v>8</v>
      </c>
      <c r="C16" s="164">
        <f t="shared" si="1"/>
        <v>1991</v>
      </c>
      <c r="D16" s="165">
        <f t="shared" si="2"/>
        <v>29</v>
      </c>
      <c r="E16" s="166">
        <f t="shared" si="3"/>
        <v>43254.544441763028</v>
      </c>
      <c r="G16" s="1" t="s">
        <v>195</v>
      </c>
    </row>
    <row r="17" spans="2:8" x14ac:dyDescent="0.35">
      <c r="B17" s="163">
        <f t="shared" si="0"/>
        <v>9</v>
      </c>
      <c r="C17" s="164">
        <f t="shared" si="1"/>
        <v>1992</v>
      </c>
      <c r="D17" s="165">
        <f t="shared" si="2"/>
        <v>30</v>
      </c>
      <c r="E17" s="166">
        <f t="shared" si="3"/>
        <v>44552.180775015921</v>
      </c>
      <c r="G17" s="1" t="s">
        <v>200</v>
      </c>
    </row>
    <row r="18" spans="2:8" x14ac:dyDescent="0.35">
      <c r="B18" s="163">
        <f t="shared" si="0"/>
        <v>10</v>
      </c>
      <c r="C18" s="164">
        <f t="shared" si="1"/>
        <v>1993</v>
      </c>
      <c r="D18" s="165">
        <f t="shared" si="2"/>
        <v>31</v>
      </c>
      <c r="E18" s="166">
        <f t="shared" si="3"/>
        <v>45888.746198266403</v>
      </c>
      <c r="H18" s="1" t="s">
        <v>199</v>
      </c>
    </row>
    <row r="19" spans="2:8" x14ac:dyDescent="0.35">
      <c r="B19" s="163">
        <f t="shared" si="0"/>
        <v>11</v>
      </c>
      <c r="C19" s="164">
        <f t="shared" si="1"/>
        <v>1994</v>
      </c>
      <c r="D19" s="165">
        <f t="shared" si="2"/>
        <v>32</v>
      </c>
      <c r="E19" s="166">
        <f t="shared" si="3"/>
        <v>47265.408584214398</v>
      </c>
      <c r="G19" s="1" t="s">
        <v>247</v>
      </c>
    </row>
    <row r="20" spans="2:8" x14ac:dyDescent="0.35">
      <c r="B20" s="163">
        <f t="shared" si="0"/>
        <v>12</v>
      </c>
      <c r="C20" s="164">
        <f t="shared" si="1"/>
        <v>1995</v>
      </c>
      <c r="D20" s="165">
        <f t="shared" si="2"/>
        <v>33</v>
      </c>
      <c r="E20" s="166">
        <f t="shared" si="3"/>
        <v>48683.370841740834</v>
      </c>
    </row>
    <row r="21" spans="2:8" x14ac:dyDescent="0.35">
      <c r="B21" s="163">
        <f t="shared" si="0"/>
        <v>13</v>
      </c>
      <c r="C21" s="164">
        <f t="shared" si="1"/>
        <v>1996</v>
      </c>
      <c r="D21" s="165">
        <f t="shared" si="2"/>
        <v>34</v>
      </c>
      <c r="E21" s="166">
        <f t="shared" si="3"/>
        <v>50143.871966993058</v>
      </c>
    </row>
    <row r="22" spans="2:8" x14ac:dyDescent="0.35">
      <c r="B22" s="163">
        <f t="shared" si="0"/>
        <v>14</v>
      </c>
      <c r="C22" s="164">
        <f t="shared" si="1"/>
        <v>1997</v>
      </c>
      <c r="D22" s="165">
        <f t="shared" si="2"/>
        <v>35</v>
      </c>
      <c r="E22" s="166">
        <f t="shared" si="3"/>
        <v>51648.188126002853</v>
      </c>
      <c r="G22" s="1" t="s">
        <v>192</v>
      </c>
    </row>
    <row r="23" spans="2:8" x14ac:dyDescent="0.35">
      <c r="B23" s="163">
        <f t="shared" si="0"/>
        <v>15</v>
      </c>
      <c r="C23" s="164">
        <f t="shared" si="1"/>
        <v>1998</v>
      </c>
      <c r="D23" s="165">
        <f t="shared" si="2"/>
        <v>36</v>
      </c>
      <c r="E23" s="166">
        <f t="shared" si="3"/>
        <v>53197.633769782937</v>
      </c>
    </row>
    <row r="24" spans="2:8" x14ac:dyDescent="0.35">
      <c r="B24" s="163">
        <f t="shared" si="0"/>
        <v>16</v>
      </c>
      <c r="C24" s="164">
        <f t="shared" si="1"/>
        <v>1999</v>
      </c>
      <c r="D24" s="165">
        <f t="shared" si="2"/>
        <v>37</v>
      </c>
      <c r="E24" s="166">
        <f t="shared" si="3"/>
        <v>54793.562782876426</v>
      </c>
    </row>
    <row r="25" spans="2:8" x14ac:dyDescent="0.35">
      <c r="B25" s="163">
        <f t="shared" si="0"/>
        <v>17</v>
      </c>
      <c r="C25" s="164">
        <f t="shared" si="1"/>
        <v>2000</v>
      </c>
      <c r="D25" s="165">
        <f t="shared" si="2"/>
        <v>38</v>
      </c>
      <c r="E25" s="166">
        <f t="shared" si="3"/>
        <v>56437.36966636272</v>
      </c>
    </row>
    <row r="26" spans="2:8" x14ac:dyDescent="0.35">
      <c r="B26" s="163">
        <f t="shared" si="0"/>
        <v>18</v>
      </c>
      <c r="C26" s="164">
        <f t="shared" si="1"/>
        <v>2001</v>
      </c>
      <c r="D26" s="165">
        <f t="shared" si="2"/>
        <v>39</v>
      </c>
      <c r="E26" s="166">
        <f t="shared" si="3"/>
        <v>58130.490756353604</v>
      </c>
    </row>
    <row r="27" spans="2:8" x14ac:dyDescent="0.35">
      <c r="B27" s="163">
        <f t="shared" si="0"/>
        <v>19</v>
      </c>
      <c r="C27" s="164">
        <f t="shared" si="1"/>
        <v>2002</v>
      </c>
      <c r="D27" s="165">
        <f t="shared" si="2"/>
        <v>40</v>
      </c>
      <c r="E27" s="166">
        <f t="shared" si="3"/>
        <v>59874.40547904421</v>
      </c>
    </row>
    <row r="28" spans="2:8" x14ac:dyDescent="0.35">
      <c r="B28" s="163">
        <f t="shared" si="0"/>
        <v>20</v>
      </c>
      <c r="C28" s="164">
        <f t="shared" si="1"/>
        <v>2003</v>
      </c>
      <c r="D28" s="165">
        <f t="shared" si="2"/>
        <v>41</v>
      </c>
      <c r="E28" s="166">
        <f t="shared" si="3"/>
        <v>61670.637643415539</v>
      </c>
    </row>
    <row r="29" spans="2:8" x14ac:dyDescent="0.35">
      <c r="B29" s="163">
        <f t="shared" si="0"/>
        <v>21</v>
      </c>
      <c r="C29" s="164">
        <f t="shared" si="1"/>
        <v>2004</v>
      </c>
      <c r="D29" s="165">
        <f t="shared" si="2"/>
        <v>42</v>
      </c>
      <c r="E29" s="166">
        <f t="shared" si="3"/>
        <v>63520.756772718007</v>
      </c>
    </row>
    <row r="30" spans="2:8" x14ac:dyDescent="0.35">
      <c r="B30" s="163">
        <f t="shared" si="0"/>
        <v>22</v>
      </c>
      <c r="C30" s="164">
        <f t="shared" si="1"/>
        <v>2005</v>
      </c>
      <c r="D30" s="165">
        <f t="shared" si="2"/>
        <v>43</v>
      </c>
      <c r="E30" s="166">
        <f t="shared" si="3"/>
        <v>65426.37947589955</v>
      </c>
    </row>
    <row r="31" spans="2:8" x14ac:dyDescent="0.35">
      <c r="B31" s="163">
        <f t="shared" si="0"/>
        <v>23</v>
      </c>
      <c r="C31" s="164">
        <f t="shared" si="1"/>
        <v>2006</v>
      </c>
      <c r="D31" s="165">
        <f t="shared" si="2"/>
        <v>44</v>
      </c>
      <c r="E31" s="166">
        <f t="shared" si="3"/>
        <v>67389.170860176542</v>
      </c>
    </row>
    <row r="32" spans="2:8" x14ac:dyDescent="0.35">
      <c r="B32" s="163">
        <f t="shared" si="0"/>
        <v>24</v>
      </c>
      <c r="C32" s="164">
        <f t="shared" si="1"/>
        <v>2007</v>
      </c>
      <c r="D32" s="165">
        <f t="shared" si="2"/>
        <v>45</v>
      </c>
      <c r="E32" s="166">
        <f t="shared" si="3"/>
        <v>69410.845985981839</v>
      </c>
    </row>
    <row r="33" spans="2:5" x14ac:dyDescent="0.35">
      <c r="B33" s="163">
        <f t="shared" si="0"/>
        <v>25</v>
      </c>
      <c r="C33" s="164">
        <f t="shared" si="1"/>
        <v>2008</v>
      </c>
      <c r="D33" s="165">
        <f t="shared" si="2"/>
        <v>46</v>
      </c>
      <c r="E33" s="166">
        <f t="shared" si="3"/>
        <v>71493.171365561298</v>
      </c>
    </row>
    <row r="34" spans="2:5" x14ac:dyDescent="0.35">
      <c r="B34" s="163">
        <f t="shared" si="0"/>
        <v>26</v>
      </c>
      <c r="C34" s="164">
        <f t="shared" si="1"/>
        <v>2009</v>
      </c>
      <c r="D34" s="165">
        <f t="shared" si="2"/>
        <v>47</v>
      </c>
      <c r="E34" s="166">
        <f t="shared" si="3"/>
        <v>73637.966506528144</v>
      </c>
    </row>
    <row r="35" spans="2:5" x14ac:dyDescent="0.35">
      <c r="B35" s="163">
        <f t="shared" si="0"/>
        <v>27</v>
      </c>
      <c r="C35" s="164">
        <f t="shared" si="1"/>
        <v>2010</v>
      </c>
      <c r="D35" s="165">
        <f t="shared" si="2"/>
        <v>48</v>
      </c>
      <c r="E35" s="166">
        <f t="shared" si="3"/>
        <v>75847.105501723985</v>
      </c>
    </row>
    <row r="36" spans="2:5" x14ac:dyDescent="0.35">
      <c r="B36" s="163">
        <f t="shared" si="0"/>
        <v>28</v>
      </c>
      <c r="C36" s="164">
        <f t="shared" si="1"/>
        <v>2011</v>
      </c>
      <c r="D36" s="165">
        <f t="shared" si="2"/>
        <v>49</v>
      </c>
      <c r="E36" s="166">
        <f t="shared" si="3"/>
        <v>78122.518666775708</v>
      </c>
    </row>
    <row r="37" spans="2:5" x14ac:dyDescent="0.35">
      <c r="B37" s="163">
        <f t="shared" si="0"/>
        <v>29</v>
      </c>
      <c r="C37" s="164">
        <f t="shared" si="1"/>
        <v>2012</v>
      </c>
      <c r="D37" s="165">
        <f t="shared" si="2"/>
        <v>50</v>
      </c>
      <c r="E37" s="166">
        <f t="shared" si="3"/>
        <v>80466.194226778985</v>
      </c>
    </row>
    <row r="38" spans="2:5" x14ac:dyDescent="0.35">
      <c r="B38" s="163">
        <f t="shared" si="0"/>
        <v>30</v>
      </c>
      <c r="C38" s="164">
        <f t="shared" si="1"/>
        <v>2013</v>
      </c>
      <c r="D38" s="165">
        <f t="shared" si="2"/>
        <v>51</v>
      </c>
      <c r="E38" s="166">
        <f t="shared" si="3"/>
        <v>82880.180053582357</v>
      </c>
    </row>
    <row r="39" spans="2:5" x14ac:dyDescent="0.35">
      <c r="B39" s="163">
        <f t="shared" si="0"/>
        <v>31</v>
      </c>
      <c r="C39" s="164">
        <f t="shared" si="1"/>
        <v>2014</v>
      </c>
      <c r="D39" s="165">
        <f t="shared" si="2"/>
        <v>52</v>
      </c>
      <c r="E39" s="166">
        <f t="shared" si="3"/>
        <v>85366.585455189823</v>
      </c>
    </row>
    <row r="40" spans="2:5" x14ac:dyDescent="0.35">
      <c r="B40" s="163">
        <f t="shared" si="0"/>
        <v>32</v>
      </c>
      <c r="C40" s="164">
        <f t="shared" si="1"/>
        <v>2015</v>
      </c>
      <c r="D40" s="165">
        <f t="shared" si="2"/>
        <v>53</v>
      </c>
      <c r="E40" s="166">
        <f t="shared" si="3"/>
        <v>87927.583018845515</v>
      </c>
    </row>
    <row r="41" spans="2:5" x14ac:dyDescent="0.35">
      <c r="B41" s="163">
        <f t="shared" si="0"/>
        <v>33</v>
      </c>
      <c r="C41" s="164">
        <f t="shared" si="1"/>
        <v>2016</v>
      </c>
      <c r="D41" s="165">
        <f t="shared" si="2"/>
        <v>54</v>
      </c>
      <c r="E41" s="166">
        <v>0</v>
      </c>
    </row>
    <row r="42" spans="2:5" x14ac:dyDescent="0.35">
      <c r="B42" s="163">
        <f t="shared" si="0"/>
        <v>34</v>
      </c>
      <c r="C42" s="164">
        <f t="shared" si="1"/>
        <v>2017</v>
      </c>
      <c r="D42" s="165">
        <f t="shared" si="2"/>
        <v>55</v>
      </c>
      <c r="E42" s="166">
        <v>0</v>
      </c>
    </row>
    <row r="43" spans="2:5" x14ac:dyDescent="0.35">
      <c r="B43" s="163">
        <f t="shared" si="0"/>
        <v>35</v>
      </c>
      <c r="C43" s="164">
        <f t="shared" si="1"/>
        <v>2018</v>
      </c>
      <c r="D43" s="165">
        <f t="shared" si="2"/>
        <v>56</v>
      </c>
      <c r="E43" s="166">
        <v>0</v>
      </c>
    </row>
    <row r="44" spans="2:5" x14ac:dyDescent="0.35">
      <c r="B44" s="163">
        <f t="shared" si="0"/>
        <v>36</v>
      </c>
      <c r="C44" s="164">
        <f t="shared" si="1"/>
        <v>2019</v>
      </c>
      <c r="D44" s="165">
        <f t="shared" si="2"/>
        <v>57</v>
      </c>
      <c r="E44" s="166">
        <v>52000</v>
      </c>
    </row>
    <row r="45" spans="2:5" x14ac:dyDescent="0.35">
      <c r="B45" s="163">
        <f t="shared" si="0"/>
        <v>37</v>
      </c>
      <c r="C45" s="164">
        <f t="shared" si="1"/>
        <v>2020</v>
      </c>
      <c r="D45" s="165">
        <f t="shared" si="2"/>
        <v>58</v>
      </c>
      <c r="E45" s="166">
        <f>E44*1.035</f>
        <v>53819.999999999993</v>
      </c>
    </row>
    <row r="46" spans="2:5" x14ac:dyDescent="0.35">
      <c r="B46" s="163">
        <f t="shared" si="0"/>
        <v>38</v>
      </c>
      <c r="C46" s="164">
        <f t="shared" si="1"/>
        <v>2021</v>
      </c>
      <c r="D46" s="165">
        <f t="shared" si="2"/>
        <v>59</v>
      </c>
      <c r="E46" s="166">
        <f t="shared" ref="E46:E50" si="4">E45*1.03</f>
        <v>55434.599999999991</v>
      </c>
    </row>
    <row r="47" spans="2:5" x14ac:dyDescent="0.35">
      <c r="B47" s="163">
        <f t="shared" si="0"/>
        <v>39</v>
      </c>
      <c r="C47" s="164">
        <f t="shared" si="1"/>
        <v>2022</v>
      </c>
      <c r="D47" s="165">
        <f t="shared" si="2"/>
        <v>60</v>
      </c>
      <c r="E47" s="166">
        <f t="shared" si="4"/>
        <v>57097.637999999992</v>
      </c>
    </row>
    <row r="48" spans="2:5" x14ac:dyDescent="0.35">
      <c r="B48" s="163">
        <f t="shared" si="0"/>
        <v>40</v>
      </c>
      <c r="C48" s="164">
        <f t="shared" si="1"/>
        <v>2023</v>
      </c>
      <c r="D48" s="165">
        <f t="shared" si="2"/>
        <v>61</v>
      </c>
      <c r="E48" s="166">
        <f t="shared" si="4"/>
        <v>58810.567139999992</v>
      </c>
    </row>
    <row r="49" spans="2:5" x14ac:dyDescent="0.35">
      <c r="B49" s="163">
        <f t="shared" si="0"/>
        <v>41</v>
      </c>
      <c r="C49" s="164">
        <f t="shared" si="1"/>
        <v>2024</v>
      </c>
      <c r="D49" s="165">
        <f t="shared" si="2"/>
        <v>62</v>
      </c>
      <c r="E49" s="166">
        <f t="shared" si="4"/>
        <v>60574.884154199994</v>
      </c>
    </row>
    <row r="50" spans="2:5" ht="15" thickBot="1" x14ac:dyDescent="0.4">
      <c r="B50" s="167">
        <f t="shared" si="0"/>
        <v>42</v>
      </c>
      <c r="C50" s="168">
        <f t="shared" si="1"/>
        <v>2025</v>
      </c>
      <c r="D50" s="169">
        <f t="shared" si="2"/>
        <v>63</v>
      </c>
      <c r="E50" s="170">
        <f t="shared" si="4"/>
        <v>62392.130678825997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47A5C-A4C1-44EE-8533-3FB529B4591D}">
  <sheetPr>
    <tabColor theme="2" tint="-9.9978637043366805E-2"/>
  </sheetPr>
  <dimension ref="A1:S47"/>
  <sheetViews>
    <sheetView topLeftCell="E1" zoomScale="75" zoomScaleNormal="100" workbookViewId="0">
      <pane ySplit="1" topLeftCell="A2" activePane="bottomLeft" state="frozen"/>
      <selection pane="bottomLeft" activeCell="S13" sqref="S13"/>
    </sheetView>
  </sheetViews>
  <sheetFormatPr defaultRowHeight="14.5" x14ac:dyDescent="0.35"/>
  <cols>
    <col min="1" max="1" width="8.7265625" style="1"/>
    <col min="2" max="11" width="13.1796875" style="1" customWidth="1"/>
    <col min="12" max="13" width="8.7265625" style="1"/>
    <col min="14" max="14" width="12.08984375" style="1" bestFit="1" customWidth="1"/>
    <col min="15" max="15" width="8.7265625" style="1"/>
    <col min="16" max="16" width="12.453125" style="1" customWidth="1"/>
    <col min="17" max="17" width="13.1796875" style="1" customWidth="1"/>
    <col min="18" max="16384" width="8.7265625" style="1"/>
  </cols>
  <sheetData>
    <row r="1" spans="1:19" x14ac:dyDescent="0.35">
      <c r="A1" s="56" t="s">
        <v>168</v>
      </c>
    </row>
    <row r="2" spans="1:19" ht="15" thickBot="1" x14ac:dyDescent="0.4"/>
    <row r="3" spans="1:19" ht="15" thickBot="1" x14ac:dyDescent="0.4">
      <c r="B3" s="36" t="s">
        <v>6</v>
      </c>
      <c r="C3" s="522" t="s">
        <v>2</v>
      </c>
      <c r="D3" s="136" t="s">
        <v>3</v>
      </c>
      <c r="E3" s="522" t="s">
        <v>4</v>
      </c>
      <c r="F3" s="136" t="s">
        <v>23</v>
      </c>
      <c r="G3" s="522" t="s">
        <v>27</v>
      </c>
      <c r="H3" s="136" t="s">
        <v>88</v>
      </c>
      <c r="I3" s="522" t="s">
        <v>89</v>
      </c>
      <c r="J3" s="522" t="s">
        <v>90</v>
      </c>
      <c r="K3" s="37" t="s">
        <v>121</v>
      </c>
      <c r="N3" s="1" t="s">
        <v>393</v>
      </c>
      <c r="P3" s="505" t="s">
        <v>24</v>
      </c>
      <c r="Q3" s="506">
        <v>0.03</v>
      </c>
      <c r="S3" s="151"/>
    </row>
    <row r="4" spans="1:19" x14ac:dyDescent="0.35">
      <c r="B4" s="428">
        <f>data!B9</f>
        <v>1</v>
      </c>
      <c r="C4" s="511">
        <f>data!C9</f>
        <v>1984</v>
      </c>
      <c r="D4" s="444">
        <f>data!D9</f>
        <v>22</v>
      </c>
      <c r="E4" s="514">
        <f>data!E9</f>
        <v>35000</v>
      </c>
      <c r="F4" s="446">
        <f t="shared" ref="F4:F45" si="0">VLOOKUP(C4,TWB_table,2,FALSE)</f>
        <v>37800</v>
      </c>
      <c r="G4" s="517">
        <f>VLOOKUP(ss_calc!C4,NAWI_table,2,FALSE)</f>
        <v>16135.07</v>
      </c>
      <c r="H4" s="445">
        <f>MIN(E4,F4)</f>
        <v>35000</v>
      </c>
      <c r="I4" s="520">
        <f>IF(D4&lt;60,$G$42/G4,1)</f>
        <v>3.657646464502478</v>
      </c>
      <c r="J4" s="514">
        <f>H4*I4</f>
        <v>128017.62625758673</v>
      </c>
      <c r="K4" s="447">
        <f>LARGE($J$4:$J$45,ROWS(J$4:J4))</f>
        <v>128017.62625758673</v>
      </c>
      <c r="M4" s="146" t="s">
        <v>122</v>
      </c>
      <c r="N4" s="147">
        <f>ROUNDDOWN(AVERAGE(K4:K38)/12,1)</f>
        <v>8949.7999999999993</v>
      </c>
      <c r="P4" s="507" t="s">
        <v>156</v>
      </c>
      <c r="Q4" s="508">
        <v>67</v>
      </c>
    </row>
    <row r="5" spans="1:19" x14ac:dyDescent="0.35">
      <c r="B5" s="40">
        <f>data!B10</f>
        <v>2</v>
      </c>
      <c r="C5" s="512">
        <f>data!C10</f>
        <v>1985</v>
      </c>
      <c r="D5" s="137">
        <f>data!D10</f>
        <v>23</v>
      </c>
      <c r="E5" s="515">
        <f>data!E10</f>
        <v>36225</v>
      </c>
      <c r="F5" s="139">
        <f t="shared" si="0"/>
        <v>39600</v>
      </c>
      <c r="G5" s="518">
        <f>VLOOKUP(ss_calc!C5,NAWI_table,2,FALSE)</f>
        <v>16822.509999999998</v>
      </c>
      <c r="H5" s="138">
        <f t="shared" ref="H5:H45" si="1">MIN(E5,F5)</f>
        <v>36225</v>
      </c>
      <c r="I5" s="521">
        <f t="shared" ref="I5:I45" si="2">IF(D5&lt;60,$G$42/G5,1)</f>
        <v>3.5081793228240019</v>
      </c>
      <c r="J5" s="515">
        <f t="shared" ref="J5:J45" si="3">H5*I5</f>
        <v>127083.79596929946</v>
      </c>
      <c r="K5" s="140">
        <f>LARGE($J$4:$J$45,ROWS(J$4:J5))</f>
        <v>127123.15919386329</v>
      </c>
      <c r="M5" s="148" t="s">
        <v>123</v>
      </c>
      <c r="N5" s="149">
        <f>0.9*VLOOKUP(C44,BP_table,2,0)+0.32*MAX(0,VLOOKUP(C44,BP_table,3,0)-VLOOKUP(C44,BP_table,2,0))+0.15*MAX(0,N4-VLOOKUP(C44,BP_table,3,0))</f>
        <v>3085.6984439999997</v>
      </c>
    </row>
    <row r="6" spans="1:19" ht="15" thickBot="1" x14ac:dyDescent="0.4">
      <c r="B6" s="40">
        <f>data!B11</f>
        <v>3</v>
      </c>
      <c r="C6" s="512">
        <f>data!C11</f>
        <v>1986</v>
      </c>
      <c r="D6" s="137">
        <f>data!D11</f>
        <v>24</v>
      </c>
      <c r="E6" s="515">
        <f>data!E11</f>
        <v>37311.75</v>
      </c>
      <c r="F6" s="139">
        <f t="shared" si="0"/>
        <v>42000</v>
      </c>
      <c r="G6" s="518">
        <f>VLOOKUP(ss_calc!C6,NAWI_table,2,FALSE)</f>
        <v>17321.82</v>
      </c>
      <c r="H6" s="138">
        <f t="shared" si="1"/>
        <v>37311.75</v>
      </c>
      <c r="I6" s="521">
        <f t="shared" si="2"/>
        <v>3.4070543245455731</v>
      </c>
      <c r="J6" s="515">
        <f t="shared" si="3"/>
        <v>127123.15919386329</v>
      </c>
      <c r="K6" s="140">
        <f>LARGE($J$4:$J$45,ROWS(J$4:J6))</f>
        <v>127083.79596929946</v>
      </c>
      <c r="M6" s="150" t="s">
        <v>124</v>
      </c>
      <c r="N6" s="135">
        <f>N5*((1+$Q$3)^($Q$4-62))</f>
        <v>3577.1702072370495</v>
      </c>
      <c r="P6" s="505" t="s">
        <v>442</v>
      </c>
      <c r="Q6" s="509">
        <f>N6*12*VLOOKUP(67,appendix!X5:AE125,8,1)</f>
        <v>619953.77853856655</v>
      </c>
    </row>
    <row r="7" spans="1:19" x14ac:dyDescent="0.35">
      <c r="B7" s="40">
        <f>data!B12</f>
        <v>4</v>
      </c>
      <c r="C7" s="512">
        <f>data!C12</f>
        <v>1987</v>
      </c>
      <c r="D7" s="137">
        <f>data!D12</f>
        <v>25</v>
      </c>
      <c r="E7" s="515">
        <f>data!E12</f>
        <v>38431.102500000001</v>
      </c>
      <c r="F7" s="139">
        <f t="shared" si="0"/>
        <v>43800</v>
      </c>
      <c r="G7" s="518">
        <f>VLOOKUP(ss_calc!C7,NAWI_table,2,FALSE)</f>
        <v>18426.509999999998</v>
      </c>
      <c r="H7" s="138">
        <f t="shared" si="1"/>
        <v>38431.102500000001</v>
      </c>
      <c r="I7" s="521">
        <f t="shared" si="2"/>
        <v>3.2027975856524109</v>
      </c>
      <c r="J7" s="515">
        <f t="shared" si="3"/>
        <v>123087.04230096034</v>
      </c>
      <c r="K7" s="140">
        <f>LARGE($J$4:$J$45,ROWS(J$4:J7))</f>
        <v>123087.04230096034</v>
      </c>
      <c r="P7" s="507" t="s">
        <v>441</v>
      </c>
      <c r="Q7" s="510"/>
    </row>
    <row r="8" spans="1:19" x14ac:dyDescent="0.35">
      <c r="B8" s="40">
        <f>data!B13</f>
        <v>5</v>
      </c>
      <c r="C8" s="512">
        <f>data!C13</f>
        <v>1988</v>
      </c>
      <c r="D8" s="137">
        <f>data!D13</f>
        <v>26</v>
      </c>
      <c r="E8" s="515">
        <f>data!E13</f>
        <v>39584.035575000002</v>
      </c>
      <c r="F8" s="139">
        <f t="shared" si="0"/>
        <v>45000</v>
      </c>
      <c r="G8" s="518">
        <f>VLOOKUP(ss_calc!C8,NAWI_table,2,FALSE)</f>
        <v>19334.04</v>
      </c>
      <c r="H8" s="138">
        <f t="shared" si="1"/>
        <v>39584.035575000002</v>
      </c>
      <c r="I8" s="521">
        <f t="shared" si="2"/>
        <v>3.0524598966382603</v>
      </c>
      <c r="J8" s="515">
        <f t="shared" si="3"/>
        <v>120828.68113978973</v>
      </c>
      <c r="K8" s="140">
        <f>LARGE($J$4:$J$45,ROWS(J$4:J8))</f>
        <v>120828.68113978973</v>
      </c>
      <c r="P8" s="1" t="s">
        <v>443</v>
      </c>
      <c r="R8" s="56"/>
    </row>
    <row r="9" spans="1:19" x14ac:dyDescent="0.35">
      <c r="B9" s="40">
        <f>data!B14</f>
        <v>6</v>
      </c>
      <c r="C9" s="512">
        <f>data!C14</f>
        <v>1989</v>
      </c>
      <c r="D9" s="137">
        <f>data!D14</f>
        <v>27</v>
      </c>
      <c r="E9" s="515">
        <f>data!E14</f>
        <v>40771.556642250005</v>
      </c>
      <c r="F9" s="139">
        <f t="shared" si="0"/>
        <v>48000</v>
      </c>
      <c r="G9" s="518">
        <f>VLOOKUP(ss_calc!C9,NAWI_table,2,FALSE)</f>
        <v>20099.55</v>
      </c>
      <c r="H9" s="138">
        <f t="shared" si="1"/>
        <v>40771.556642250005</v>
      </c>
      <c r="I9" s="521">
        <f t="shared" si="2"/>
        <v>2.9362041309382549</v>
      </c>
      <c r="J9" s="515">
        <f t="shared" si="3"/>
        <v>119713.61303775752</v>
      </c>
      <c r="K9" s="140">
        <f>LARGE($J$4:$J$45,ROWS(J$4:J9))</f>
        <v>119713.61303775752</v>
      </c>
    </row>
    <row r="10" spans="1:19" x14ac:dyDescent="0.35">
      <c r="B10" s="40">
        <f>data!B15</f>
        <v>7</v>
      </c>
      <c r="C10" s="512">
        <f>data!C15</f>
        <v>1990</v>
      </c>
      <c r="D10" s="137">
        <f>data!D15</f>
        <v>28</v>
      </c>
      <c r="E10" s="515">
        <f>data!E15</f>
        <v>41994.703341517503</v>
      </c>
      <c r="F10" s="139">
        <f t="shared" si="0"/>
        <v>51300</v>
      </c>
      <c r="G10" s="518">
        <f>VLOOKUP(ss_calc!C10,NAWI_table,2,FALSE)</f>
        <v>21027.98</v>
      </c>
      <c r="H10" s="138">
        <f t="shared" si="1"/>
        <v>41994.703341517503</v>
      </c>
      <c r="I10" s="521">
        <f t="shared" si="2"/>
        <v>2.8065644793270681</v>
      </c>
      <c r="J10" s="515">
        <f t="shared" si="3"/>
        <v>117860.84271818076</v>
      </c>
      <c r="K10" s="140">
        <f>LARGE($J$4:$J$45,ROWS(J$4:J10))</f>
        <v>117860.84271818076</v>
      </c>
      <c r="M10" s="151" t="s">
        <v>261</v>
      </c>
    </row>
    <row r="11" spans="1:19" x14ac:dyDescent="0.35">
      <c r="B11" s="40">
        <f>data!B16</f>
        <v>8</v>
      </c>
      <c r="C11" s="512">
        <f>data!C16</f>
        <v>1991</v>
      </c>
      <c r="D11" s="137">
        <f>data!D16</f>
        <v>29</v>
      </c>
      <c r="E11" s="515">
        <f>data!E16</f>
        <v>43254.544441763028</v>
      </c>
      <c r="F11" s="139">
        <f t="shared" si="0"/>
        <v>53400</v>
      </c>
      <c r="G11" s="518">
        <f>VLOOKUP(ss_calc!C11,NAWI_table,2,FALSE)</f>
        <v>21811.599999999999</v>
      </c>
      <c r="H11" s="138">
        <f t="shared" si="1"/>
        <v>43254.544441763028</v>
      </c>
      <c r="I11" s="521">
        <f t="shared" si="2"/>
        <v>2.705733726090704</v>
      </c>
      <c r="J11" s="515">
        <f t="shared" si="3"/>
        <v>117035.27970276742</v>
      </c>
      <c r="K11" s="140">
        <f>LARGE($J$4:$J$45,ROWS(J$4:J11))</f>
        <v>117432.37304531453</v>
      </c>
      <c r="M11" s="1" t="s">
        <v>262</v>
      </c>
    </row>
    <row r="12" spans="1:19" x14ac:dyDescent="0.35">
      <c r="B12" s="40">
        <f>data!B17</f>
        <v>9</v>
      </c>
      <c r="C12" s="512">
        <f>data!C17</f>
        <v>1992</v>
      </c>
      <c r="D12" s="137">
        <f>data!D17</f>
        <v>30</v>
      </c>
      <c r="E12" s="515">
        <f>data!E17</f>
        <v>44552.180775015921</v>
      </c>
      <c r="F12" s="139">
        <f t="shared" si="0"/>
        <v>55500</v>
      </c>
      <c r="G12" s="518">
        <f>VLOOKUP(ss_calc!C12,NAWI_table,2,FALSE)</f>
        <v>22935.42</v>
      </c>
      <c r="H12" s="138">
        <f t="shared" si="1"/>
        <v>44552.180775015921</v>
      </c>
      <c r="I12" s="521">
        <f t="shared" si="2"/>
        <v>2.5731546115135453</v>
      </c>
      <c r="J12" s="515">
        <f t="shared" si="3"/>
        <v>114639.64941421733</v>
      </c>
      <c r="K12" s="140">
        <f>LARGE($J$4:$J$45,ROWS(J$4:J12))</f>
        <v>117071.99226059351</v>
      </c>
      <c r="M12" s="1" t="s">
        <v>263</v>
      </c>
    </row>
    <row r="13" spans="1:19" x14ac:dyDescent="0.35">
      <c r="B13" s="40">
        <f>data!B18</f>
        <v>10</v>
      </c>
      <c r="C13" s="512">
        <f>data!C18</f>
        <v>1993</v>
      </c>
      <c r="D13" s="137">
        <f>data!D18</f>
        <v>31</v>
      </c>
      <c r="E13" s="515">
        <f>data!E18</f>
        <v>45888.746198266403</v>
      </c>
      <c r="F13" s="139">
        <f t="shared" si="0"/>
        <v>57600</v>
      </c>
      <c r="G13" s="518">
        <f>VLOOKUP(ss_calc!C13,NAWI_table,2,FALSE)</f>
        <v>23132.67</v>
      </c>
      <c r="H13" s="138">
        <f t="shared" si="1"/>
        <v>45888.746198266403</v>
      </c>
      <c r="I13" s="521">
        <f t="shared" si="2"/>
        <v>2.5512135754324943</v>
      </c>
      <c r="J13" s="515">
        <f t="shared" si="3"/>
        <v>117071.99226059351</v>
      </c>
      <c r="K13" s="140">
        <f>LARGE($J$4:$J$45,ROWS(J$4:J13))</f>
        <v>117035.27970276742</v>
      </c>
      <c r="M13" s="1" t="s">
        <v>264</v>
      </c>
    </row>
    <row r="14" spans="1:19" x14ac:dyDescent="0.35">
      <c r="B14" s="40">
        <f>data!B19</f>
        <v>11</v>
      </c>
      <c r="C14" s="512">
        <f>data!C19</f>
        <v>1994</v>
      </c>
      <c r="D14" s="137">
        <f>data!D19</f>
        <v>32</v>
      </c>
      <c r="E14" s="515">
        <f>data!E19</f>
        <v>47265.408584214398</v>
      </c>
      <c r="F14" s="139">
        <f t="shared" si="0"/>
        <v>60600</v>
      </c>
      <c r="G14" s="518">
        <f>VLOOKUP(ss_calc!C14,NAWI_table,2,FALSE)</f>
        <v>23753.53</v>
      </c>
      <c r="H14" s="138">
        <f t="shared" si="1"/>
        <v>47265.408584214398</v>
      </c>
      <c r="I14" s="521">
        <f t="shared" si="2"/>
        <v>2.4845310040234021</v>
      </c>
      <c r="J14" s="515">
        <f t="shared" si="3"/>
        <v>117432.37304531453</v>
      </c>
      <c r="K14" s="140">
        <f>LARGE($J$4:$J$45,ROWS(J$4:J14))</f>
        <v>116293.85322983324</v>
      </c>
      <c r="N14" s="1" t="s">
        <v>265</v>
      </c>
    </row>
    <row r="15" spans="1:19" x14ac:dyDescent="0.35">
      <c r="B15" s="40">
        <f>data!B20</f>
        <v>12</v>
      </c>
      <c r="C15" s="512">
        <f>data!C20</f>
        <v>1995</v>
      </c>
      <c r="D15" s="137">
        <f>data!D20</f>
        <v>33</v>
      </c>
      <c r="E15" s="515">
        <f>data!E20</f>
        <v>48683.370841740834</v>
      </c>
      <c r="F15" s="139">
        <f t="shared" si="0"/>
        <v>61200</v>
      </c>
      <c r="G15" s="518">
        <f>VLOOKUP(ss_calc!C15,NAWI_table,2,FALSE)</f>
        <v>24705.66</v>
      </c>
      <c r="H15" s="138">
        <f t="shared" si="1"/>
        <v>48683.370841740834</v>
      </c>
      <c r="I15" s="521">
        <f t="shared" si="2"/>
        <v>2.3887798075420772</v>
      </c>
      <c r="J15" s="515">
        <f t="shared" si="3"/>
        <v>116293.85322983324</v>
      </c>
      <c r="K15" s="140">
        <f>LARGE($J$4:$J$45,ROWS(J$4:J15))</f>
        <v>114639.64941421733</v>
      </c>
      <c r="N15" s="1" t="s">
        <v>266</v>
      </c>
    </row>
    <row r="16" spans="1:19" x14ac:dyDescent="0.35">
      <c r="B16" s="40">
        <f>data!B21</f>
        <v>13</v>
      </c>
      <c r="C16" s="512">
        <f>data!C21</f>
        <v>1996</v>
      </c>
      <c r="D16" s="137">
        <f>data!D21</f>
        <v>34</v>
      </c>
      <c r="E16" s="515">
        <f>data!E21</f>
        <v>50143.871966993058</v>
      </c>
      <c r="F16" s="139">
        <f t="shared" si="0"/>
        <v>62700</v>
      </c>
      <c r="G16" s="518">
        <f>VLOOKUP(ss_calc!C16,NAWI_table,2,FALSE)</f>
        <v>25913.9</v>
      </c>
      <c r="H16" s="138">
        <f t="shared" si="1"/>
        <v>50143.871966993058</v>
      </c>
      <c r="I16" s="521">
        <f t="shared" si="2"/>
        <v>2.2774025422649617</v>
      </c>
      <c r="J16" s="515">
        <f t="shared" si="3"/>
        <v>114197.78149663874</v>
      </c>
      <c r="K16" s="140">
        <f>LARGE($J$4:$J$45,ROWS(J$4:J16))</f>
        <v>114197.78149663874</v>
      </c>
      <c r="M16" s="1" t="s">
        <v>267</v>
      </c>
    </row>
    <row r="17" spans="2:17" x14ac:dyDescent="0.35">
      <c r="B17" s="40">
        <f>data!B22</f>
        <v>14</v>
      </c>
      <c r="C17" s="512">
        <f>data!C22</f>
        <v>1997</v>
      </c>
      <c r="D17" s="137">
        <f>data!D22</f>
        <v>35</v>
      </c>
      <c r="E17" s="515">
        <f>data!E22</f>
        <v>51648.188126002853</v>
      </c>
      <c r="F17" s="139">
        <f t="shared" si="0"/>
        <v>65400</v>
      </c>
      <c r="G17" s="518">
        <f>VLOOKUP(ss_calc!C17,NAWI_table,2,FALSE)</f>
        <v>27426</v>
      </c>
      <c r="H17" s="138">
        <f t="shared" si="1"/>
        <v>51648.188126002853</v>
      </c>
      <c r="I17" s="521">
        <f t="shared" si="2"/>
        <v>2.1518406526653537</v>
      </c>
      <c r="J17" s="515">
        <f t="shared" si="3"/>
        <v>111138.67084604096</v>
      </c>
      <c r="K17" s="140">
        <f>LARGE($J$4:$J$45,ROWS(J$4:J17))</f>
        <v>111138.67084604096</v>
      </c>
      <c r="M17" s="1" t="s">
        <v>268</v>
      </c>
    </row>
    <row r="18" spans="2:17" x14ac:dyDescent="0.35">
      <c r="B18" s="40">
        <f>data!B23</f>
        <v>15</v>
      </c>
      <c r="C18" s="512">
        <f>data!C23</f>
        <v>1998</v>
      </c>
      <c r="D18" s="137">
        <f>data!D23</f>
        <v>36</v>
      </c>
      <c r="E18" s="515">
        <f>data!E23</f>
        <v>53197.633769782937</v>
      </c>
      <c r="F18" s="139">
        <f t="shared" si="0"/>
        <v>68400</v>
      </c>
      <c r="G18" s="518">
        <f>VLOOKUP(ss_calc!C18,NAWI_table,2,FALSE)</f>
        <v>28861.439999999999</v>
      </c>
      <c r="H18" s="138">
        <f t="shared" si="1"/>
        <v>53197.633769782937</v>
      </c>
      <c r="I18" s="521">
        <f t="shared" si="2"/>
        <v>2.0448176438874843</v>
      </c>
      <c r="J18" s="515">
        <f t="shared" si="3"/>
        <v>108779.46014551682</v>
      </c>
      <c r="K18" s="140">
        <f>LARGE($J$4:$J$45,ROWS(J$4:J18))</f>
        <v>108966.11366387371</v>
      </c>
      <c r="N18" s="1" t="s">
        <v>321</v>
      </c>
      <c r="Q18" s="282"/>
    </row>
    <row r="19" spans="2:17" x14ac:dyDescent="0.35">
      <c r="B19" s="40">
        <f>data!B24</f>
        <v>16</v>
      </c>
      <c r="C19" s="512">
        <f>data!C24</f>
        <v>1999</v>
      </c>
      <c r="D19" s="137">
        <f>data!D24</f>
        <v>37</v>
      </c>
      <c r="E19" s="515">
        <f>data!E24</f>
        <v>54793.562782876426</v>
      </c>
      <c r="F19" s="139">
        <f t="shared" si="0"/>
        <v>72600</v>
      </c>
      <c r="G19" s="518">
        <f>VLOOKUP(ss_calc!C19,NAWI_table,2,FALSE)</f>
        <v>30469.84</v>
      </c>
      <c r="H19" s="138">
        <f t="shared" si="1"/>
        <v>54793.562782876426</v>
      </c>
      <c r="I19" s="521">
        <f t="shared" si="2"/>
        <v>1.9368786229268022</v>
      </c>
      <c r="J19" s="515">
        <f t="shared" si="3"/>
        <v>106128.48042815097</v>
      </c>
      <c r="K19" s="140">
        <f>LARGE($J$4:$J$45,ROWS(J$4:J19))</f>
        <v>108779.46014551682</v>
      </c>
      <c r="M19" s="1" t="s">
        <v>269</v>
      </c>
    </row>
    <row r="20" spans="2:17" x14ac:dyDescent="0.35">
      <c r="B20" s="40">
        <f>data!B25</f>
        <v>17</v>
      </c>
      <c r="C20" s="512">
        <f>data!C25</f>
        <v>2000</v>
      </c>
      <c r="D20" s="137">
        <f>data!D25</f>
        <v>38</v>
      </c>
      <c r="E20" s="515">
        <f>data!E25</f>
        <v>56437.36966636272</v>
      </c>
      <c r="F20" s="139">
        <f t="shared" si="0"/>
        <v>76200</v>
      </c>
      <c r="G20" s="518">
        <f>VLOOKUP(ss_calc!C20,NAWI_table,2,FALSE)</f>
        <v>32154.82</v>
      </c>
      <c r="H20" s="138">
        <f t="shared" si="1"/>
        <v>56437.36966636272</v>
      </c>
      <c r="I20" s="521">
        <f t="shared" si="2"/>
        <v>1.8353821212496291</v>
      </c>
      <c r="J20" s="515">
        <f t="shared" si="3"/>
        <v>103584.13925599828</v>
      </c>
      <c r="K20" s="140">
        <f>LARGE($J$4:$J$45,ROWS(J$4:J20))</f>
        <v>108387.74194698915</v>
      </c>
      <c r="M20" s="1" t="s">
        <v>370</v>
      </c>
    </row>
    <row r="21" spans="2:17" x14ac:dyDescent="0.35">
      <c r="B21" s="40">
        <f>data!B26</f>
        <v>18</v>
      </c>
      <c r="C21" s="512">
        <f>data!C26</f>
        <v>2001</v>
      </c>
      <c r="D21" s="137">
        <f>data!D26</f>
        <v>39</v>
      </c>
      <c r="E21" s="515">
        <f>data!E26</f>
        <v>58130.490756353604</v>
      </c>
      <c r="F21" s="139">
        <f t="shared" si="0"/>
        <v>80400</v>
      </c>
      <c r="G21" s="518">
        <f>VLOOKUP(ss_calc!C21,NAWI_table,2,FALSE)</f>
        <v>32921.919999999998</v>
      </c>
      <c r="H21" s="138">
        <f t="shared" si="1"/>
        <v>58130.490756353604</v>
      </c>
      <c r="I21" s="521">
        <f t="shared" si="2"/>
        <v>1.7926166438652424</v>
      </c>
      <c r="J21" s="515">
        <f t="shared" si="3"/>
        <v>104205.6852458941</v>
      </c>
      <c r="K21" s="140">
        <f>LARGE($J$4:$J$45,ROWS(J$4:J21))</f>
        <v>107885.97939100819</v>
      </c>
      <c r="M21" s="1" t="s">
        <v>371</v>
      </c>
    </row>
    <row r="22" spans="2:17" x14ac:dyDescent="0.35">
      <c r="B22" s="40">
        <f>data!B27</f>
        <v>19</v>
      </c>
      <c r="C22" s="512">
        <f>data!C27</f>
        <v>2002</v>
      </c>
      <c r="D22" s="137">
        <f>data!D27</f>
        <v>40</v>
      </c>
      <c r="E22" s="515">
        <f>data!E27</f>
        <v>59874.40547904421</v>
      </c>
      <c r="F22" s="139">
        <f t="shared" si="0"/>
        <v>84900</v>
      </c>
      <c r="G22" s="518">
        <f>VLOOKUP(ss_calc!C22,NAWI_table,2,FALSE)</f>
        <v>33252.089999999997</v>
      </c>
      <c r="H22" s="138">
        <f t="shared" si="1"/>
        <v>59874.40547904421</v>
      </c>
      <c r="I22" s="521">
        <f t="shared" si="2"/>
        <v>1.7748172141961605</v>
      </c>
      <c r="J22" s="515">
        <f t="shared" si="3"/>
        <v>106266.12553396857</v>
      </c>
      <c r="K22" s="140">
        <f>LARGE($J$4:$J$45,ROWS(J$4:J22))</f>
        <v>107410.85549765396</v>
      </c>
      <c r="N22" s="1" t="str">
        <f>" + 3% COLA for every year after age 62 (compound)"</f>
        <v xml:space="preserve"> + 3% COLA for every year after age 62 (compound)</v>
      </c>
    </row>
    <row r="23" spans="2:17" x14ac:dyDescent="0.35">
      <c r="B23" s="40">
        <f>data!B28</f>
        <v>20</v>
      </c>
      <c r="C23" s="512">
        <f>data!C28</f>
        <v>2003</v>
      </c>
      <c r="D23" s="137">
        <f>data!D28</f>
        <v>41</v>
      </c>
      <c r="E23" s="515">
        <f>data!E28</f>
        <v>61670.637643415539</v>
      </c>
      <c r="F23" s="139">
        <f t="shared" si="0"/>
        <v>87000</v>
      </c>
      <c r="G23" s="518">
        <f>VLOOKUP(ss_calc!C23,NAWI_table,2,FALSE)</f>
        <v>34064.949999999997</v>
      </c>
      <c r="H23" s="138">
        <f t="shared" si="1"/>
        <v>61670.637643415539</v>
      </c>
      <c r="I23" s="521">
        <f t="shared" si="2"/>
        <v>1.7324664131313858</v>
      </c>
      <c r="J23" s="515">
        <f t="shared" si="3"/>
        <v>106842.30839361354</v>
      </c>
      <c r="K23" s="140">
        <f>LARGE($J$4:$J$45,ROWS(J$4:J23))</f>
        <v>107271.99209412813</v>
      </c>
      <c r="N23" s="1" t="str">
        <f>" - 6 2/3% for each year before age 67*"</f>
        <v xml:space="preserve"> - 6 2/3% for each year before age 67*</v>
      </c>
    </row>
    <row r="24" spans="2:17" x14ac:dyDescent="0.35">
      <c r="B24" s="40">
        <f>data!B29</f>
        <v>21</v>
      </c>
      <c r="C24" s="512">
        <f>data!C29</f>
        <v>2004</v>
      </c>
      <c r="D24" s="137">
        <f>data!D29</f>
        <v>42</v>
      </c>
      <c r="E24" s="515">
        <f>data!E29</f>
        <v>63520.756772718007</v>
      </c>
      <c r="F24" s="139">
        <f t="shared" si="0"/>
        <v>87900</v>
      </c>
      <c r="G24" s="518">
        <f>VLOOKUP(ss_calc!C24,NAWI_table,2,FALSE)</f>
        <v>35648.550000000003</v>
      </c>
      <c r="H24" s="138">
        <f t="shared" si="1"/>
        <v>63520.756772718007</v>
      </c>
      <c r="I24" s="521">
        <f t="shared" si="2"/>
        <v>1.6555058127188902</v>
      </c>
      <c r="J24" s="515">
        <f t="shared" si="3"/>
        <v>105158.98206553748</v>
      </c>
      <c r="K24" s="140">
        <f>LARGE($J$4:$J$45,ROWS(J$4:J24))</f>
        <v>107144.51047653603</v>
      </c>
    </row>
    <row r="25" spans="2:17" x14ac:dyDescent="0.35">
      <c r="B25" s="40">
        <f>data!B30</f>
        <v>22</v>
      </c>
      <c r="C25" s="512">
        <f>data!C30</f>
        <v>2005</v>
      </c>
      <c r="D25" s="137">
        <f>data!D30</f>
        <v>43</v>
      </c>
      <c r="E25" s="515">
        <f>data!E30</f>
        <v>65426.37947589955</v>
      </c>
      <c r="F25" s="139">
        <f t="shared" si="0"/>
        <v>90000</v>
      </c>
      <c r="G25" s="518">
        <f>VLOOKUP(ss_calc!C25,NAWI_table,2,FALSE)</f>
        <v>36952.94</v>
      </c>
      <c r="H25" s="138">
        <f t="shared" si="1"/>
        <v>65426.37947589955</v>
      </c>
      <c r="I25" s="521">
        <f t="shared" si="2"/>
        <v>1.5970686429821279</v>
      </c>
      <c r="J25" s="515">
        <f t="shared" si="3"/>
        <v>104490.41908480864</v>
      </c>
      <c r="K25" s="140">
        <f>LARGE($J$4:$J$45,ROWS(J$4:J25))</f>
        <v>106842.30839361354</v>
      </c>
      <c r="M25" s="1" t="s">
        <v>451</v>
      </c>
    </row>
    <row r="26" spans="2:17" x14ac:dyDescent="0.35">
      <c r="B26" s="40">
        <f>data!B31</f>
        <v>23</v>
      </c>
      <c r="C26" s="512">
        <f>data!C31</f>
        <v>2006</v>
      </c>
      <c r="D26" s="137">
        <f>data!D31</f>
        <v>44</v>
      </c>
      <c r="E26" s="515">
        <f>data!E31</f>
        <v>67389.170860176542</v>
      </c>
      <c r="F26" s="139">
        <f t="shared" si="0"/>
        <v>94200</v>
      </c>
      <c r="G26" s="518">
        <f>VLOOKUP(ss_calc!C26,NAWI_table,2,FALSE)</f>
        <v>38651.410000000003</v>
      </c>
      <c r="H26" s="138">
        <f t="shared" si="1"/>
        <v>67389.170860176542</v>
      </c>
      <c r="I26" s="521">
        <f t="shared" si="2"/>
        <v>1.5268881973516617</v>
      </c>
      <c r="J26" s="515">
        <f t="shared" si="3"/>
        <v>102895.7296157181</v>
      </c>
      <c r="K26" s="140">
        <f>LARGE($J$4:$J$45,ROWS(J$4:J26))</f>
        <v>106747.10093525161</v>
      </c>
      <c r="P26" s="490"/>
    </row>
    <row r="27" spans="2:17" x14ac:dyDescent="0.35">
      <c r="B27" s="40">
        <f>data!B32</f>
        <v>24</v>
      </c>
      <c r="C27" s="512">
        <f>data!C32</f>
        <v>2007</v>
      </c>
      <c r="D27" s="137">
        <f>data!D32</f>
        <v>45</v>
      </c>
      <c r="E27" s="515">
        <f>data!E32</f>
        <v>69410.845985981839</v>
      </c>
      <c r="F27" s="139">
        <f t="shared" si="0"/>
        <v>97500</v>
      </c>
      <c r="G27" s="518">
        <f>VLOOKUP(ss_calc!C27,NAWI_table,2,FALSE)</f>
        <v>40405.480000000003</v>
      </c>
      <c r="H27" s="138">
        <f t="shared" si="1"/>
        <v>69410.845985981839</v>
      </c>
      <c r="I27" s="521">
        <f t="shared" si="2"/>
        <v>1.4606034067656168</v>
      </c>
      <c r="J27" s="515">
        <f t="shared" si="3"/>
        <v>101381.71811360861</v>
      </c>
      <c r="K27" s="140">
        <f>LARGE($J$4:$J$45,ROWS(J$4:J27))</f>
        <v>106266.12553396857</v>
      </c>
      <c r="P27" s="490"/>
    </row>
    <row r="28" spans="2:17" x14ac:dyDescent="0.35">
      <c r="B28" s="40">
        <f>data!B33</f>
        <v>25</v>
      </c>
      <c r="C28" s="512">
        <f>data!C33</f>
        <v>2008</v>
      </c>
      <c r="D28" s="137">
        <f>data!D33</f>
        <v>46</v>
      </c>
      <c r="E28" s="515">
        <f>data!E33</f>
        <v>71493.171365561298</v>
      </c>
      <c r="F28" s="139">
        <f t="shared" si="0"/>
        <v>102000</v>
      </c>
      <c r="G28" s="518">
        <f>VLOOKUP(ss_calc!C28,NAWI_table,2,FALSE)</f>
        <v>41334.97</v>
      </c>
      <c r="H28" s="138">
        <f t="shared" si="1"/>
        <v>71493.171365561298</v>
      </c>
      <c r="I28" s="521">
        <f t="shared" si="2"/>
        <v>1.427759152601296</v>
      </c>
      <c r="J28" s="515">
        <f t="shared" si="3"/>
        <v>102075.02976567304</v>
      </c>
      <c r="K28" s="140">
        <f>LARGE($J$4:$J$45,ROWS(J$4:J28))</f>
        <v>106128.48042815097</v>
      </c>
      <c r="P28" s="490"/>
    </row>
    <row r="29" spans="2:17" x14ac:dyDescent="0.35">
      <c r="B29" s="40">
        <f>data!B34</f>
        <v>26</v>
      </c>
      <c r="C29" s="512">
        <f>data!C34</f>
        <v>2009</v>
      </c>
      <c r="D29" s="137">
        <f>data!D34</f>
        <v>47</v>
      </c>
      <c r="E29" s="515">
        <f>data!E34</f>
        <v>73637.966506528144</v>
      </c>
      <c r="F29" s="139">
        <f t="shared" si="0"/>
        <v>106800</v>
      </c>
      <c r="G29" s="518">
        <f>VLOOKUP(ss_calc!C29,NAWI_table,2,FALSE)</f>
        <v>40711.61</v>
      </c>
      <c r="H29" s="138">
        <f t="shared" si="1"/>
        <v>73637.966506528144</v>
      </c>
      <c r="I29" s="521">
        <f t="shared" si="2"/>
        <v>1.4496204335814771</v>
      </c>
      <c r="J29" s="515">
        <f t="shared" si="3"/>
        <v>106747.10093525161</v>
      </c>
      <c r="K29" s="140">
        <f>LARGE($J$4:$J$45,ROWS(J$4:J29))</f>
        <v>105158.98206553748</v>
      </c>
    </row>
    <row r="30" spans="2:17" x14ac:dyDescent="0.35">
      <c r="B30" s="40">
        <f>data!B35</f>
        <v>27</v>
      </c>
      <c r="C30" s="512">
        <f>data!C35</f>
        <v>2010</v>
      </c>
      <c r="D30" s="137">
        <f>data!D35</f>
        <v>48</v>
      </c>
      <c r="E30" s="515">
        <f>data!E35</f>
        <v>75847.105501723985</v>
      </c>
      <c r="F30" s="139">
        <f t="shared" si="0"/>
        <v>106800</v>
      </c>
      <c r="G30" s="518">
        <f>VLOOKUP(ss_calc!C30,NAWI_table,2,FALSE)</f>
        <v>41673.83</v>
      </c>
      <c r="H30" s="138">
        <f t="shared" si="1"/>
        <v>75847.105501723985</v>
      </c>
      <c r="I30" s="521">
        <f t="shared" si="2"/>
        <v>1.4161496973040393</v>
      </c>
      <c r="J30" s="515">
        <f t="shared" si="3"/>
        <v>107410.85549765396</v>
      </c>
      <c r="K30" s="140">
        <f>LARGE($J$4:$J$45,ROWS(J$4:J30))</f>
        <v>104490.41908480864</v>
      </c>
    </row>
    <row r="31" spans="2:17" x14ac:dyDescent="0.35">
      <c r="B31" s="40">
        <f>data!B36</f>
        <v>28</v>
      </c>
      <c r="C31" s="512">
        <f>data!C36</f>
        <v>2011</v>
      </c>
      <c r="D31" s="137">
        <f>data!D36</f>
        <v>49</v>
      </c>
      <c r="E31" s="515">
        <f>data!E36</f>
        <v>78122.518666775708</v>
      </c>
      <c r="F31" s="139">
        <f t="shared" si="0"/>
        <v>106800</v>
      </c>
      <c r="G31" s="518">
        <f>VLOOKUP(ss_calc!C31,NAWI_table,2,FALSE)</f>
        <v>42979.61</v>
      </c>
      <c r="H31" s="138">
        <f t="shared" si="1"/>
        <v>78122.518666775708</v>
      </c>
      <c r="I31" s="521">
        <f t="shared" si="2"/>
        <v>1.3731251107211069</v>
      </c>
      <c r="J31" s="515">
        <f t="shared" si="3"/>
        <v>107271.99209412813</v>
      </c>
      <c r="K31" s="140">
        <f>LARGE($J$4:$J$45,ROWS(J$4:J31))</f>
        <v>104205.6852458941</v>
      </c>
    </row>
    <row r="32" spans="2:17" x14ac:dyDescent="0.35">
      <c r="B32" s="40">
        <f>data!B37</f>
        <v>29</v>
      </c>
      <c r="C32" s="512">
        <f>data!C37</f>
        <v>2012</v>
      </c>
      <c r="D32" s="137">
        <f>data!D37</f>
        <v>50</v>
      </c>
      <c r="E32" s="515">
        <f>data!E37</f>
        <v>80466.194226778985</v>
      </c>
      <c r="F32" s="139">
        <f t="shared" si="0"/>
        <v>110100</v>
      </c>
      <c r="G32" s="518">
        <f>VLOOKUP(ss_calc!C32,NAWI_table,2,FALSE)</f>
        <v>44321.67</v>
      </c>
      <c r="H32" s="138">
        <f t="shared" si="1"/>
        <v>80466.194226778985</v>
      </c>
      <c r="I32" s="521">
        <f t="shared" si="2"/>
        <v>1.3315468875608703</v>
      </c>
      <c r="J32" s="515">
        <f t="shared" si="3"/>
        <v>107144.51047653603</v>
      </c>
      <c r="K32" s="140">
        <f>LARGE($J$4:$J$45,ROWS(J$4:J32))</f>
        <v>103584.13925599828</v>
      </c>
    </row>
    <row r="33" spans="2:11" x14ac:dyDescent="0.35">
      <c r="B33" s="40">
        <f>data!B38</f>
        <v>30</v>
      </c>
      <c r="C33" s="512">
        <f>data!C38</f>
        <v>2013</v>
      </c>
      <c r="D33" s="137">
        <f>data!D38</f>
        <v>51</v>
      </c>
      <c r="E33" s="515">
        <f>data!E38</f>
        <v>82880.180053582357</v>
      </c>
      <c r="F33" s="139">
        <f t="shared" si="0"/>
        <v>113700</v>
      </c>
      <c r="G33" s="518">
        <f>VLOOKUP(ss_calc!C33,NAWI_table,2,FALSE)</f>
        <v>44888.160000000003</v>
      </c>
      <c r="H33" s="138">
        <f t="shared" si="1"/>
        <v>82880.180053582357</v>
      </c>
      <c r="I33" s="521">
        <f t="shared" si="2"/>
        <v>1.314742723693731</v>
      </c>
      <c r="J33" s="515">
        <f t="shared" si="3"/>
        <v>108966.11366387371</v>
      </c>
      <c r="K33" s="140">
        <f>LARGE($J$4:$J$45,ROWS(J$4:J33))</f>
        <v>102895.7296157181</v>
      </c>
    </row>
    <row r="34" spans="2:11" x14ac:dyDescent="0.35">
      <c r="B34" s="40">
        <f>data!B39</f>
        <v>31</v>
      </c>
      <c r="C34" s="512">
        <f>data!C39</f>
        <v>2014</v>
      </c>
      <c r="D34" s="137">
        <f>data!D39</f>
        <v>52</v>
      </c>
      <c r="E34" s="515">
        <f>data!E39</f>
        <v>85366.585455189823</v>
      </c>
      <c r="F34" s="139">
        <f t="shared" si="0"/>
        <v>117000</v>
      </c>
      <c r="G34" s="518">
        <f>VLOOKUP(ss_calc!C34,NAWI_table,2,FALSE)</f>
        <v>46481.52</v>
      </c>
      <c r="H34" s="138">
        <f t="shared" si="1"/>
        <v>85366.585455189823</v>
      </c>
      <c r="I34" s="521">
        <f t="shared" si="2"/>
        <v>1.2696740928437797</v>
      </c>
      <c r="J34" s="515">
        <f t="shared" si="3"/>
        <v>108387.74194698915</v>
      </c>
      <c r="K34" s="140">
        <f>LARGE($J$4:$J$45,ROWS(J$4:J34))</f>
        <v>102075.02976567304</v>
      </c>
    </row>
    <row r="35" spans="2:11" x14ac:dyDescent="0.35">
      <c r="B35" s="40">
        <f>data!B40</f>
        <v>32</v>
      </c>
      <c r="C35" s="512">
        <f>data!C40</f>
        <v>2015</v>
      </c>
      <c r="D35" s="137">
        <f>data!D40</f>
        <v>53</v>
      </c>
      <c r="E35" s="515">
        <f>data!E40</f>
        <v>87927.583018845515</v>
      </c>
      <c r="F35" s="139">
        <f t="shared" si="0"/>
        <v>118500</v>
      </c>
      <c r="G35" s="518">
        <f>VLOOKUP(ss_calc!C35,NAWI_table,2,FALSE)</f>
        <v>48098.63</v>
      </c>
      <c r="H35" s="138">
        <f t="shared" si="1"/>
        <v>87927.583018845515</v>
      </c>
      <c r="I35" s="521">
        <f t="shared" si="2"/>
        <v>1.2269867507660821</v>
      </c>
      <c r="J35" s="515">
        <f t="shared" si="3"/>
        <v>107885.97939100819</v>
      </c>
      <c r="K35" s="140">
        <f>LARGE($J$4:$J$45,ROWS(J$4:J35))</f>
        <v>101381.71811360861</v>
      </c>
    </row>
    <row r="36" spans="2:11" x14ac:dyDescent="0.35">
      <c r="B36" s="40">
        <f>data!B41</f>
        <v>33</v>
      </c>
      <c r="C36" s="512">
        <f>data!C41</f>
        <v>2016</v>
      </c>
      <c r="D36" s="137">
        <f>data!D41</f>
        <v>54</v>
      </c>
      <c r="E36" s="515">
        <f>data!E41</f>
        <v>0</v>
      </c>
      <c r="F36" s="139">
        <f t="shared" si="0"/>
        <v>118500</v>
      </c>
      <c r="G36" s="518">
        <f>VLOOKUP(ss_calc!C36,NAWI_table,2,FALSE)</f>
        <v>48642.15</v>
      </c>
      <c r="H36" s="138">
        <f t="shared" si="1"/>
        <v>0</v>
      </c>
      <c r="I36" s="521">
        <f t="shared" si="2"/>
        <v>1.2132765870752011</v>
      </c>
      <c r="J36" s="515">
        <f t="shared" si="3"/>
        <v>0</v>
      </c>
      <c r="K36" s="140">
        <f>LARGE($J$4:$J$45,ROWS(J$4:J36))</f>
        <v>62392.130678825997</v>
      </c>
    </row>
    <row r="37" spans="2:11" x14ac:dyDescent="0.35">
      <c r="B37" s="40">
        <f>data!B42</f>
        <v>34</v>
      </c>
      <c r="C37" s="512">
        <f>data!C42</f>
        <v>2017</v>
      </c>
      <c r="D37" s="137">
        <f>data!D42</f>
        <v>55</v>
      </c>
      <c r="E37" s="515">
        <f>data!E42</f>
        <v>0</v>
      </c>
      <c r="F37" s="139">
        <f t="shared" si="0"/>
        <v>127200</v>
      </c>
      <c r="G37" s="518">
        <f>VLOOKUP(ss_calc!C37,NAWI_table,2,FALSE)</f>
        <v>50321.89</v>
      </c>
      <c r="H37" s="138">
        <f t="shared" si="1"/>
        <v>0</v>
      </c>
      <c r="I37" s="521">
        <f t="shared" si="2"/>
        <v>1.1727775276326067</v>
      </c>
      <c r="J37" s="515">
        <f t="shared" si="3"/>
        <v>0</v>
      </c>
      <c r="K37" s="140">
        <f>LARGE($J$4:$J$45,ROWS(J$4:J37))</f>
        <v>60574.884154199994</v>
      </c>
    </row>
    <row r="38" spans="2:11" x14ac:dyDescent="0.35">
      <c r="B38" s="40">
        <f>data!B43</f>
        <v>35</v>
      </c>
      <c r="C38" s="512">
        <f>data!C43</f>
        <v>2018</v>
      </c>
      <c r="D38" s="137">
        <f>data!D43</f>
        <v>56</v>
      </c>
      <c r="E38" s="515">
        <f>data!E43</f>
        <v>0</v>
      </c>
      <c r="F38" s="139">
        <f t="shared" si="0"/>
        <v>128400</v>
      </c>
      <c r="G38" s="518">
        <f>VLOOKUP(ss_calc!C38,NAWI_table,2,FALSE)</f>
        <v>52145.8</v>
      </c>
      <c r="H38" s="138">
        <f t="shared" si="1"/>
        <v>0</v>
      </c>
      <c r="I38" s="521">
        <f t="shared" si="2"/>
        <v>1.1317571451583828</v>
      </c>
      <c r="J38" s="515">
        <f t="shared" si="3"/>
        <v>0</v>
      </c>
      <c r="K38" s="140">
        <f>LARGE($J$4:$J$45,ROWS(J$4:J38))</f>
        <v>58810.567139999992</v>
      </c>
    </row>
    <row r="39" spans="2:11" x14ac:dyDescent="0.35">
      <c r="B39" s="40">
        <f>data!B44</f>
        <v>36</v>
      </c>
      <c r="C39" s="512">
        <f>data!C44</f>
        <v>2019</v>
      </c>
      <c r="D39" s="137">
        <f>data!D44</f>
        <v>57</v>
      </c>
      <c r="E39" s="515">
        <f>data!E44</f>
        <v>52000</v>
      </c>
      <c r="F39" s="139">
        <f t="shared" si="0"/>
        <v>132900</v>
      </c>
      <c r="G39" s="518">
        <f>VLOOKUP(ss_calc!C39,NAWI_table,2,FALSE)</f>
        <v>54099.99</v>
      </c>
      <c r="H39" s="138">
        <f t="shared" si="1"/>
        <v>52000</v>
      </c>
      <c r="I39" s="521">
        <f t="shared" si="2"/>
        <v>1.0908760193855858</v>
      </c>
      <c r="J39" s="515">
        <f t="shared" si="3"/>
        <v>56725.553008050461</v>
      </c>
      <c r="K39" s="141"/>
    </row>
    <row r="40" spans="2:11" x14ac:dyDescent="0.35">
      <c r="B40" s="40">
        <f>data!B45</f>
        <v>37</v>
      </c>
      <c r="C40" s="512">
        <f>data!C45</f>
        <v>2020</v>
      </c>
      <c r="D40" s="137">
        <f>data!D45</f>
        <v>58</v>
      </c>
      <c r="E40" s="515">
        <f>data!E45</f>
        <v>53819.999999999993</v>
      </c>
      <c r="F40" s="139">
        <f t="shared" si="0"/>
        <v>137700</v>
      </c>
      <c r="G40" s="518">
        <f>VLOOKUP(ss_calc!C40,NAWI_table,2,FALSE)</f>
        <v>55628.6</v>
      </c>
      <c r="H40" s="138">
        <f t="shared" si="1"/>
        <v>53819.999999999993</v>
      </c>
      <c r="I40" s="521">
        <f t="shared" si="2"/>
        <v>1.0609</v>
      </c>
      <c r="J40" s="515">
        <f t="shared" si="3"/>
        <v>57097.637999999992</v>
      </c>
      <c r="K40" s="141"/>
    </row>
    <row r="41" spans="2:11" x14ac:dyDescent="0.35">
      <c r="B41" s="40">
        <f>data!B46</f>
        <v>38</v>
      </c>
      <c r="C41" s="512">
        <f>data!C46</f>
        <v>2021</v>
      </c>
      <c r="D41" s="137">
        <f>data!D46</f>
        <v>59</v>
      </c>
      <c r="E41" s="515">
        <f>data!E46</f>
        <v>55434.599999999991</v>
      </c>
      <c r="F41" s="139">
        <f t="shared" si="0"/>
        <v>141831</v>
      </c>
      <c r="G41" s="518">
        <f>VLOOKUP(ss_calc!C41,NAWI_table,2,FALSE)</f>
        <v>57297.457999999999</v>
      </c>
      <c r="H41" s="180">
        <f t="shared" si="1"/>
        <v>55434.599999999991</v>
      </c>
      <c r="I41" s="521">
        <f t="shared" si="2"/>
        <v>1.03</v>
      </c>
      <c r="J41" s="515">
        <f t="shared" si="3"/>
        <v>57097.637999999992</v>
      </c>
      <c r="K41" s="141"/>
    </row>
    <row r="42" spans="2:11" x14ac:dyDescent="0.35">
      <c r="B42" s="142">
        <f>data!B47</f>
        <v>39</v>
      </c>
      <c r="C42" s="513">
        <f>data!C47</f>
        <v>2022</v>
      </c>
      <c r="D42" s="143">
        <f>data!D47</f>
        <v>60</v>
      </c>
      <c r="E42" s="516">
        <f>data!E47</f>
        <v>57097.637999999992</v>
      </c>
      <c r="F42" s="179">
        <f t="shared" si="0"/>
        <v>146085.93</v>
      </c>
      <c r="G42" s="519">
        <f>VLOOKUP(ss_calc!C42,NAWI_table,2,FALSE)</f>
        <v>59016.381739999997</v>
      </c>
      <c r="H42" s="181">
        <f t="shared" si="1"/>
        <v>57097.637999999992</v>
      </c>
      <c r="I42" s="521">
        <f t="shared" si="2"/>
        <v>1</v>
      </c>
      <c r="J42" s="516">
        <f t="shared" si="3"/>
        <v>57097.637999999992</v>
      </c>
      <c r="K42" s="141"/>
    </row>
    <row r="43" spans="2:11" x14ac:dyDescent="0.35">
      <c r="B43" s="40">
        <f>data!B48</f>
        <v>40</v>
      </c>
      <c r="C43" s="512">
        <f>data!C48</f>
        <v>2023</v>
      </c>
      <c r="D43" s="137">
        <f>data!D48</f>
        <v>61</v>
      </c>
      <c r="E43" s="515">
        <f>data!E48</f>
        <v>58810.567139999992</v>
      </c>
      <c r="F43" s="179">
        <f t="shared" si="0"/>
        <v>150468.5079</v>
      </c>
      <c r="G43" s="519">
        <f>VLOOKUP(ss_calc!C43,NAWI_table,2,FALSE)</f>
        <v>60786.873192200001</v>
      </c>
      <c r="H43" s="180">
        <f t="shared" si="1"/>
        <v>58810.567139999992</v>
      </c>
      <c r="I43" s="521">
        <f t="shared" si="2"/>
        <v>1</v>
      </c>
      <c r="J43" s="515">
        <f t="shared" si="3"/>
        <v>58810.567139999992</v>
      </c>
      <c r="K43" s="141"/>
    </row>
    <row r="44" spans="2:11" x14ac:dyDescent="0.35">
      <c r="B44" s="40">
        <f>data!B49</f>
        <v>41</v>
      </c>
      <c r="C44" s="512">
        <f>data!C49</f>
        <v>2024</v>
      </c>
      <c r="D44" s="137">
        <f>data!D49</f>
        <v>62</v>
      </c>
      <c r="E44" s="515">
        <f>data!E49</f>
        <v>60574.884154199994</v>
      </c>
      <c r="F44" s="179">
        <f t="shared" si="0"/>
        <v>154982.56313699999</v>
      </c>
      <c r="G44" s="519">
        <f>VLOOKUP(ss_calc!C44,NAWI_table,2,FALSE)</f>
        <v>62610.479387965999</v>
      </c>
      <c r="H44" s="180">
        <f t="shared" si="1"/>
        <v>60574.884154199994</v>
      </c>
      <c r="I44" s="521">
        <f t="shared" si="2"/>
        <v>1</v>
      </c>
      <c r="J44" s="515">
        <f t="shared" si="3"/>
        <v>60574.884154199994</v>
      </c>
      <c r="K44" s="141"/>
    </row>
    <row r="45" spans="2:11" ht="15" thickBot="1" x14ac:dyDescent="0.4">
      <c r="B45" s="48">
        <f>data!B50</f>
        <v>42</v>
      </c>
      <c r="C45" s="523">
        <f>data!C50</f>
        <v>2025</v>
      </c>
      <c r="D45" s="144">
        <f>data!D50</f>
        <v>63</v>
      </c>
      <c r="E45" s="524">
        <f>data!E50</f>
        <v>62392.130678825997</v>
      </c>
      <c r="F45" s="182">
        <f t="shared" si="0"/>
        <v>159632.04003110999</v>
      </c>
      <c r="G45" s="525">
        <f>VLOOKUP(ss_calc!C45,NAWI_table,2,FALSE)</f>
        <v>64488.793769604978</v>
      </c>
      <c r="H45" s="183">
        <f t="shared" si="1"/>
        <v>62392.130678825997</v>
      </c>
      <c r="I45" s="526">
        <f t="shared" si="2"/>
        <v>1</v>
      </c>
      <c r="J45" s="524">
        <f t="shared" si="3"/>
        <v>62392.130678825997</v>
      </c>
      <c r="K45" s="145"/>
    </row>
    <row r="47" spans="2:11" x14ac:dyDescent="0.35">
      <c r="B47" s="465"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98291-C347-49ED-ACDA-1A56D5DB856E}">
  <sheetPr>
    <tabColor theme="9" tint="0.79998168889431442"/>
  </sheetPr>
  <dimension ref="A1:AE75"/>
  <sheetViews>
    <sheetView zoomScale="77" workbookViewId="0">
      <pane ySplit="1" topLeftCell="A2" activePane="bottomLeft" state="frozen"/>
      <selection pane="bottomLeft" activeCell="B60" sqref="B60"/>
    </sheetView>
  </sheetViews>
  <sheetFormatPr defaultRowHeight="14.5" x14ac:dyDescent="0.35"/>
  <cols>
    <col min="1" max="1" width="8.7265625" style="1"/>
    <col min="2" max="3" width="13.36328125" style="1" customWidth="1"/>
    <col min="4" max="4" width="17.54296875" style="1" customWidth="1"/>
    <col min="5" max="5" width="11.1796875" style="1" customWidth="1"/>
    <col min="6" max="6" width="11.36328125" style="1" customWidth="1"/>
    <col min="7" max="7" width="15.26953125" style="1" customWidth="1"/>
    <col min="8" max="8" width="16.7265625" style="1" customWidth="1"/>
    <col min="9" max="9" width="12.54296875" style="1" customWidth="1"/>
    <col min="10" max="10" width="8.7265625" style="1"/>
    <col min="11" max="11" width="9.453125" style="1" customWidth="1"/>
    <col min="12" max="12" width="8.7265625" style="1"/>
    <col min="13" max="13" width="13.54296875" style="1" customWidth="1"/>
    <col min="14" max="14" width="14.81640625" style="1" customWidth="1"/>
    <col min="15" max="15" width="9.90625" style="1" customWidth="1"/>
    <col min="16" max="16" width="10.6328125" style="1" customWidth="1"/>
    <col min="17" max="16384" width="8.7265625" style="1"/>
  </cols>
  <sheetData>
    <row r="1" spans="1:12" x14ac:dyDescent="0.35">
      <c r="A1" s="56" t="s">
        <v>452</v>
      </c>
    </row>
    <row r="2" spans="1:12" x14ac:dyDescent="0.35">
      <c r="D2" s="559" t="s">
        <v>154</v>
      </c>
      <c r="E2" s="560"/>
      <c r="F2" s="560"/>
      <c r="G2" s="560"/>
      <c r="H2" s="561"/>
      <c r="J2" s="151" t="s">
        <v>258</v>
      </c>
      <c r="K2" s="1" t="s">
        <v>239</v>
      </c>
    </row>
    <row r="3" spans="1:12" x14ac:dyDescent="0.35">
      <c r="D3" s="83" t="s">
        <v>241</v>
      </c>
      <c r="E3" s="84">
        <v>62</v>
      </c>
      <c r="F3" s="84"/>
      <c r="G3" s="84" t="s">
        <v>238</v>
      </c>
      <c r="H3" s="227">
        <v>0.03</v>
      </c>
      <c r="K3" s="1" t="s">
        <v>240</v>
      </c>
    </row>
    <row r="4" spans="1:12" x14ac:dyDescent="0.35">
      <c r="D4" s="73" t="s">
        <v>237</v>
      </c>
      <c r="E4" s="74">
        <v>67</v>
      </c>
      <c r="F4" s="74"/>
      <c r="G4" s="74" t="s">
        <v>242</v>
      </c>
      <c r="H4" s="201">
        <f>20/3/100</f>
        <v>6.6666666666666666E-2</v>
      </c>
      <c r="L4" s="1" t="s">
        <v>301</v>
      </c>
    </row>
    <row r="5" spans="1:12" x14ac:dyDescent="0.35">
      <c r="D5" s="73" t="s">
        <v>235</v>
      </c>
      <c r="E5" s="74">
        <v>63</v>
      </c>
      <c r="F5" s="74"/>
      <c r="G5" s="74" t="s">
        <v>160</v>
      </c>
      <c r="H5" s="75">
        <f>ss_calc!N5</f>
        <v>3085.6984439999997</v>
      </c>
      <c r="L5" s="1" t="s">
        <v>302</v>
      </c>
    </row>
    <row r="6" spans="1:12" x14ac:dyDescent="0.35">
      <c r="D6" s="77" t="s">
        <v>236</v>
      </c>
      <c r="E6" s="78">
        <v>67</v>
      </c>
      <c r="F6" s="78"/>
      <c r="G6" s="78" t="s">
        <v>243</v>
      </c>
      <c r="H6" s="79">
        <f>H5*(1+H3)^(E4-E3)*((1-H4*(E4-E6)))</f>
        <v>3577.1702072370495</v>
      </c>
      <c r="L6" s="1" t="s">
        <v>303</v>
      </c>
    </row>
    <row r="7" spans="1:12" x14ac:dyDescent="0.35">
      <c r="K7" s="1" t="s">
        <v>251</v>
      </c>
    </row>
    <row r="9" spans="1:12" x14ac:dyDescent="0.35">
      <c r="B9" s="562" t="s">
        <v>427</v>
      </c>
      <c r="C9" s="563"/>
      <c r="D9" s="563"/>
      <c r="E9" s="563"/>
      <c r="F9" s="563"/>
      <c r="G9" s="563"/>
      <c r="H9" s="563"/>
      <c r="I9" s="563"/>
      <c r="J9" s="564"/>
    </row>
    <row r="11" spans="1:12" s="89" customFormat="1" x14ac:dyDescent="0.35">
      <c r="A11" s="194" t="s">
        <v>239</v>
      </c>
      <c r="B11" s="195"/>
    </row>
    <row r="13" spans="1:12" x14ac:dyDescent="0.35">
      <c r="B13" s="196" t="s">
        <v>156</v>
      </c>
      <c r="C13" s="196" t="s">
        <v>438</v>
      </c>
      <c r="D13" s="197" t="s">
        <v>243</v>
      </c>
      <c r="E13" s="198" t="s">
        <v>213</v>
      </c>
      <c r="G13" s="83" t="s">
        <v>244</v>
      </c>
      <c r="H13" s="84"/>
      <c r="I13" s="84"/>
      <c r="J13" s="84"/>
      <c r="K13" s="85"/>
    </row>
    <row r="14" spans="1:12" x14ac:dyDescent="0.35">
      <c r="A14" s="500" t="s">
        <v>126</v>
      </c>
      <c r="B14" s="73">
        <v>62</v>
      </c>
      <c r="C14" s="73">
        <f>$B$24-B14</f>
        <v>5</v>
      </c>
      <c r="D14" s="76">
        <f t="shared" ref="D14:D24" si="0">$H$5*((1+$H$3)^(B14-$E$3))*(1-$H$4*($E$4-B14))</f>
        <v>2057.1322960000002</v>
      </c>
      <c r="E14" s="199">
        <f t="shared" ref="E14:E24" si="1">(D14-$H$6)/$H$6</f>
        <v>-0.42492747707722378</v>
      </c>
      <c r="G14" s="73" t="s">
        <v>259</v>
      </c>
      <c r="H14" s="74"/>
      <c r="I14" s="74"/>
      <c r="J14" s="74"/>
      <c r="K14" s="86"/>
    </row>
    <row r="15" spans="1:12" x14ac:dyDescent="0.35">
      <c r="B15" s="73">
        <f>B14+0.5</f>
        <v>62.5</v>
      </c>
      <c r="C15" s="73">
        <f t="shared" ref="C15:C24" si="2">$B$24-B15</f>
        <v>4.5</v>
      </c>
      <c r="D15" s="76">
        <f t="shared" si="0"/>
        <v>2192.1493237510849</v>
      </c>
      <c r="E15" s="199">
        <f t="shared" si="1"/>
        <v>-0.38718338889323722</v>
      </c>
      <c r="G15" s="77" t="s">
        <v>300</v>
      </c>
      <c r="H15" s="78"/>
      <c r="I15" s="78"/>
      <c r="J15" s="78"/>
      <c r="K15" s="87"/>
    </row>
    <row r="16" spans="1:12" x14ac:dyDescent="0.35">
      <c r="B16" s="73">
        <f t="shared" ref="B16:B24" si="3">B15+0.5</f>
        <v>63</v>
      </c>
      <c r="C16" s="73">
        <f t="shared" si="2"/>
        <v>4</v>
      </c>
      <c r="D16" s="76">
        <f t="shared" si="0"/>
        <v>2330.7308913679999</v>
      </c>
      <c r="E16" s="199">
        <f t="shared" si="1"/>
        <v>-0.34844283152849465</v>
      </c>
    </row>
    <row r="17" spans="1:17" x14ac:dyDescent="0.35">
      <c r="B17" s="73">
        <f t="shared" si="3"/>
        <v>63.5</v>
      </c>
      <c r="C17" s="73">
        <f t="shared" si="2"/>
        <v>3.5</v>
      </c>
      <c r="D17" s="76">
        <f t="shared" si="0"/>
        <v>2472.9532133172952</v>
      </c>
      <c r="E17" s="199">
        <f t="shared" si="1"/>
        <v>-0.30868449918479957</v>
      </c>
    </row>
    <row r="18" spans="1:17" x14ac:dyDescent="0.35">
      <c r="B18" s="73">
        <f t="shared" si="3"/>
        <v>64</v>
      </c>
      <c r="C18" s="73">
        <f t="shared" si="2"/>
        <v>3</v>
      </c>
      <c r="D18" s="76">
        <f t="shared" si="0"/>
        <v>2618.8939833916797</v>
      </c>
      <c r="E18" s="199">
        <f t="shared" si="1"/>
        <v>-0.26788667251747222</v>
      </c>
      <c r="G18" s="83" t="s">
        <v>429</v>
      </c>
      <c r="H18" s="84"/>
      <c r="I18" s="84"/>
      <c r="J18" s="84"/>
      <c r="K18" s="84"/>
      <c r="L18" s="84"/>
      <c r="M18" s="84"/>
      <c r="N18" s="85"/>
    </row>
    <row r="19" spans="1:17" x14ac:dyDescent="0.35">
      <c r="B19" s="73">
        <f t="shared" si="3"/>
        <v>64.5</v>
      </c>
      <c r="C19" s="73">
        <f t="shared" si="2"/>
        <v>2.5</v>
      </c>
      <c r="D19" s="76">
        <f t="shared" si="0"/>
        <v>2768.6324018661021</v>
      </c>
      <c r="E19" s="199">
        <f t="shared" si="1"/>
        <v>-0.22602721104385171</v>
      </c>
      <c r="G19" s="77" t="s">
        <v>428</v>
      </c>
      <c r="H19" s="78"/>
      <c r="I19" s="78"/>
      <c r="J19" s="78"/>
      <c r="K19" s="78"/>
      <c r="L19" s="78"/>
      <c r="M19" s="78"/>
      <c r="N19" s="87"/>
    </row>
    <row r="20" spans="1:17" x14ac:dyDescent="0.35">
      <c r="B20" s="73">
        <f t="shared" si="3"/>
        <v>65</v>
      </c>
      <c r="C20" s="73">
        <f t="shared" si="2"/>
        <v>2</v>
      </c>
      <c r="D20" s="76">
        <f t="shared" si="0"/>
        <v>2922.2492031345491</v>
      </c>
      <c r="E20" s="199">
        <f t="shared" si="1"/>
        <v>-0.18308354541741281</v>
      </c>
      <c r="H20" s="184"/>
    </row>
    <row r="21" spans="1:17" x14ac:dyDescent="0.35">
      <c r="B21" s="73">
        <f t="shared" si="3"/>
        <v>65.5</v>
      </c>
      <c r="C21" s="73">
        <f t="shared" si="2"/>
        <v>1.5</v>
      </c>
      <c r="D21" s="76">
        <f t="shared" si="0"/>
        <v>3079.8266838358522</v>
      </c>
      <c r="E21" s="199">
        <f t="shared" si="1"/>
        <v>-0.13903266956518057</v>
      </c>
      <c r="G21" s="1" t="s">
        <v>439</v>
      </c>
    </row>
    <row r="22" spans="1:17" x14ac:dyDescent="0.35">
      <c r="B22" s="73">
        <f t="shared" si="3"/>
        <v>66</v>
      </c>
      <c r="C22" s="73">
        <f t="shared" si="2"/>
        <v>1</v>
      </c>
      <c r="D22" s="76">
        <f t="shared" si="0"/>
        <v>3241.4487314769385</v>
      </c>
      <c r="E22" s="199">
        <f t="shared" si="1"/>
        <v>-9.3851132686083999E-2</v>
      </c>
    </row>
    <row r="23" spans="1:17" x14ac:dyDescent="0.35">
      <c r="B23" s="73">
        <f t="shared" si="3"/>
        <v>66.5</v>
      </c>
      <c r="C23" s="73">
        <f t="shared" si="2"/>
        <v>0.5</v>
      </c>
      <c r="D23" s="76">
        <f t="shared" si="0"/>
        <v>3407.200853562108</v>
      </c>
      <c r="E23" s="199">
        <f t="shared" si="1"/>
        <v>-4.7515031107849666E-2</v>
      </c>
    </row>
    <row r="24" spans="1:17" x14ac:dyDescent="0.35">
      <c r="B24" s="77">
        <f t="shared" si="3"/>
        <v>67</v>
      </c>
      <c r="C24" s="73">
        <f t="shared" si="2"/>
        <v>0</v>
      </c>
      <c r="D24" s="94">
        <f t="shared" si="0"/>
        <v>3577.1702072370495</v>
      </c>
      <c r="E24" s="200">
        <f t="shared" si="1"/>
        <v>0</v>
      </c>
    </row>
    <row r="25" spans="1:17" x14ac:dyDescent="0.35">
      <c r="B25" s="556" t="s">
        <v>143</v>
      </c>
      <c r="C25" s="557"/>
      <c r="D25" s="557"/>
      <c r="E25" s="558"/>
    </row>
    <row r="26" spans="1:17" x14ac:dyDescent="0.35">
      <c r="B26" s="202" t="s">
        <v>233</v>
      </c>
      <c r="C26" s="204"/>
      <c r="D26" s="204"/>
      <c r="E26" s="265" cm="1">
        <f t="array" ref="E26">AVERAGE(ABS(E14:E23))</f>
        <v>0.2426634459021606</v>
      </c>
    </row>
    <row r="28" spans="1:17" s="89" customFormat="1" x14ac:dyDescent="0.35">
      <c r="A28" s="194" t="s">
        <v>515</v>
      </c>
      <c r="B28" s="195"/>
      <c r="C28" s="504"/>
    </row>
    <row r="29" spans="1:17" x14ac:dyDescent="0.35">
      <c r="B29" s="1" t="s">
        <v>248</v>
      </c>
      <c r="G29" s="1" t="s">
        <v>249</v>
      </c>
      <c r="L29" s="6" t="s">
        <v>337</v>
      </c>
    </row>
    <row r="30" spans="1:17" x14ac:dyDescent="0.35">
      <c r="B30" s="202" t="s">
        <v>250</v>
      </c>
      <c r="C30" s="202" t="s">
        <v>440</v>
      </c>
      <c r="D30" s="203" t="s">
        <v>245</v>
      </c>
      <c r="E30" s="205" t="s">
        <v>213</v>
      </c>
      <c r="G30" s="202" t="s">
        <v>250</v>
      </c>
      <c r="H30" s="203" t="s">
        <v>245</v>
      </c>
      <c r="I30" s="198" t="s">
        <v>213</v>
      </c>
      <c r="L30" s="196" t="s">
        <v>250</v>
      </c>
      <c r="M30" s="197" t="s">
        <v>156</v>
      </c>
      <c r="N30" s="198" t="s">
        <v>335</v>
      </c>
      <c r="O30" s="197" t="s">
        <v>213</v>
      </c>
      <c r="P30" s="1" t="s">
        <v>232</v>
      </c>
      <c r="Q30" s="1" t="s">
        <v>350</v>
      </c>
    </row>
    <row r="31" spans="1:17" x14ac:dyDescent="0.35">
      <c r="B31" s="73">
        <v>67</v>
      </c>
      <c r="C31" s="73">
        <f>B31-$B$31</f>
        <v>0</v>
      </c>
      <c r="D31" s="76">
        <f t="shared" ref="D31:D41" si="4">$H$5*((1+$H$3)^($E$6-$E$3))*(1-$H$4*(B31-$E$6))</f>
        <v>3577.1702072370495</v>
      </c>
      <c r="E31" s="199">
        <f>(D31-$D$31)/$D$31</f>
        <v>0</v>
      </c>
      <c r="G31" s="73">
        <v>67</v>
      </c>
      <c r="H31" s="76">
        <f t="shared" ref="H31:H41" si="5">$H$5*((1+$H$3)^(G31-$E$3))*(1-$H$4*(G31-G31))</f>
        <v>3577.1702072370495</v>
      </c>
      <c r="I31" s="199">
        <f>(H31-$D$31)/$D$31</f>
        <v>0</v>
      </c>
      <c r="L31" s="386">
        <v>67</v>
      </c>
      <c r="M31" s="80">
        <v>63</v>
      </c>
      <c r="N31" s="389">
        <f>$H$5*((1+$H$3)^(M31-$E$3))*(1-$H$4*($L$31-M31))</f>
        <v>2330.7308913679999</v>
      </c>
      <c r="O31" s="390">
        <f>(N31-$H$6)/$H$6</f>
        <v>-0.34844283152849465</v>
      </c>
      <c r="P31"/>
      <c r="Q31" s="224">
        <f>AVERAGE(P35,P41,P48,P56,P65,P75)</f>
        <v>0.24475889196865039</v>
      </c>
    </row>
    <row r="32" spans="1:17" x14ac:dyDescent="0.35">
      <c r="B32" s="73">
        <f>B31+0.5</f>
        <v>67.5</v>
      </c>
      <c r="C32" s="73">
        <f t="shared" ref="C32:C41" si="6">B32-$B$31</f>
        <v>0.5</v>
      </c>
      <c r="D32" s="76">
        <f t="shared" si="4"/>
        <v>3457.9312003291479</v>
      </c>
      <c r="E32" s="199">
        <f t="shared" ref="E32:E41" si="7">(D32-$D$31)/$D$31</f>
        <v>-3.3333333333333298E-2</v>
      </c>
      <c r="G32" s="73">
        <f>G31+0.5</f>
        <v>67.5</v>
      </c>
      <c r="H32" s="76">
        <f t="shared" si="5"/>
        <v>3630.4312543127289</v>
      </c>
      <c r="I32" s="199">
        <f t="shared" ref="I32:I41" si="8">(H32-$D$31)/$D$31</f>
        <v>1.4889156509222264E-2</v>
      </c>
      <c r="L32" s="387"/>
      <c r="M32" s="81">
        <f>M31+1</f>
        <v>64</v>
      </c>
      <c r="N32" s="75">
        <f>$H$5*((1+$H$3)^(M32-$E$3))*(1-$H$4*($L$31-M32))</f>
        <v>2618.8939833916797</v>
      </c>
      <c r="O32" s="391">
        <f t="shared" ref="O32:O75" si="9">(N32-$H$6)/$H$6</f>
        <v>-0.26788667251747222</v>
      </c>
      <c r="P32" s="184"/>
      <c r="Q32" s="1" t="s">
        <v>434</v>
      </c>
    </row>
    <row r="33" spans="1:31" x14ac:dyDescent="0.35">
      <c r="B33" s="73">
        <f t="shared" ref="B33:B41" si="10">B32+0.5</f>
        <v>68</v>
      </c>
      <c r="C33" s="73">
        <f t="shared" si="6"/>
        <v>1</v>
      </c>
      <c r="D33" s="76">
        <f t="shared" si="4"/>
        <v>3338.6921934212464</v>
      </c>
      <c r="E33" s="199">
        <f t="shared" si="7"/>
        <v>-6.6666666666666596E-2</v>
      </c>
      <c r="G33" s="73">
        <f t="shared" ref="G33:G41" si="11">G32+0.5</f>
        <v>68</v>
      </c>
      <c r="H33" s="76">
        <f t="shared" si="5"/>
        <v>3684.4853134541613</v>
      </c>
      <c r="I33" s="199">
        <f t="shared" si="8"/>
        <v>3.0000000000000106E-2</v>
      </c>
      <c r="L33" s="387"/>
      <c r="M33" s="81">
        <f t="shared" ref="M33:M35" si="12">M32+1</f>
        <v>65</v>
      </c>
      <c r="N33" s="75">
        <f>$H$5*((1+$H$3)^(M33-$E$3))*(1-$H$4*($L$31-M33))</f>
        <v>2922.2492031345491</v>
      </c>
      <c r="O33" s="391">
        <f t="shared" si="9"/>
        <v>-0.18308354541741281</v>
      </c>
    </row>
    <row r="34" spans="1:31" x14ac:dyDescent="0.35">
      <c r="B34" s="73">
        <f t="shared" si="10"/>
        <v>68.5</v>
      </c>
      <c r="C34" s="73">
        <f t="shared" si="6"/>
        <v>1.5</v>
      </c>
      <c r="D34" s="76">
        <f t="shared" si="4"/>
        <v>3219.4531865133445</v>
      </c>
      <c r="E34" s="199">
        <f t="shared" si="7"/>
        <v>-0.10000000000000002</v>
      </c>
      <c r="G34" s="73">
        <f t="shared" si="11"/>
        <v>68.5</v>
      </c>
      <c r="H34" s="76">
        <f t="shared" si="5"/>
        <v>3739.3441919421111</v>
      </c>
      <c r="I34" s="199">
        <f t="shared" si="8"/>
        <v>4.5335831204499029E-2</v>
      </c>
      <c r="L34" s="387"/>
      <c r="M34" s="81">
        <f t="shared" si="12"/>
        <v>66</v>
      </c>
      <c r="N34" s="75">
        <f>$H$5*((1+$H$3)^(M34-$E$3))*(1-$H$4*($L$31-M34))</f>
        <v>3241.4487314769385</v>
      </c>
      <c r="O34" s="391">
        <f t="shared" si="9"/>
        <v>-9.3851132686083999E-2</v>
      </c>
      <c r="AE34" s="1" t="s">
        <v>336</v>
      </c>
    </row>
    <row r="35" spans="1:31" x14ac:dyDescent="0.35">
      <c r="B35" s="73">
        <f t="shared" si="10"/>
        <v>69</v>
      </c>
      <c r="C35" s="73">
        <f t="shared" si="6"/>
        <v>2</v>
      </c>
      <c r="D35" s="76">
        <f t="shared" si="4"/>
        <v>3100.214179605443</v>
      </c>
      <c r="E35" s="199">
        <f t="shared" si="7"/>
        <v>-0.1333333333333333</v>
      </c>
      <c r="G35" s="73">
        <f t="shared" si="11"/>
        <v>69</v>
      </c>
      <c r="H35" s="76">
        <f t="shared" si="5"/>
        <v>3795.0198728577861</v>
      </c>
      <c r="I35" s="199">
        <f t="shared" si="8"/>
        <v>6.0900000000000107E-2</v>
      </c>
      <c r="L35" s="388"/>
      <c r="M35" s="82">
        <f t="shared" si="12"/>
        <v>67</v>
      </c>
      <c r="N35" s="79">
        <f>$H$5*((1+$H$3)^(M35-$E$3))*(1-$H$4*($L$31-M35))</f>
        <v>3577.1702072370495</v>
      </c>
      <c r="O35" s="392">
        <f t="shared" si="9"/>
        <v>0</v>
      </c>
      <c r="P35" s="223" cm="1">
        <f t="array" ref="P35">AVERAGE(ABS(O31:O34),O35)</f>
        <v>0.17865283642989274</v>
      </c>
    </row>
    <row r="36" spans="1:31" x14ac:dyDescent="0.35">
      <c r="B36" s="73">
        <f t="shared" si="10"/>
        <v>69.5</v>
      </c>
      <c r="C36" s="73">
        <f t="shared" si="6"/>
        <v>2.5</v>
      </c>
      <c r="D36" s="76">
        <f t="shared" si="4"/>
        <v>2980.9751726975414</v>
      </c>
      <c r="E36" s="199">
        <f t="shared" si="7"/>
        <v>-0.1666666666666666</v>
      </c>
      <c r="G36" s="73">
        <f t="shared" si="11"/>
        <v>69.5</v>
      </c>
      <c r="H36" s="76">
        <f t="shared" si="5"/>
        <v>3851.5245177003744</v>
      </c>
      <c r="I36" s="199">
        <f t="shared" si="8"/>
        <v>7.6695906140633985E-2</v>
      </c>
      <c r="L36" s="387">
        <v>68</v>
      </c>
      <c r="M36" s="81">
        <f>M31</f>
        <v>63</v>
      </c>
      <c r="N36" s="75">
        <f t="shared" ref="N36:N41" si="13">$H$5*((1+$H$3)^(M36-$E$3))*(1-$H$4*($L$36-M36))</f>
        <v>2118.84626488</v>
      </c>
      <c r="O36" s="390">
        <f t="shared" si="9"/>
        <v>-0.40767530138954056</v>
      </c>
      <c r="P36"/>
    </row>
    <row r="37" spans="1:31" x14ac:dyDescent="0.35">
      <c r="B37" s="73">
        <f t="shared" si="10"/>
        <v>70</v>
      </c>
      <c r="C37" s="73">
        <f t="shared" si="6"/>
        <v>3</v>
      </c>
      <c r="D37" s="76">
        <f t="shared" si="4"/>
        <v>2861.7361657896399</v>
      </c>
      <c r="E37" s="199">
        <f t="shared" si="7"/>
        <v>-0.1999999999999999</v>
      </c>
      <c r="G37" s="73">
        <f t="shared" si="11"/>
        <v>70</v>
      </c>
      <c r="H37" s="76">
        <f t="shared" si="5"/>
        <v>3908.8704690435193</v>
      </c>
      <c r="I37" s="199">
        <f t="shared" si="8"/>
        <v>9.272699999999999E-2</v>
      </c>
      <c r="L37" s="387"/>
      <c r="M37" s="81">
        <f t="shared" ref="M37:M40" si="14">M32</f>
        <v>64</v>
      </c>
      <c r="N37" s="75">
        <f t="shared" si="13"/>
        <v>2400.6528181090398</v>
      </c>
      <c r="O37" s="391">
        <f t="shared" si="9"/>
        <v>-0.32889611647434952</v>
      </c>
    </row>
    <row r="38" spans="1:31" x14ac:dyDescent="0.35">
      <c r="B38" s="73">
        <f t="shared" si="10"/>
        <v>70.5</v>
      </c>
      <c r="C38" s="73">
        <f t="shared" si="6"/>
        <v>3.5</v>
      </c>
      <c r="D38" s="76">
        <f t="shared" si="4"/>
        <v>2742.4971588817375</v>
      </c>
      <c r="E38" s="199">
        <f t="shared" si="7"/>
        <v>-0.23333333333333345</v>
      </c>
      <c r="G38" s="73">
        <f t="shared" si="11"/>
        <v>70.5</v>
      </c>
      <c r="H38" s="76">
        <f t="shared" si="5"/>
        <v>3967.0702532313858</v>
      </c>
      <c r="I38" s="199">
        <f t="shared" si="8"/>
        <v>0.10899678332485303</v>
      </c>
      <c r="L38" s="387"/>
      <c r="M38" s="81">
        <f t="shared" si="14"/>
        <v>65</v>
      </c>
      <c r="N38" s="75">
        <f t="shared" si="13"/>
        <v>2697.4608028934304</v>
      </c>
      <c r="O38" s="391">
        <f t="shared" si="9"/>
        <v>-0.24592327269299633</v>
      </c>
    </row>
    <row r="39" spans="1:31" x14ac:dyDescent="0.35">
      <c r="B39" s="73">
        <f t="shared" si="10"/>
        <v>71</v>
      </c>
      <c r="C39" s="73">
        <f t="shared" si="6"/>
        <v>4</v>
      </c>
      <c r="D39" s="76">
        <f t="shared" si="4"/>
        <v>2623.2581519738364</v>
      </c>
      <c r="E39" s="199">
        <f t="shared" si="7"/>
        <v>-0.26666666666666661</v>
      </c>
      <c r="G39" s="73">
        <f t="shared" si="11"/>
        <v>71</v>
      </c>
      <c r="H39" s="76">
        <f t="shared" si="5"/>
        <v>4026.136583114825</v>
      </c>
      <c r="I39" s="199">
        <f t="shared" si="8"/>
        <v>0.12550881000000003</v>
      </c>
      <c r="L39" s="387"/>
      <c r="M39" s="81">
        <f t="shared" si="14"/>
        <v>66</v>
      </c>
      <c r="N39" s="75">
        <f t="shared" si="13"/>
        <v>3009.9166792285855</v>
      </c>
      <c r="O39" s="391">
        <f t="shared" si="9"/>
        <v>-0.15857605177993522</v>
      </c>
    </row>
    <row r="40" spans="1:31" x14ac:dyDescent="0.35">
      <c r="B40" s="73">
        <f t="shared" si="10"/>
        <v>71.5</v>
      </c>
      <c r="C40" s="73">
        <f t="shared" si="6"/>
        <v>4.5</v>
      </c>
      <c r="D40" s="76">
        <f t="shared" si="4"/>
        <v>2504.0191450659345</v>
      </c>
      <c r="E40" s="199">
        <f t="shared" si="7"/>
        <v>-0.30000000000000004</v>
      </c>
      <c r="G40" s="73">
        <f t="shared" si="11"/>
        <v>71.5</v>
      </c>
      <c r="H40" s="76">
        <f t="shared" si="5"/>
        <v>4086.0823608283276</v>
      </c>
      <c r="I40" s="199">
        <f t="shared" si="8"/>
        <v>0.1422666868245987</v>
      </c>
      <c r="L40" s="387"/>
      <c r="M40" s="81">
        <f t="shared" si="14"/>
        <v>67</v>
      </c>
      <c r="N40" s="75">
        <f t="shared" si="13"/>
        <v>3338.6921934212464</v>
      </c>
      <c r="O40" s="391">
        <f t="shared" si="9"/>
        <v>-6.6666666666666596E-2</v>
      </c>
    </row>
    <row r="41" spans="1:31" x14ac:dyDescent="0.35">
      <c r="B41" s="77">
        <f t="shared" si="10"/>
        <v>72</v>
      </c>
      <c r="C41" s="73">
        <f t="shared" si="6"/>
        <v>5</v>
      </c>
      <c r="D41" s="94">
        <f t="shared" si="4"/>
        <v>2384.7801381580334</v>
      </c>
      <c r="E41" s="200">
        <f t="shared" si="7"/>
        <v>-0.3333333333333332</v>
      </c>
      <c r="G41" s="77">
        <f t="shared" si="11"/>
        <v>72</v>
      </c>
      <c r="H41" s="94">
        <f t="shared" si="5"/>
        <v>4146.9206806082702</v>
      </c>
      <c r="I41" s="200">
        <f t="shared" si="8"/>
        <v>0.15927407430000015</v>
      </c>
      <c r="L41" s="388"/>
      <c r="M41" s="82">
        <v>68</v>
      </c>
      <c r="N41" s="79">
        <f t="shared" si="13"/>
        <v>3684.4853134541613</v>
      </c>
      <c r="O41" s="392">
        <f t="shared" si="9"/>
        <v>3.0000000000000106E-2</v>
      </c>
      <c r="P41" s="223" cm="1">
        <f t="array" ref="P41">AVERAGE(ABS(O36:O40),O41)</f>
        <v>0.20628956816724806</v>
      </c>
    </row>
    <row r="42" spans="1:31" x14ac:dyDescent="0.35">
      <c r="B42" s="202" t="s">
        <v>233</v>
      </c>
      <c r="C42" s="204"/>
      <c r="D42" s="204"/>
      <c r="E42" s="265" cm="1">
        <f t="array" ref="E42">AVERAGE(ABS(E32:E41))</f>
        <v>0.18333333333333329</v>
      </c>
      <c r="G42" s="202" t="s">
        <v>233</v>
      </c>
      <c r="H42" s="204"/>
      <c r="I42" s="265" cm="1">
        <f t="array" ref="I42">AVERAGE(ABS(I32:I41))</f>
        <v>8.5659424830380748E-2</v>
      </c>
      <c r="L42" s="386">
        <v>69</v>
      </c>
      <c r="M42" s="80">
        <f>M36</f>
        <v>63</v>
      </c>
      <c r="N42" s="389">
        <f>$H$5*((1+$H$3)^(M42-$E$3))*(1-$H$4*($L$42-M42))</f>
        <v>1906.9616383919997</v>
      </c>
      <c r="O42" s="390">
        <f t="shared" si="9"/>
        <v>-0.46690777125058658</v>
      </c>
    </row>
    <row r="43" spans="1:31" x14ac:dyDescent="0.35">
      <c r="H43" s="1" t="s">
        <v>246</v>
      </c>
      <c r="L43" s="387"/>
      <c r="M43" s="81">
        <f t="shared" ref="M43:M47" si="15">M37</f>
        <v>64</v>
      </c>
      <c r="N43" s="75">
        <f t="shared" ref="N43:N48" si="16">$H$5*((1+$H$3)^(M43-$E$3))*(1-$H$4*($L$42-M43))</f>
        <v>2182.4116528263999</v>
      </c>
      <c r="O43" s="391">
        <f t="shared" si="9"/>
        <v>-0.38990556043122682</v>
      </c>
    </row>
    <row r="44" spans="1:31" s="89" customFormat="1" x14ac:dyDescent="0.35">
      <c r="A44" s="194" t="s">
        <v>514</v>
      </c>
      <c r="B44" s="195"/>
      <c r="L44" s="387"/>
      <c r="M44" s="81">
        <f t="shared" si="15"/>
        <v>65</v>
      </c>
      <c r="N44" s="75">
        <f t="shared" si="16"/>
        <v>2472.6724026523111</v>
      </c>
      <c r="O44" s="391">
        <f t="shared" si="9"/>
        <v>-0.30876299996857998</v>
      </c>
    </row>
    <row r="45" spans="1:31" x14ac:dyDescent="0.35">
      <c r="L45" s="387"/>
      <c r="M45" s="81">
        <f t="shared" si="15"/>
        <v>66</v>
      </c>
      <c r="N45" s="75">
        <f t="shared" si="16"/>
        <v>2778.384626980233</v>
      </c>
      <c r="O45" s="391">
        <f t="shared" si="9"/>
        <v>-0.22330097087378631</v>
      </c>
    </row>
    <row r="46" spans="1:31" x14ac:dyDescent="0.35">
      <c r="B46" s="196" t="s">
        <v>156</v>
      </c>
      <c r="C46" s="196" t="s">
        <v>440</v>
      </c>
      <c r="D46" s="197" t="s">
        <v>243</v>
      </c>
      <c r="E46" s="198" t="s">
        <v>213</v>
      </c>
      <c r="L46" s="387"/>
      <c r="M46" s="81">
        <f t="shared" si="15"/>
        <v>67</v>
      </c>
      <c r="N46" s="75">
        <f t="shared" si="16"/>
        <v>3100.214179605443</v>
      </c>
      <c r="O46" s="391">
        <f t="shared" si="9"/>
        <v>-0.1333333333333333</v>
      </c>
    </row>
    <row r="47" spans="1:31" x14ac:dyDescent="0.35">
      <c r="B47" s="73">
        <v>57</v>
      </c>
      <c r="C47" s="73">
        <f>$B$57-B47</f>
        <v>5</v>
      </c>
      <c r="D47" s="76">
        <f t="shared" ref="D47:D57" si="17">$H$5*((1+$H$3)^($E$6-B47))*(1-$H$4*($E$4-$E$6))</f>
        <v>4146.9206806082702</v>
      </c>
      <c r="E47" s="199">
        <f t="shared" ref="E47:E57" si="18">(D47-$H$6)/$H$6</f>
        <v>0.15927407430000015</v>
      </c>
      <c r="L47" s="387"/>
      <c r="M47" s="81">
        <f t="shared" si="15"/>
        <v>68</v>
      </c>
      <c r="N47" s="75">
        <f t="shared" si="16"/>
        <v>3438.8529592238838</v>
      </c>
      <c r="O47" s="391">
        <f t="shared" si="9"/>
        <v>-3.8666666666666599E-2</v>
      </c>
    </row>
    <row r="48" spans="1:31" x14ac:dyDescent="0.35">
      <c r="B48" s="73">
        <f>B47+0.5</f>
        <v>57.5</v>
      </c>
      <c r="C48" s="73">
        <f t="shared" ref="C48:C57" si="19">$B$57-B48</f>
        <v>4.5</v>
      </c>
      <c r="D48" s="76">
        <f t="shared" si="17"/>
        <v>4086.0823608283276</v>
      </c>
      <c r="E48" s="199">
        <f t="shared" si="18"/>
        <v>0.1422666868245987</v>
      </c>
      <c r="L48" s="388"/>
      <c r="M48" s="82">
        <v>69</v>
      </c>
      <c r="N48" s="79">
        <f t="shared" si="16"/>
        <v>3795.0198728577861</v>
      </c>
      <c r="O48" s="392">
        <f t="shared" si="9"/>
        <v>6.0900000000000107E-2</v>
      </c>
      <c r="P48" s="223" cm="1">
        <f t="array" ref="P48">AVERAGE(ABS(O42:O47),O48)</f>
        <v>0.23168247178916854</v>
      </c>
    </row>
    <row r="49" spans="2:16" x14ac:dyDescent="0.35">
      <c r="B49" s="73">
        <f t="shared" ref="B49:B57" si="20">B48+0.5</f>
        <v>58</v>
      </c>
      <c r="C49" s="73">
        <f t="shared" si="19"/>
        <v>4</v>
      </c>
      <c r="D49" s="76">
        <f t="shared" si="17"/>
        <v>4026.136583114825</v>
      </c>
      <c r="E49" s="199">
        <f t="shared" si="18"/>
        <v>0.12550881000000003</v>
      </c>
      <c r="L49" s="387">
        <v>70</v>
      </c>
      <c r="M49" s="81">
        <f>M42</f>
        <v>63</v>
      </c>
      <c r="N49" s="75">
        <f>$H$5*((1+$H$3)^(M49-$E$3))*(1-$H$4*($L$49-M49))</f>
        <v>1695.0770119039998</v>
      </c>
      <c r="O49" s="390">
        <f t="shared" si="9"/>
        <v>-0.52614024111163249</v>
      </c>
    </row>
    <row r="50" spans="2:16" x14ac:dyDescent="0.35">
      <c r="B50" s="73">
        <f t="shared" si="20"/>
        <v>58.5</v>
      </c>
      <c r="C50" s="73">
        <f t="shared" si="19"/>
        <v>3.5</v>
      </c>
      <c r="D50" s="76">
        <f t="shared" si="17"/>
        <v>3967.0702532313858</v>
      </c>
      <c r="E50" s="199">
        <f t="shared" si="18"/>
        <v>0.10899678332485303</v>
      </c>
      <c r="L50" s="387"/>
      <c r="M50" s="81">
        <f t="shared" ref="M50:M55" si="21">M43</f>
        <v>64</v>
      </c>
      <c r="N50" s="75">
        <f t="shared" ref="N50:N56" si="22">$H$5*((1+$H$3)^(M50-$E$3))*(1-$H$4*($L$49-M50))</f>
        <v>1964.1704875437597</v>
      </c>
      <c r="O50" s="391">
        <f t="shared" si="9"/>
        <v>-0.45091500438810422</v>
      </c>
    </row>
    <row r="51" spans="2:16" x14ac:dyDescent="0.35">
      <c r="B51" s="73">
        <f t="shared" si="20"/>
        <v>59</v>
      </c>
      <c r="C51" s="73">
        <f t="shared" si="19"/>
        <v>3</v>
      </c>
      <c r="D51" s="76">
        <f t="shared" si="17"/>
        <v>3908.8704690435193</v>
      </c>
      <c r="E51" s="199">
        <f t="shared" si="18"/>
        <v>9.272699999999999E-2</v>
      </c>
      <c r="L51" s="387"/>
      <c r="M51" s="81">
        <f t="shared" si="21"/>
        <v>65</v>
      </c>
      <c r="N51" s="75">
        <f t="shared" si="22"/>
        <v>2247.8840024111919</v>
      </c>
      <c r="O51" s="391">
        <f t="shared" si="9"/>
        <v>-0.37160272724416366</v>
      </c>
    </row>
    <row r="52" spans="2:16" x14ac:dyDescent="0.35">
      <c r="B52" s="73">
        <f t="shared" si="20"/>
        <v>59.5</v>
      </c>
      <c r="C52" s="73">
        <f t="shared" si="19"/>
        <v>2.5</v>
      </c>
      <c r="D52" s="76">
        <f t="shared" si="17"/>
        <v>3851.5245177003744</v>
      </c>
      <c r="E52" s="199">
        <f t="shared" si="18"/>
        <v>7.6695906140633985E-2</v>
      </c>
      <c r="L52" s="387"/>
      <c r="M52" s="81">
        <f t="shared" si="21"/>
        <v>66</v>
      </c>
      <c r="N52" s="75">
        <f t="shared" si="22"/>
        <v>2546.8525747318804</v>
      </c>
      <c r="O52" s="391">
        <f t="shared" si="9"/>
        <v>-0.28802588996763739</v>
      </c>
    </row>
    <row r="53" spans="2:16" x14ac:dyDescent="0.35">
      <c r="B53" s="73">
        <f t="shared" si="20"/>
        <v>60</v>
      </c>
      <c r="C53" s="73">
        <f t="shared" si="19"/>
        <v>2</v>
      </c>
      <c r="D53" s="76">
        <f t="shared" si="17"/>
        <v>3795.0198728577861</v>
      </c>
      <c r="E53" s="199">
        <f t="shared" si="18"/>
        <v>6.0900000000000107E-2</v>
      </c>
      <c r="L53" s="387"/>
      <c r="M53" s="81">
        <f t="shared" si="21"/>
        <v>67</v>
      </c>
      <c r="N53" s="75">
        <f t="shared" si="22"/>
        <v>2861.7361657896399</v>
      </c>
      <c r="O53" s="391">
        <f t="shared" si="9"/>
        <v>-0.1999999999999999</v>
      </c>
    </row>
    <row r="54" spans="2:16" x14ac:dyDescent="0.35">
      <c r="B54" s="73">
        <f t="shared" si="20"/>
        <v>60.5</v>
      </c>
      <c r="C54" s="73">
        <f t="shared" si="19"/>
        <v>1.5</v>
      </c>
      <c r="D54" s="76">
        <f t="shared" si="17"/>
        <v>3739.3441919421111</v>
      </c>
      <c r="E54" s="199">
        <f t="shared" si="18"/>
        <v>4.5335831204499029E-2</v>
      </c>
      <c r="L54" s="387"/>
      <c r="M54" s="81">
        <f t="shared" si="21"/>
        <v>68</v>
      </c>
      <c r="N54" s="75">
        <f t="shared" si="22"/>
        <v>3193.2206049936067</v>
      </c>
      <c r="O54" s="391">
        <f t="shared" si="9"/>
        <v>-0.10733333333333318</v>
      </c>
    </row>
    <row r="55" spans="2:16" x14ac:dyDescent="0.35">
      <c r="B55" s="73">
        <f t="shared" si="20"/>
        <v>61</v>
      </c>
      <c r="C55" s="73">
        <f t="shared" si="19"/>
        <v>1</v>
      </c>
      <c r="D55" s="76">
        <f t="shared" si="17"/>
        <v>3684.4853134541613</v>
      </c>
      <c r="E55" s="199">
        <f t="shared" si="18"/>
        <v>3.0000000000000106E-2</v>
      </c>
      <c r="L55" s="387"/>
      <c r="M55" s="81">
        <f t="shared" si="21"/>
        <v>69</v>
      </c>
      <c r="N55" s="75">
        <f t="shared" si="22"/>
        <v>3542.0185480006003</v>
      </c>
      <c r="O55" s="391">
        <f t="shared" si="9"/>
        <v>-9.8266666666666034E-3</v>
      </c>
    </row>
    <row r="56" spans="2:16" x14ac:dyDescent="0.35">
      <c r="B56" s="73">
        <f t="shared" si="20"/>
        <v>61.5</v>
      </c>
      <c r="C56" s="73">
        <f t="shared" si="19"/>
        <v>0.5</v>
      </c>
      <c r="D56" s="76">
        <f t="shared" si="17"/>
        <v>3630.4312543127289</v>
      </c>
      <c r="E56" s="199">
        <f t="shared" si="18"/>
        <v>1.4889156509222264E-2</v>
      </c>
      <c r="L56" s="388"/>
      <c r="M56" s="82">
        <v>70</v>
      </c>
      <c r="N56" s="79">
        <f t="shared" si="22"/>
        <v>3908.8704690435193</v>
      </c>
      <c r="O56" s="392">
        <f t="shared" si="9"/>
        <v>9.272699999999999E-2</v>
      </c>
      <c r="P56" s="223" cm="1">
        <f t="array" ref="P56">AVERAGE(ABS(O49:O55),O56)</f>
        <v>0.25582135783894216</v>
      </c>
    </row>
    <row r="57" spans="2:16" x14ac:dyDescent="0.35">
      <c r="B57" s="77">
        <f t="shared" si="20"/>
        <v>62</v>
      </c>
      <c r="C57" s="73">
        <f t="shared" si="19"/>
        <v>0</v>
      </c>
      <c r="D57" s="76">
        <f t="shared" si="17"/>
        <v>3577.1702072370495</v>
      </c>
      <c r="E57" s="200">
        <f t="shared" si="18"/>
        <v>0</v>
      </c>
      <c r="L57" s="386">
        <v>71</v>
      </c>
      <c r="M57" s="80">
        <f>M49</f>
        <v>63</v>
      </c>
      <c r="N57" s="389">
        <f>$H$5*((1+$H$3)^(M57-$E$3))*(1-$H$4*($L$57-M57))</f>
        <v>1483.192385416</v>
      </c>
      <c r="O57" s="391">
        <f t="shared" si="9"/>
        <v>-0.5853727109726784</v>
      </c>
    </row>
    <row r="58" spans="2:16" x14ac:dyDescent="0.35">
      <c r="B58" s="202" t="s">
        <v>233</v>
      </c>
      <c r="C58" s="204"/>
      <c r="D58" s="204"/>
      <c r="E58" s="206">
        <f>AVERAGE(E47:E56)</f>
        <v>8.5659424830380734E-2</v>
      </c>
      <c r="F58" s="1" t="s">
        <v>430</v>
      </c>
      <c r="L58" s="387"/>
      <c r="M58" s="81">
        <f t="shared" ref="M58:M64" si="23">M50</f>
        <v>64</v>
      </c>
      <c r="N58" s="75">
        <f t="shared" ref="N58:N65" si="24">$H$5*((1+$H$3)^(M58-$E$3))*(1-$H$4*($L$57-M58))</f>
        <v>1745.9293222611198</v>
      </c>
      <c r="O58" s="391">
        <f t="shared" si="9"/>
        <v>-0.51192444834498152</v>
      </c>
    </row>
    <row r="59" spans="2:16" x14ac:dyDescent="0.35">
      <c r="L59" s="387"/>
      <c r="M59" s="81">
        <f t="shared" si="23"/>
        <v>65</v>
      </c>
      <c r="N59" s="75">
        <f t="shared" si="24"/>
        <v>2023.0956021700724</v>
      </c>
      <c r="O59" s="391">
        <f t="shared" si="9"/>
        <v>-0.43444245451974733</v>
      </c>
    </row>
    <row r="60" spans="2:16" x14ac:dyDescent="0.35">
      <c r="L60" s="387"/>
      <c r="M60" s="81">
        <f t="shared" si="23"/>
        <v>66</v>
      </c>
      <c r="N60" s="75">
        <f t="shared" si="24"/>
        <v>2315.3205224835278</v>
      </c>
      <c r="O60" s="391">
        <f t="shared" si="9"/>
        <v>-0.35275080906148848</v>
      </c>
    </row>
    <row r="61" spans="2:16" x14ac:dyDescent="0.35">
      <c r="L61" s="387"/>
      <c r="M61" s="81">
        <f t="shared" si="23"/>
        <v>67</v>
      </c>
      <c r="N61" s="75">
        <f t="shared" si="24"/>
        <v>2623.2581519738364</v>
      </c>
      <c r="O61" s="391">
        <f t="shared" si="9"/>
        <v>-0.26666666666666661</v>
      </c>
    </row>
    <row r="62" spans="2:16" x14ac:dyDescent="0.35">
      <c r="L62" s="387"/>
      <c r="M62" s="81">
        <f t="shared" si="23"/>
        <v>68</v>
      </c>
      <c r="N62" s="75">
        <f t="shared" si="24"/>
        <v>2947.5882507633291</v>
      </c>
      <c r="O62" s="391">
        <f t="shared" si="9"/>
        <v>-0.17599999999999988</v>
      </c>
    </row>
    <row r="63" spans="2:16" x14ac:dyDescent="0.35">
      <c r="L63" s="387"/>
      <c r="M63" s="81">
        <f t="shared" si="23"/>
        <v>69</v>
      </c>
      <c r="N63" s="75">
        <f t="shared" si="24"/>
        <v>3289.0172231434149</v>
      </c>
      <c r="O63" s="391">
        <f t="shared" si="9"/>
        <v>-8.0553333333333185E-2</v>
      </c>
    </row>
    <row r="64" spans="2:16" x14ac:dyDescent="0.35">
      <c r="L64" s="387"/>
      <c r="M64" s="81">
        <f t="shared" si="23"/>
        <v>70</v>
      </c>
      <c r="N64" s="75">
        <f t="shared" si="24"/>
        <v>3648.2791044406181</v>
      </c>
      <c r="O64" s="391">
        <f t="shared" si="9"/>
        <v>1.9878533333333344E-2</v>
      </c>
    </row>
    <row r="65" spans="12:16" x14ac:dyDescent="0.35">
      <c r="L65" s="388"/>
      <c r="M65" s="82">
        <v>71</v>
      </c>
      <c r="N65" s="79">
        <f t="shared" si="24"/>
        <v>4026.136583114825</v>
      </c>
      <c r="O65" s="391">
        <f t="shared" si="9"/>
        <v>0.12550881000000003</v>
      </c>
      <c r="P65" s="223" cm="1">
        <f t="array" ref="P65">AVERAGE(ABS(O57:O63),O64:O65)</f>
        <v>0.28367752958135872</v>
      </c>
    </row>
    <row r="66" spans="12:16" x14ac:dyDescent="0.35">
      <c r="L66" s="386">
        <v>72</v>
      </c>
      <c r="M66" s="80">
        <f>M57</f>
        <v>63</v>
      </c>
      <c r="N66" s="389">
        <f>$H$5*((1+$H$3)^(M66-$E$3))*(1-$H$4*($L$66-M66))</f>
        <v>1271.3077589280001</v>
      </c>
      <c r="O66" s="390">
        <f t="shared" si="9"/>
        <v>-0.64460518083372431</v>
      </c>
    </row>
    <row r="67" spans="12:16" x14ac:dyDescent="0.35">
      <c r="L67" s="387"/>
      <c r="M67" s="81">
        <f t="shared" ref="M67:M74" si="25">M58</f>
        <v>64</v>
      </c>
      <c r="N67" s="75">
        <f t="shared" ref="N67:N75" si="26">$H$5*((1+$H$3)^(M67-$E$3))*(1-$H$4*($L$66-M67))</f>
        <v>1527.6881569784798</v>
      </c>
      <c r="O67" s="391">
        <f t="shared" si="9"/>
        <v>-0.57293389230185887</v>
      </c>
    </row>
    <row r="68" spans="12:16" x14ac:dyDescent="0.35">
      <c r="L68" s="387"/>
      <c r="M68" s="81">
        <f t="shared" si="25"/>
        <v>65</v>
      </c>
      <c r="N68" s="75">
        <f t="shared" si="26"/>
        <v>1798.3072019289534</v>
      </c>
      <c r="O68" s="391">
        <f t="shared" si="9"/>
        <v>-0.4972821817953309</v>
      </c>
    </row>
    <row r="69" spans="12:16" x14ac:dyDescent="0.35">
      <c r="L69" s="387"/>
      <c r="M69" s="81">
        <f t="shared" si="25"/>
        <v>66</v>
      </c>
      <c r="N69" s="75">
        <f t="shared" si="26"/>
        <v>2083.7884702351744</v>
      </c>
      <c r="O69" s="391">
        <f t="shared" si="9"/>
        <v>-0.41747572815533984</v>
      </c>
    </row>
    <row r="70" spans="12:16" x14ac:dyDescent="0.35">
      <c r="L70" s="387"/>
      <c r="M70" s="81">
        <f t="shared" si="25"/>
        <v>67</v>
      </c>
      <c r="N70" s="75">
        <f t="shared" si="26"/>
        <v>2384.7801381580334</v>
      </c>
      <c r="O70" s="391">
        <f t="shared" si="9"/>
        <v>-0.3333333333333332</v>
      </c>
    </row>
    <row r="71" spans="12:16" x14ac:dyDescent="0.35">
      <c r="L71" s="387"/>
      <c r="M71" s="81">
        <f t="shared" si="25"/>
        <v>68</v>
      </c>
      <c r="N71" s="75">
        <f t="shared" si="26"/>
        <v>2701.9558965330521</v>
      </c>
      <c r="O71" s="391">
        <f t="shared" si="9"/>
        <v>-0.24466666666666648</v>
      </c>
    </row>
    <row r="72" spans="12:16" x14ac:dyDescent="0.35">
      <c r="L72" s="387"/>
      <c r="M72" s="81">
        <f t="shared" si="25"/>
        <v>69</v>
      </c>
      <c r="N72" s="75">
        <f t="shared" si="26"/>
        <v>3036.015898286229</v>
      </c>
      <c r="O72" s="391">
        <f t="shared" si="9"/>
        <v>-0.15127999999999989</v>
      </c>
    </row>
    <row r="73" spans="12:16" x14ac:dyDescent="0.35">
      <c r="L73" s="387"/>
      <c r="M73" s="81">
        <f t="shared" si="25"/>
        <v>70</v>
      </c>
      <c r="N73" s="75">
        <f t="shared" si="26"/>
        <v>3387.6877398377169</v>
      </c>
      <c r="O73" s="391">
        <f t="shared" si="9"/>
        <v>-5.2969933333333295E-2</v>
      </c>
    </row>
    <row r="74" spans="12:16" x14ac:dyDescent="0.35">
      <c r="L74" s="387"/>
      <c r="M74" s="81">
        <f t="shared" si="25"/>
        <v>71</v>
      </c>
      <c r="N74" s="75">
        <f t="shared" si="26"/>
        <v>3757.7274775738369</v>
      </c>
      <c r="O74" s="391">
        <f t="shared" si="9"/>
        <v>5.0474889333333432E-2</v>
      </c>
    </row>
    <row r="75" spans="12:16" x14ac:dyDescent="0.35">
      <c r="L75" s="388"/>
      <c r="M75" s="82">
        <v>72</v>
      </c>
      <c r="N75" s="79">
        <f t="shared" si="26"/>
        <v>4146.9206806082702</v>
      </c>
      <c r="O75" s="392">
        <f t="shared" si="9"/>
        <v>0.15927407430000015</v>
      </c>
      <c r="P75" s="223" cm="1">
        <f t="array" ref="P75">AVERAGE(ABS(O66:O73),O74:O75)</f>
        <v>0.31242958800529208</v>
      </c>
    </row>
  </sheetData>
  <mergeCells count="3">
    <mergeCell ref="B25:E25"/>
    <mergeCell ref="D2:H2"/>
    <mergeCell ref="B9:J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C829C-8A9E-42CB-B57C-8D71B8A9D74A}">
  <sheetPr>
    <tabColor theme="9" tint="0.79998168889431442"/>
  </sheetPr>
  <dimension ref="A1:R66"/>
  <sheetViews>
    <sheetView zoomScale="74" workbookViewId="0">
      <pane ySplit="1" topLeftCell="A2" activePane="bottomLeft" state="frozen"/>
      <selection pane="bottomLeft" activeCell="H7" sqref="H7"/>
    </sheetView>
  </sheetViews>
  <sheetFormatPr defaultRowHeight="14.5" x14ac:dyDescent="0.35"/>
  <cols>
    <col min="1" max="1" width="8.7265625" style="1"/>
    <col min="2" max="2" width="9.36328125" style="1" customWidth="1"/>
    <col min="3" max="3" width="11.08984375" style="1" bestFit="1" customWidth="1"/>
    <col min="4" max="4" width="11.08984375" style="1" customWidth="1"/>
    <col min="5" max="6" width="10.08984375" style="1" bestFit="1" customWidth="1"/>
    <col min="7" max="7" width="11.6328125" style="1" customWidth="1"/>
    <col min="8" max="8" width="10.81640625" style="1" customWidth="1"/>
    <col min="9" max="9" width="10.08984375" style="1" bestFit="1" customWidth="1"/>
    <col min="10" max="11" width="8.7265625" style="1"/>
    <col min="12" max="12" width="10.08984375" style="1" bestFit="1" customWidth="1"/>
    <col min="13" max="15" width="8.7265625" style="1"/>
    <col min="16" max="16" width="10.08984375" style="1" bestFit="1" customWidth="1"/>
    <col min="17" max="17" width="8.7265625" style="1"/>
    <col min="18" max="18" width="8.7265625" style="90"/>
    <col min="19" max="16384" width="8.7265625" style="1"/>
  </cols>
  <sheetData>
    <row r="1" spans="1:18" x14ac:dyDescent="0.35">
      <c r="A1" s="56" t="s">
        <v>91</v>
      </c>
    </row>
    <row r="2" spans="1:18" x14ac:dyDescent="0.35">
      <c r="B2" s="1" t="s">
        <v>164</v>
      </c>
      <c r="I2" s="1" t="s">
        <v>435</v>
      </c>
    </row>
    <row r="3" spans="1:18" x14ac:dyDescent="0.35">
      <c r="C3" s="1" t="s">
        <v>203</v>
      </c>
      <c r="I3" s="1" t="s">
        <v>234</v>
      </c>
    </row>
    <row r="4" spans="1:18" x14ac:dyDescent="0.35">
      <c r="C4" s="1" t="s">
        <v>204</v>
      </c>
      <c r="I4" s="1" t="s">
        <v>413</v>
      </c>
    </row>
    <row r="5" spans="1:18" x14ac:dyDescent="0.35">
      <c r="C5" s="1" t="s">
        <v>205</v>
      </c>
      <c r="I5" s="1" t="s">
        <v>431</v>
      </c>
    </row>
    <row r="6" spans="1:18" x14ac:dyDescent="0.35">
      <c r="C6" s="1" t="s">
        <v>227</v>
      </c>
    </row>
    <row r="8" spans="1:18" x14ac:dyDescent="0.35">
      <c r="B8" s="127" t="s">
        <v>161</v>
      </c>
      <c r="C8" s="107"/>
      <c r="D8" s="107"/>
      <c r="E8" s="107"/>
      <c r="F8" s="128">
        <f>VLOOKUP(2024,BP_table,2,1)</f>
        <v>1086.3616</v>
      </c>
      <c r="G8" s="128">
        <f>VLOOKUP(2024,BP_table,3,1)</f>
        <v>6547.8747999999996</v>
      </c>
      <c r="H8" s="127" t="s">
        <v>159</v>
      </c>
      <c r="I8" s="130">
        <f>ss_calc!N4</f>
        <v>8949.7999999999993</v>
      </c>
    </row>
    <row r="9" spans="1:18" x14ac:dyDescent="0.35">
      <c r="F9" s="105"/>
      <c r="G9" s="105"/>
      <c r="I9" s="54"/>
    </row>
    <row r="10" spans="1:18" x14ac:dyDescent="0.35">
      <c r="B10" s="562" t="s">
        <v>167</v>
      </c>
      <c r="C10" s="563"/>
      <c r="D10" s="563"/>
      <c r="E10" s="563"/>
      <c r="F10" s="563"/>
      <c r="G10" s="563"/>
      <c r="H10" s="563"/>
      <c r="I10" s="563"/>
      <c r="J10" s="563"/>
      <c r="K10" s="563"/>
      <c r="L10" s="563"/>
      <c r="M10" s="564"/>
    </row>
    <row r="12" spans="1:18" s="89" customFormat="1" x14ac:dyDescent="0.35">
      <c r="A12" s="106" t="s">
        <v>225</v>
      </c>
      <c r="B12" s="107"/>
      <c r="C12" s="108"/>
      <c r="E12" s="187"/>
      <c r="R12" s="88"/>
    </row>
    <row r="13" spans="1:18" x14ac:dyDescent="0.35">
      <c r="A13" s="56"/>
      <c r="I13" s="151" t="s">
        <v>338</v>
      </c>
    </row>
    <row r="14" spans="1:18" x14ac:dyDescent="0.35">
      <c r="A14" s="56"/>
      <c r="B14" s="127" t="s">
        <v>367</v>
      </c>
      <c r="C14" s="107">
        <v>0.9</v>
      </c>
      <c r="D14" s="107">
        <v>0.32</v>
      </c>
      <c r="E14" s="107">
        <v>0.15</v>
      </c>
      <c r="F14" s="127" t="s">
        <v>160</v>
      </c>
      <c r="G14" s="130">
        <f>C14*$F$8+D14*MAX(0,$G$8-$F$8)+E14*MAX(0,$I$8-$G$8)</f>
        <v>3085.6984439999997</v>
      </c>
      <c r="J14" s="565"/>
      <c r="K14" s="565"/>
      <c r="L14" s="565"/>
    </row>
    <row r="15" spans="1:18" x14ac:dyDescent="0.35">
      <c r="A15" s="56"/>
      <c r="J15" s="565"/>
      <c r="K15" s="565"/>
      <c r="L15" s="565"/>
    </row>
    <row r="16" spans="1:18" x14ac:dyDescent="0.35">
      <c r="A16" s="56"/>
      <c r="B16" s="109" t="s">
        <v>212</v>
      </c>
      <c r="C16" s="110" t="s">
        <v>123</v>
      </c>
      <c r="D16" s="191" t="s">
        <v>213</v>
      </c>
      <c r="J16" s="565"/>
      <c r="K16" s="565"/>
      <c r="L16" s="565"/>
    </row>
    <row r="17" spans="1:18" x14ac:dyDescent="0.35">
      <c r="A17" s="56"/>
      <c r="B17" s="112" t="s">
        <v>215</v>
      </c>
      <c r="C17" s="115">
        <f>C14/2*$F$8+D14*MAX(0,$G$8-$F$8)+E14*MAX(0,$I$8-$G$8)</f>
        <v>2596.8357239999996</v>
      </c>
      <c r="D17" s="120">
        <f t="shared" ref="D17:D22" si="0">(C17-$G$14)/$G$14</f>
        <v>-0.15842854668788889</v>
      </c>
      <c r="J17" s="565"/>
      <c r="K17" s="565"/>
      <c r="L17" s="565"/>
    </row>
    <row r="18" spans="1:18" x14ac:dyDescent="0.35">
      <c r="A18" s="56"/>
      <c r="B18" s="112" t="s">
        <v>216</v>
      </c>
      <c r="C18" s="115">
        <f>C14*$F$8+D14/2*MAX(0,$G$8-$F$8)+E14*MAX(0,$I$8-$G$8)</f>
        <v>2211.8563319999998</v>
      </c>
      <c r="D18" s="120">
        <f t="shared" si="0"/>
        <v>-0.28319102720460132</v>
      </c>
      <c r="J18" s="565"/>
      <c r="K18" s="565"/>
      <c r="L18" s="565"/>
    </row>
    <row r="19" spans="1:18" x14ac:dyDescent="0.35">
      <c r="A19" s="56"/>
      <c r="B19" s="112" t="s">
        <v>217</v>
      </c>
      <c r="C19" s="115">
        <f>C14*$F$8+D14*MAX(0,$G$8-$F$8)+E14/2*MAX(0,$I$8-$G$8)</f>
        <v>2905.5540539999997</v>
      </c>
      <c r="D19" s="120">
        <f t="shared" si="0"/>
        <v>-5.8380426107509792E-2</v>
      </c>
      <c r="J19" s="565"/>
      <c r="K19" s="565"/>
      <c r="L19" s="565"/>
    </row>
    <row r="20" spans="1:18" x14ac:dyDescent="0.35">
      <c r="A20" s="56"/>
      <c r="B20" s="112" t="s">
        <v>218</v>
      </c>
      <c r="C20" s="115">
        <f>C14*2*$F$8+D14*MAX(0,$G$8-$F$8)+E14*MAX(0,$I$8-$G$8)</f>
        <v>4063.4238839999998</v>
      </c>
      <c r="D20" s="120">
        <f t="shared" si="0"/>
        <v>0.31685709337577778</v>
      </c>
      <c r="J20" s="565"/>
      <c r="K20" s="565"/>
      <c r="L20" s="565"/>
    </row>
    <row r="21" spans="1:18" x14ac:dyDescent="0.35">
      <c r="A21" s="56"/>
      <c r="B21" s="112" t="s">
        <v>219</v>
      </c>
      <c r="C21" s="115">
        <f>C14*$F$8+D14*2*MAX(0,$G$8-$F$8)+E14*MAX(0,$I$8-$G$8)</f>
        <v>4833.3826679999993</v>
      </c>
      <c r="D21" s="499">
        <f t="shared" si="0"/>
        <v>0.56638205440920264</v>
      </c>
    </row>
    <row r="22" spans="1:18" x14ac:dyDescent="0.35">
      <c r="A22" s="56"/>
      <c r="B22" s="116" t="s">
        <v>220</v>
      </c>
      <c r="C22" s="119">
        <f>C14*$F$8+D14*MAX(0,$G$8-$F$8)+E14*2*MAX(0,$I$8-$G$8)</f>
        <v>3445.9872239999995</v>
      </c>
      <c r="D22" s="121">
        <f t="shared" si="0"/>
        <v>0.11676085221501958</v>
      </c>
      <c r="F22" s="192" t="s">
        <v>233</v>
      </c>
      <c r="G22" s="193">
        <f>AVERAGE(ABS(D17),ABS(D18),ABS(D19),D20:D22)</f>
        <v>0.25</v>
      </c>
      <c r="H22" s="1" t="s">
        <v>368</v>
      </c>
    </row>
    <row r="23" spans="1:18" x14ac:dyDescent="0.35">
      <c r="D23" s="100"/>
      <c r="E23" s="100"/>
      <c r="F23" s="100"/>
      <c r="G23" s="100"/>
      <c r="H23" s="100"/>
      <c r="I23" s="100"/>
      <c r="J23" s="100"/>
      <c r="K23" s="100"/>
      <c r="L23" s="100"/>
    </row>
    <row r="24" spans="1:18" s="89" customFormat="1" x14ac:dyDescent="0.35">
      <c r="A24" s="106" t="s">
        <v>226</v>
      </c>
      <c r="B24" s="107"/>
      <c r="C24" s="108"/>
      <c r="G24" s="89" t="s">
        <v>223</v>
      </c>
      <c r="R24" s="88"/>
    </row>
    <row r="26" spans="1:18" x14ac:dyDescent="0.35">
      <c r="B26" s="109" t="s">
        <v>436</v>
      </c>
      <c r="C26" s="110" t="s">
        <v>162</v>
      </c>
      <c r="D26" s="111" t="s">
        <v>163</v>
      </c>
      <c r="E26" s="110" t="s">
        <v>123</v>
      </c>
      <c r="F26" s="191" t="s">
        <v>221</v>
      </c>
    </row>
    <row r="27" spans="1:18" x14ac:dyDescent="0.35">
      <c r="B27" s="448">
        <v>55</v>
      </c>
      <c r="C27" s="449">
        <f t="shared" ref="C27:C41" si="1">VLOOKUP(1962+B27,BP_table,2,1)</f>
        <v>885</v>
      </c>
      <c r="D27" s="450">
        <f t="shared" ref="D27:D41" si="2">VLOOKUP(1962+B27,BP_table,3,1)</f>
        <v>5336</v>
      </c>
      <c r="E27" s="451">
        <f t="shared" ref="E27:E41" si="3">$C$14*C27+$D$14*(D27-C27)+$E$14*MAX(0,$I$8-D27)</f>
        <v>2762.8899999999994</v>
      </c>
      <c r="F27" s="452">
        <f t="shared" ref="F27:F41" si="4">(E27-$G$14)/$G$14</f>
        <v>-0.10461438467121977</v>
      </c>
      <c r="H27" s="565"/>
      <c r="I27" s="565"/>
      <c r="J27" s="565"/>
    </row>
    <row r="28" spans="1:18" x14ac:dyDescent="0.35">
      <c r="B28" s="112">
        <f>B27+1</f>
        <v>56</v>
      </c>
      <c r="C28" s="113">
        <f t="shared" si="1"/>
        <v>895</v>
      </c>
      <c r="D28" s="114">
        <f t="shared" si="2"/>
        <v>5397</v>
      </c>
      <c r="E28" s="115">
        <f t="shared" si="3"/>
        <v>2779.0600000000004</v>
      </c>
      <c r="F28" s="120">
        <f t="shared" si="4"/>
        <v>-9.9374079990299694E-2</v>
      </c>
      <c r="H28" s="565"/>
      <c r="I28" s="565"/>
      <c r="J28" s="565"/>
    </row>
    <row r="29" spans="1:18" x14ac:dyDescent="0.35">
      <c r="B29" s="112">
        <f t="shared" ref="B29:B41" si="5">B28+1</f>
        <v>57</v>
      </c>
      <c r="C29" s="113">
        <f t="shared" si="1"/>
        <v>926</v>
      </c>
      <c r="D29" s="114">
        <f t="shared" si="2"/>
        <v>5583</v>
      </c>
      <c r="E29" s="115">
        <f t="shared" si="3"/>
        <v>2828.66</v>
      </c>
      <c r="F29" s="120">
        <f t="shared" si="4"/>
        <v>-8.3299923393291841E-2</v>
      </c>
      <c r="H29" s="565"/>
      <c r="I29" s="565"/>
      <c r="J29" s="565"/>
    </row>
    <row r="30" spans="1:18" x14ac:dyDescent="0.35">
      <c r="B30" s="112">
        <f t="shared" si="5"/>
        <v>58</v>
      </c>
      <c r="C30" s="113">
        <f t="shared" si="1"/>
        <v>960</v>
      </c>
      <c r="D30" s="114">
        <f t="shared" si="2"/>
        <v>5785</v>
      </c>
      <c r="E30" s="115">
        <f t="shared" si="3"/>
        <v>2882.72</v>
      </c>
      <c r="F30" s="120">
        <f t="shared" si="4"/>
        <v>-6.578038900550448E-2</v>
      </c>
      <c r="H30" s="565"/>
      <c r="I30" s="565"/>
      <c r="J30" s="565"/>
    </row>
    <row r="31" spans="1:18" x14ac:dyDescent="0.35">
      <c r="B31" s="112">
        <f t="shared" si="5"/>
        <v>59</v>
      </c>
      <c r="C31" s="113">
        <f t="shared" si="1"/>
        <v>996</v>
      </c>
      <c r="D31" s="114">
        <f t="shared" si="2"/>
        <v>6002</v>
      </c>
      <c r="E31" s="115">
        <f t="shared" si="3"/>
        <v>2940.4900000000002</v>
      </c>
      <c r="F31" s="120">
        <f t="shared" si="4"/>
        <v>-4.7058533630319789E-2</v>
      </c>
      <c r="H31" s="565"/>
      <c r="I31" s="565"/>
      <c r="J31" s="565"/>
    </row>
    <row r="32" spans="1:18" x14ac:dyDescent="0.35">
      <c r="B32" s="112">
        <f t="shared" si="5"/>
        <v>60</v>
      </c>
      <c r="C32" s="113">
        <f t="shared" si="1"/>
        <v>1024</v>
      </c>
      <c r="D32" s="114">
        <f t="shared" si="2"/>
        <v>6172</v>
      </c>
      <c r="E32" s="115">
        <f t="shared" si="3"/>
        <v>2985.63</v>
      </c>
      <c r="F32" s="120">
        <f t="shared" si="4"/>
        <v>-3.2429754824091148E-2</v>
      </c>
      <c r="H32" s="565"/>
      <c r="I32" s="565"/>
      <c r="J32" s="565"/>
    </row>
    <row r="33" spans="1:18" x14ac:dyDescent="0.35">
      <c r="B33" s="112">
        <f t="shared" si="5"/>
        <v>61</v>
      </c>
      <c r="C33" s="113">
        <f t="shared" si="1"/>
        <v>1054.72</v>
      </c>
      <c r="D33" s="114">
        <f t="shared" si="2"/>
        <v>6357.16</v>
      </c>
      <c r="E33" s="115">
        <f t="shared" si="3"/>
        <v>3034.9247999999998</v>
      </c>
      <c r="F33" s="120">
        <f t="shared" si="4"/>
        <v>-1.6454506142272885E-2</v>
      </c>
      <c r="H33" s="565"/>
      <c r="I33" s="565"/>
      <c r="J33" s="565"/>
    </row>
    <row r="34" spans="1:18" x14ac:dyDescent="0.35">
      <c r="B34" s="112">
        <f t="shared" si="5"/>
        <v>62</v>
      </c>
      <c r="C34" s="113">
        <f t="shared" si="1"/>
        <v>1086.3616</v>
      </c>
      <c r="D34" s="114">
        <f t="shared" si="2"/>
        <v>6547.8747999999996</v>
      </c>
      <c r="E34" s="115">
        <f t="shared" si="3"/>
        <v>3085.6984439999997</v>
      </c>
      <c r="F34" s="120">
        <f t="shared" si="4"/>
        <v>0</v>
      </c>
    </row>
    <row r="35" spans="1:18" x14ac:dyDescent="0.35">
      <c r="B35" s="112">
        <f t="shared" si="5"/>
        <v>63</v>
      </c>
      <c r="C35" s="113">
        <f t="shared" si="1"/>
        <v>1118.952448</v>
      </c>
      <c r="D35" s="114">
        <f t="shared" si="2"/>
        <v>6744.311044</v>
      </c>
      <c r="E35" s="115">
        <f t="shared" si="3"/>
        <v>3137.9952973200002</v>
      </c>
      <c r="F35" s="120">
        <f t="shared" si="4"/>
        <v>1.6948141326541287E-2</v>
      </c>
    </row>
    <row r="36" spans="1:18" x14ac:dyDescent="0.35">
      <c r="B36" s="112">
        <f t="shared" si="5"/>
        <v>64</v>
      </c>
      <c r="C36" s="113">
        <f t="shared" si="1"/>
        <v>1152.5210214400001</v>
      </c>
      <c r="D36" s="114">
        <f t="shared" si="2"/>
        <v>6946.6403753200002</v>
      </c>
      <c r="E36" s="115">
        <f t="shared" si="3"/>
        <v>3191.8610562395997</v>
      </c>
      <c r="F36" s="120">
        <f t="shared" si="4"/>
        <v>3.440472689287849E-2</v>
      </c>
    </row>
    <row r="37" spans="1:18" x14ac:dyDescent="0.35">
      <c r="B37" s="112">
        <f t="shared" si="5"/>
        <v>65</v>
      </c>
      <c r="C37" s="113">
        <f t="shared" si="1"/>
        <v>1187.0966520832001</v>
      </c>
      <c r="D37" s="114">
        <f t="shared" si="2"/>
        <v>7155.0395865796008</v>
      </c>
      <c r="E37" s="115">
        <f t="shared" si="3"/>
        <v>3247.3427879267883</v>
      </c>
      <c r="F37" s="120">
        <f t="shared" si="4"/>
        <v>5.2385010026206144E-2</v>
      </c>
    </row>
    <row r="38" spans="1:18" x14ac:dyDescent="0.35">
      <c r="B38" s="112">
        <f t="shared" si="5"/>
        <v>66</v>
      </c>
      <c r="C38" s="113">
        <f t="shared" si="1"/>
        <v>1222.7095516456961</v>
      </c>
      <c r="D38" s="114">
        <f t="shared" si="2"/>
        <v>7369.6907741769892</v>
      </c>
      <c r="E38" s="115">
        <f t="shared" si="3"/>
        <v>3304.4889715645918</v>
      </c>
      <c r="F38" s="120">
        <f t="shared" si="4"/>
        <v>7.0904701653533381E-2</v>
      </c>
    </row>
    <row r="39" spans="1:18" x14ac:dyDescent="0.35">
      <c r="B39" s="112">
        <f t="shared" si="5"/>
        <v>67</v>
      </c>
      <c r="C39" s="113">
        <f t="shared" si="1"/>
        <v>1259.3908381950671</v>
      </c>
      <c r="D39" s="114">
        <f t="shared" si="2"/>
        <v>7590.7814974022995</v>
      </c>
      <c r="E39" s="115">
        <f t="shared" si="3"/>
        <v>3363.3495407115297</v>
      </c>
      <c r="F39" s="120">
        <f t="shared" si="4"/>
        <v>8.9979984029680535E-2</v>
      </c>
    </row>
    <row r="40" spans="1:18" x14ac:dyDescent="0.35">
      <c r="B40" s="112">
        <f t="shared" si="5"/>
        <v>68</v>
      </c>
      <c r="C40" s="113">
        <f t="shared" si="1"/>
        <v>1297.1725633409192</v>
      </c>
      <c r="D40" s="114">
        <f t="shared" si="2"/>
        <v>7818.504942324369</v>
      </c>
      <c r="E40" s="115">
        <f t="shared" si="3"/>
        <v>3423.9759269328761</v>
      </c>
      <c r="F40" s="120">
        <f t="shared" si="4"/>
        <v>0.10962752487711222</v>
      </c>
    </row>
    <row r="41" spans="1:18" x14ac:dyDescent="0.35">
      <c r="B41" s="116">
        <f t="shared" si="5"/>
        <v>69</v>
      </c>
      <c r="C41" s="117">
        <f t="shared" si="1"/>
        <v>1336.0877402411468</v>
      </c>
      <c r="D41" s="118">
        <f t="shared" si="2"/>
        <v>8053.0600905941001</v>
      </c>
      <c r="E41" s="119">
        <f t="shared" si="3"/>
        <v>3486.4211047408621</v>
      </c>
      <c r="F41" s="121">
        <f t="shared" si="4"/>
        <v>0.1298644919499666</v>
      </c>
      <c r="H41" s="192" t="s">
        <v>233</v>
      </c>
      <c r="I41" s="193" cm="1">
        <f t="array" ref="I41">AVERAGE(ABS(F27:F33),F35:F41)</f>
        <v>6.8080439458065592E-2</v>
      </c>
    </row>
    <row r="42" spans="1:18" s="93" customFormat="1" x14ac:dyDescent="0.35">
      <c r="R42" s="92"/>
    </row>
    <row r="43" spans="1:18" x14ac:dyDescent="0.35">
      <c r="A43" s="106" t="s">
        <v>224</v>
      </c>
      <c r="B43" s="107"/>
      <c r="C43" s="108"/>
    </row>
    <row r="44" spans="1:18" x14ac:dyDescent="0.35">
      <c r="A44" s="56"/>
      <c r="J44" s="565"/>
      <c r="K44" s="565"/>
      <c r="L44" s="565"/>
    </row>
    <row r="45" spans="1:18" x14ac:dyDescent="0.35">
      <c r="B45" s="109" t="s">
        <v>222</v>
      </c>
      <c r="C45" s="110" t="s">
        <v>437</v>
      </c>
      <c r="D45" s="110" t="s">
        <v>122</v>
      </c>
      <c r="E45" s="111" t="s">
        <v>123</v>
      </c>
      <c r="F45" s="190" t="s">
        <v>213</v>
      </c>
      <c r="J45" s="565"/>
      <c r="K45" s="565"/>
      <c r="L45" s="565"/>
    </row>
    <row r="46" spans="1:18" x14ac:dyDescent="0.35">
      <c r="B46" s="112">
        <v>10</v>
      </c>
      <c r="C46" s="502">
        <f>$B$51-B46</f>
        <v>25</v>
      </c>
      <c r="D46" s="115">
        <f>ROUNDDOWN(AVERAGE(ss_calc!K4:K13)/12,1)</f>
        <v>10127.1</v>
      </c>
      <c r="E46" s="122">
        <f t="shared" ref="E46:E51" si="6">$C$14*$F$8+$D$14*($G$8-$F$8)+$E$14*MAX(0,D46-$G$8)</f>
        <v>3262.2934439999999</v>
      </c>
      <c r="F46" s="124">
        <f t="shared" ref="F46:F51" si="7">(E46-$E$51)/$E$51</f>
        <v>5.7230154924367678E-2</v>
      </c>
      <c r="J46" s="565"/>
      <c r="K46" s="565"/>
      <c r="L46" s="565"/>
    </row>
    <row r="47" spans="1:18" x14ac:dyDescent="0.35">
      <c r="B47" s="112">
        <f>B46+5</f>
        <v>15</v>
      </c>
      <c r="C47" s="502">
        <f t="shared" ref="C47:C51" si="8">$B$51-B47</f>
        <v>20</v>
      </c>
      <c r="D47" s="115">
        <f>ROUNDDOWN(AVERAGE(ss_calc!K4:K18)/12,1)</f>
        <v>9891.6</v>
      </c>
      <c r="E47" s="122">
        <f t="shared" si="6"/>
        <v>3226.9684440000001</v>
      </c>
      <c r="F47" s="124">
        <f t="shared" si="7"/>
        <v>4.5782179485067159E-2</v>
      </c>
      <c r="J47" s="565"/>
      <c r="K47" s="565"/>
      <c r="L47" s="565"/>
    </row>
    <row r="48" spans="1:18" x14ac:dyDescent="0.35">
      <c r="B48" s="112">
        <f>B47+5</f>
        <v>20</v>
      </c>
      <c r="C48" s="502">
        <f t="shared" si="8"/>
        <v>15</v>
      </c>
      <c r="D48" s="115">
        <f>ROUNDDOWN(AVERAGE(ss_calc!K4:K23)/12,1)</f>
        <v>9667.6</v>
      </c>
      <c r="E48" s="122">
        <f t="shared" si="6"/>
        <v>3193.3684439999997</v>
      </c>
      <c r="F48" s="124">
        <f t="shared" si="7"/>
        <v>3.4893234693545473E-2</v>
      </c>
      <c r="J48" s="565"/>
      <c r="K48" s="565"/>
      <c r="L48" s="565"/>
    </row>
    <row r="49" spans="1:18" x14ac:dyDescent="0.35">
      <c r="B49" s="112">
        <f t="shared" ref="B49:B51" si="9">B48+5</f>
        <v>25</v>
      </c>
      <c r="C49" s="502">
        <f t="shared" si="8"/>
        <v>10</v>
      </c>
      <c r="D49" s="115">
        <f>ROUNDDOWN(AVERAGE(ss_calc!K4:K28)/12,1)</f>
        <v>9511.1</v>
      </c>
      <c r="E49" s="122">
        <f t="shared" si="6"/>
        <v>3169.8934439999998</v>
      </c>
      <c r="F49" s="124">
        <f t="shared" si="7"/>
        <v>2.7285556747683338E-2</v>
      </c>
      <c r="J49" s="565"/>
      <c r="K49" s="565"/>
      <c r="L49" s="565"/>
    </row>
    <row r="50" spans="1:18" x14ac:dyDescent="0.35">
      <c r="B50" s="112">
        <f t="shared" si="9"/>
        <v>30</v>
      </c>
      <c r="C50" s="502">
        <f t="shared" si="8"/>
        <v>5</v>
      </c>
      <c r="D50" s="115">
        <f>ROUNDDOWN(AVERAGE(ss_calc!K4:K33)/12,1)</f>
        <v>9371.2999999999993</v>
      </c>
      <c r="E50" s="122">
        <f t="shared" si="6"/>
        <v>3148.9234439999996</v>
      </c>
      <c r="F50" s="124">
        <f t="shared" si="7"/>
        <v>2.0489688525117563E-2</v>
      </c>
      <c r="J50" s="565"/>
      <c r="K50" s="565"/>
      <c r="L50" s="565"/>
    </row>
    <row r="51" spans="1:18" x14ac:dyDescent="0.35">
      <c r="B51" s="116">
        <f t="shared" si="9"/>
        <v>35</v>
      </c>
      <c r="C51" s="503">
        <f t="shared" si="8"/>
        <v>0</v>
      </c>
      <c r="D51" s="119">
        <f>ROUNDDOWN(AVERAGE(ss_calc!K4:K38)/12,1)</f>
        <v>8949.7999999999993</v>
      </c>
      <c r="E51" s="123">
        <f t="shared" si="6"/>
        <v>3085.6984439999997</v>
      </c>
      <c r="F51" s="125">
        <f t="shared" si="7"/>
        <v>0</v>
      </c>
      <c r="H51" s="192" t="s">
        <v>233</v>
      </c>
      <c r="I51" s="193">
        <f>AVERAGE(F46:F50)</f>
        <v>3.7136162875156239E-2</v>
      </c>
    </row>
    <row r="53" spans="1:18" s="89" customFormat="1" x14ac:dyDescent="0.35">
      <c r="A53" s="106" t="s">
        <v>206</v>
      </c>
      <c r="B53" s="107"/>
      <c r="C53" s="108"/>
      <c r="R53" s="88"/>
    </row>
    <row r="55" spans="1:18" x14ac:dyDescent="0.35">
      <c r="B55" s="127">
        <v>2022</v>
      </c>
      <c r="C55" s="107" t="s">
        <v>162</v>
      </c>
      <c r="D55" s="128">
        <f>VLOOKUP($B$55,BP_table,2,1)</f>
        <v>1024</v>
      </c>
      <c r="E55" s="107" t="s">
        <v>163</v>
      </c>
      <c r="F55" s="129">
        <f>VLOOKUP($B$55,BP_table,3,1)</f>
        <v>6172</v>
      </c>
      <c r="G55" s="1" t="s">
        <v>298</v>
      </c>
    </row>
    <row r="56" spans="1:18" x14ac:dyDescent="0.35">
      <c r="I56" s="565"/>
      <c r="J56" s="565"/>
      <c r="K56" s="565"/>
    </row>
    <row r="57" spans="1:18" x14ac:dyDescent="0.35">
      <c r="B57" s="126" t="s">
        <v>150</v>
      </c>
      <c r="C57" s="111" t="s">
        <v>297</v>
      </c>
      <c r="D57" s="110" t="s">
        <v>165</v>
      </c>
      <c r="E57" s="111" t="s">
        <v>166</v>
      </c>
      <c r="F57" s="110" t="s">
        <v>123</v>
      </c>
      <c r="G57" s="191" t="s">
        <v>213</v>
      </c>
      <c r="I57" s="565"/>
      <c r="J57" s="565"/>
      <c r="K57" s="565"/>
    </row>
    <row r="58" spans="1:18" x14ac:dyDescent="0.35">
      <c r="B58" s="112">
        <v>0.01</v>
      </c>
      <c r="C58" s="263">
        <f>ABS(B58-$B$60)</f>
        <v>1.9999999999999997E-2</v>
      </c>
      <c r="D58" s="115">
        <f t="shared" ref="D58:D64" si="10">$D$55*((1+B58)^(2024-2022))</f>
        <v>1044.5824</v>
      </c>
      <c r="E58" s="122">
        <f t="shared" ref="E58:E64" si="11">$F$55*((1+B58)^(2024-2022))</f>
        <v>6296.0572000000002</v>
      </c>
      <c r="F58" s="115">
        <f t="shared" ref="F58:F64" si="12">$C$14*D58+$D$14*(E58-D58)+$E$14*MAX(0,$I$8-E58)</f>
        <v>3018.6575160000002</v>
      </c>
      <c r="G58" s="120">
        <f t="shared" ref="G58:G64" si="13">(F58-$F$60)/$F$60</f>
        <v>-2.1726338207272804E-2</v>
      </c>
      <c r="I58" s="565"/>
      <c r="J58" s="565"/>
      <c r="K58" s="565"/>
    </row>
    <row r="59" spans="1:18" x14ac:dyDescent="0.35">
      <c r="B59" s="112">
        <f>B58+0.01</f>
        <v>0.02</v>
      </c>
      <c r="C59" s="263">
        <f t="shared" ref="C59:C64" si="14">ABS(B59-$B$60)</f>
        <v>9.9999999999999985E-3</v>
      </c>
      <c r="D59" s="115">
        <f t="shared" si="10"/>
        <v>1065.3696</v>
      </c>
      <c r="E59" s="122">
        <f t="shared" si="11"/>
        <v>6421.3487999999998</v>
      </c>
      <c r="F59" s="115">
        <f t="shared" si="12"/>
        <v>3052.0136640000001</v>
      </c>
      <c r="G59" s="120">
        <f t="shared" si="13"/>
        <v>-1.0916419932575756E-2</v>
      </c>
      <c r="I59" s="565"/>
      <c r="J59" s="565"/>
      <c r="K59" s="565"/>
    </row>
    <row r="60" spans="1:18" x14ac:dyDescent="0.35">
      <c r="B60" s="112">
        <f t="shared" ref="B60:B64" si="15">B59+0.01</f>
        <v>0.03</v>
      </c>
      <c r="C60" s="263">
        <f t="shared" si="14"/>
        <v>0</v>
      </c>
      <c r="D60" s="115">
        <f t="shared" si="10"/>
        <v>1086.3616</v>
      </c>
      <c r="E60" s="122">
        <f t="shared" si="11"/>
        <v>6547.8747999999996</v>
      </c>
      <c r="F60" s="115">
        <f t="shared" si="12"/>
        <v>3085.6984439999997</v>
      </c>
      <c r="G60" s="120">
        <f t="shared" si="13"/>
        <v>0</v>
      </c>
      <c r="I60" s="565"/>
      <c r="J60" s="565"/>
      <c r="K60" s="565"/>
    </row>
    <row r="61" spans="1:18" x14ac:dyDescent="0.35">
      <c r="B61" s="112">
        <f t="shared" si="15"/>
        <v>0.04</v>
      </c>
      <c r="C61" s="263">
        <f t="shared" si="14"/>
        <v>1.0000000000000002E-2</v>
      </c>
      <c r="D61" s="115">
        <f t="shared" si="10"/>
        <v>1107.5584000000001</v>
      </c>
      <c r="E61" s="122">
        <f t="shared" si="11"/>
        <v>6675.6352000000006</v>
      </c>
      <c r="F61" s="115">
        <f t="shared" si="12"/>
        <v>3119.7118559999999</v>
      </c>
      <c r="G61" s="120">
        <f t="shared" si="13"/>
        <v>1.1022921590454756E-2</v>
      </c>
      <c r="I61" s="565"/>
      <c r="J61" s="565"/>
      <c r="K61" s="565"/>
    </row>
    <row r="62" spans="1:18" x14ac:dyDescent="0.35">
      <c r="B62" s="112">
        <f t="shared" si="15"/>
        <v>0.05</v>
      </c>
      <c r="C62" s="263">
        <f t="shared" si="14"/>
        <v>2.0000000000000004E-2</v>
      </c>
      <c r="D62" s="115">
        <f t="shared" si="10"/>
        <v>1128.96</v>
      </c>
      <c r="E62" s="122">
        <f t="shared" si="11"/>
        <v>6804.63</v>
      </c>
      <c r="F62" s="115">
        <f t="shared" si="12"/>
        <v>3154.0538999999999</v>
      </c>
      <c r="G62" s="120">
        <f t="shared" si="13"/>
        <v>2.215234483878822E-2</v>
      </c>
      <c r="I62" s="565"/>
      <c r="J62" s="565"/>
      <c r="K62" s="565"/>
    </row>
    <row r="63" spans="1:18" x14ac:dyDescent="0.35">
      <c r="B63" s="112">
        <f t="shared" si="15"/>
        <v>6.0000000000000005E-2</v>
      </c>
      <c r="C63" s="263">
        <f t="shared" si="14"/>
        <v>3.0000000000000006E-2</v>
      </c>
      <c r="D63" s="115">
        <f t="shared" si="10"/>
        <v>1150.5664000000002</v>
      </c>
      <c r="E63" s="122">
        <f t="shared" si="11"/>
        <v>6934.8592000000008</v>
      </c>
      <c r="F63" s="115">
        <f t="shared" si="12"/>
        <v>3188.7245760000005</v>
      </c>
      <c r="G63" s="120">
        <f t="shared" si="13"/>
        <v>3.3388269745000684E-2</v>
      </c>
    </row>
    <row r="64" spans="1:18" x14ac:dyDescent="0.35">
      <c r="B64" s="116">
        <f t="shared" si="15"/>
        <v>7.0000000000000007E-2</v>
      </c>
      <c r="C64" s="264">
        <f t="shared" si="14"/>
        <v>4.0000000000000008E-2</v>
      </c>
      <c r="D64" s="119">
        <f t="shared" si="10"/>
        <v>1172.3776</v>
      </c>
      <c r="E64" s="123">
        <f t="shared" si="11"/>
        <v>7066.3227999999999</v>
      </c>
      <c r="F64" s="119">
        <f t="shared" si="12"/>
        <v>3223.7238840000005</v>
      </c>
      <c r="G64" s="121">
        <f t="shared" si="13"/>
        <v>4.4730696309091704E-2</v>
      </c>
      <c r="I64" s="192" t="s">
        <v>233</v>
      </c>
      <c r="J64" s="193" cm="1">
        <f t="array" ref="J64">AVERAGE(ABS(G58:G59),G61:G64)</f>
        <v>2.3989498437197321E-2</v>
      </c>
    </row>
    <row r="66" spans="18:18" s="89" customFormat="1" x14ac:dyDescent="0.35">
      <c r="R66" s="88"/>
    </row>
  </sheetData>
  <mergeCells count="5">
    <mergeCell ref="B10:M10"/>
    <mergeCell ref="J14:L20"/>
    <mergeCell ref="H27:J33"/>
    <mergeCell ref="J44:L50"/>
    <mergeCell ref="I56:K62"/>
  </mergeCells>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type="column" displayEmptyCellsAs="gap" xr2:uid="{8DCAAC9C-EF74-4528-8A0C-398EF099AD71}">
          <x14:colorSeries theme="9" tint="-0.249977111117893"/>
          <x14:colorNegative rgb="FFD00000"/>
          <x14:colorAxis rgb="FF000000"/>
          <x14:colorMarkers rgb="FFD00000"/>
          <x14:colorFirst rgb="FFD00000"/>
          <x14:colorLast rgb="FFD00000"/>
          <x14:colorHigh rgb="FFD00000"/>
          <x14:colorLow rgb="FFD00000"/>
          <x14:sparklines>
            <x14:sparkline>
              <xm:f>bend_pts!F27:F41</xm:f>
              <xm:sqref>H27</xm:sqref>
            </x14:sparkline>
          </x14:sparklines>
        </x14:sparklineGroup>
        <x14:sparklineGroup type="column" displayEmptyCellsAs="gap" xr2:uid="{81881B2E-6D20-416B-9F1D-F683BBF04D7E}">
          <x14:colorSeries theme="9" tint="-0.249977111117893"/>
          <x14:colorNegative rgb="FFD00000"/>
          <x14:colorAxis rgb="FF000000"/>
          <x14:colorMarkers rgb="FFD00000"/>
          <x14:colorFirst rgb="FFD00000"/>
          <x14:colorLast rgb="FFD00000"/>
          <x14:colorHigh rgb="FFD00000"/>
          <x14:colorLow rgb="FFD00000"/>
          <x14:sparklines>
            <x14:sparkline>
              <xm:f>bend_pts!D17:D22</xm:f>
              <xm:sqref>J14</xm:sqref>
            </x14:sparkline>
          </x14:sparklines>
        </x14:sparklineGroup>
        <x14:sparklineGroup type="column" displayEmptyCellsAs="gap" xr2:uid="{D0F06B35-0B18-4541-ADF4-05F5B7E8841D}">
          <x14:colorSeries theme="9" tint="-0.249977111117893"/>
          <x14:colorNegative rgb="FFD00000"/>
          <x14:colorAxis rgb="FF000000"/>
          <x14:colorMarkers rgb="FFD00000"/>
          <x14:colorFirst rgb="FFD00000"/>
          <x14:colorLast rgb="FFD00000"/>
          <x14:colorHigh rgb="FFD00000"/>
          <x14:colorLow rgb="FFD00000"/>
          <x14:sparklines>
            <x14:sparkline>
              <xm:f>bend_pts!F46:F51</xm:f>
              <xm:sqref>J44</xm:sqref>
            </x14:sparkline>
          </x14:sparklines>
        </x14:sparklineGroup>
        <x14:sparklineGroup type="column" displayEmptyCellsAs="gap" xr2:uid="{744948D1-8EF2-49F4-8E04-AE53B8C17956}">
          <x14:colorSeries theme="9" tint="-0.249977111117893"/>
          <x14:colorNegative rgb="FFD00000"/>
          <x14:colorAxis rgb="FF000000"/>
          <x14:colorMarkers rgb="FFD00000"/>
          <x14:colorFirst rgb="FFD00000"/>
          <x14:colorLast rgb="FFD00000"/>
          <x14:colorHigh rgb="FFD00000"/>
          <x14:colorLow rgb="FFD00000"/>
          <x14:sparklines>
            <x14:sparkline>
              <xm:f>bend_pts!G58:G64</xm:f>
              <xm:sqref>I56</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8098-EE44-44BE-B5A4-D6C48586A131}">
  <sheetPr>
    <tabColor theme="9" tint="0.79998168889431442"/>
  </sheetPr>
  <dimension ref="A1:AT51"/>
  <sheetViews>
    <sheetView zoomScale="68" workbookViewId="0">
      <pane ySplit="1" topLeftCell="A2" activePane="bottomLeft" state="frozen"/>
      <selection pane="bottomLeft" activeCell="AO5" sqref="AO5"/>
    </sheetView>
  </sheetViews>
  <sheetFormatPr defaultRowHeight="14.5" x14ac:dyDescent="0.35"/>
  <cols>
    <col min="1" max="17" width="13.1796875" style="1" customWidth="1"/>
    <col min="18" max="18" width="13.1796875" style="90" customWidth="1"/>
    <col min="19" max="33" width="13.1796875" style="1" customWidth="1"/>
    <col min="34" max="34" width="13.1796875" style="90" customWidth="1"/>
    <col min="35" max="45" width="13.1796875" style="1" customWidth="1"/>
    <col min="46" max="46" width="13.1796875" style="91" customWidth="1"/>
    <col min="47" max="16384" width="8.7265625" style="1"/>
  </cols>
  <sheetData>
    <row r="1" spans="1:45" x14ac:dyDescent="0.35">
      <c r="A1" s="56" t="s">
        <v>278</v>
      </c>
      <c r="B1" s="185"/>
    </row>
    <row r="2" spans="1:45" x14ac:dyDescent="0.35">
      <c r="A2" s="1" t="s">
        <v>432</v>
      </c>
      <c r="B2" s="185"/>
      <c r="F2" s="381" t="s">
        <v>414</v>
      </c>
      <c r="G2" s="376"/>
      <c r="H2" s="376"/>
      <c r="I2" s="376"/>
      <c r="J2" s="376"/>
      <c r="K2" s="376"/>
      <c r="L2" s="376"/>
      <c r="M2" s="377"/>
      <c r="T2" s="382" t="s">
        <v>332</v>
      </c>
      <c r="U2" s="318"/>
      <c r="V2" s="318"/>
      <c r="W2" s="318"/>
      <c r="X2" s="383"/>
      <c r="AI2" s="382" t="s">
        <v>334</v>
      </c>
      <c r="AJ2" s="384"/>
      <c r="AK2" s="384"/>
      <c r="AL2" s="384"/>
      <c r="AM2" s="384"/>
      <c r="AN2" s="384"/>
      <c r="AO2" s="384"/>
      <c r="AP2" s="385"/>
      <c r="AQ2" s="1" t="s">
        <v>415</v>
      </c>
    </row>
    <row r="3" spans="1:45" x14ac:dyDescent="0.35">
      <c r="B3" s="185"/>
      <c r="F3" s="378" t="s">
        <v>333</v>
      </c>
      <c r="G3" s="379"/>
      <c r="H3" s="379"/>
      <c r="I3" s="379"/>
      <c r="J3" s="379"/>
      <c r="K3" s="379"/>
      <c r="L3" s="379"/>
      <c r="M3" s="380"/>
    </row>
    <row r="4" spans="1:45" x14ac:dyDescent="0.35">
      <c r="A4" s="131" t="s">
        <v>331</v>
      </c>
      <c r="B4" s="132"/>
      <c r="C4" s="56"/>
      <c r="D4" s="56"/>
      <c r="E4" s="56"/>
      <c r="R4" s="131" t="s">
        <v>88</v>
      </c>
      <c r="S4" s="132"/>
      <c r="U4" s="56"/>
      <c r="AA4" s="185"/>
      <c r="AH4" s="131" t="s">
        <v>325</v>
      </c>
      <c r="AI4" s="225"/>
      <c r="AJ4" s="226"/>
      <c r="AN4" s="53"/>
      <c r="AO4"/>
      <c r="AP4" s="312" t="s">
        <v>322</v>
      </c>
      <c r="AQ4" s="313">
        <f>1962+62</f>
        <v>2024</v>
      </c>
      <c r="AR4" s="314"/>
    </row>
    <row r="5" spans="1:45" x14ac:dyDescent="0.35">
      <c r="L5" s="184"/>
      <c r="AP5" s="294" t="s">
        <v>324</v>
      </c>
      <c r="AQ5" s="315">
        <f>VLOOKUP($AQ$4,appendix!$C$4:$E$54,2,1)</f>
        <v>1086.3616</v>
      </c>
      <c r="AR5" s="316">
        <f>VLOOKUP($AQ$4,appendix!$C$4:$E$54,3,1)</f>
        <v>6547.8747999999996</v>
      </c>
    </row>
    <row r="6" spans="1:45" x14ac:dyDescent="0.35">
      <c r="B6" s="292" t="s">
        <v>212</v>
      </c>
      <c r="C6" s="295" t="s">
        <v>319</v>
      </c>
      <c r="D6" s="296" t="s">
        <v>318</v>
      </c>
      <c r="E6" s="295" t="s">
        <v>317</v>
      </c>
      <c r="F6" s="296" t="s">
        <v>174</v>
      </c>
      <c r="G6" s="295" t="s">
        <v>172</v>
      </c>
      <c r="H6" s="296" t="s">
        <v>171</v>
      </c>
      <c r="I6" s="295" t="s">
        <v>170</v>
      </c>
      <c r="J6" s="296" t="s">
        <v>169</v>
      </c>
      <c r="K6" s="297" t="s">
        <v>23</v>
      </c>
      <c r="L6" s="296" t="s">
        <v>175</v>
      </c>
      <c r="M6" s="295" t="s">
        <v>176</v>
      </c>
      <c r="N6" s="296" t="s">
        <v>177</v>
      </c>
      <c r="O6" s="295" t="s">
        <v>178</v>
      </c>
      <c r="P6" s="298" t="s">
        <v>173</v>
      </c>
      <c r="S6" s="566" t="s">
        <v>319</v>
      </c>
      <c r="T6" s="566" t="s">
        <v>318</v>
      </c>
      <c r="U6" s="566" t="s">
        <v>317</v>
      </c>
      <c r="V6" s="566" t="s">
        <v>174</v>
      </c>
      <c r="W6" s="566" t="s">
        <v>172</v>
      </c>
      <c r="X6" s="566" t="s">
        <v>171</v>
      </c>
      <c r="Y6" s="566" t="s">
        <v>170</v>
      </c>
      <c r="Z6" s="566" t="s">
        <v>169</v>
      </c>
      <c r="AA6" s="571" t="str">
        <f>"@ TWB"</f>
        <v>@ TWB</v>
      </c>
      <c r="AB6" s="566" t="s">
        <v>175</v>
      </c>
      <c r="AC6" s="566" t="s">
        <v>176</v>
      </c>
      <c r="AD6" s="566" t="s">
        <v>177</v>
      </c>
      <c r="AE6" s="566" t="s">
        <v>178</v>
      </c>
      <c r="AF6" s="566" t="s">
        <v>173</v>
      </c>
      <c r="AI6" s="566" t="s">
        <v>6</v>
      </c>
      <c r="AJ6" s="568" t="s">
        <v>88</v>
      </c>
      <c r="AK6" s="568" t="s">
        <v>27</v>
      </c>
      <c r="AL6" s="568" t="s">
        <v>89</v>
      </c>
      <c r="AM6" s="568" t="s">
        <v>90</v>
      </c>
      <c r="AN6" s="566" t="s">
        <v>320</v>
      </c>
    </row>
    <row r="7" spans="1:45" x14ac:dyDescent="0.35">
      <c r="B7" s="293" t="s">
        <v>323</v>
      </c>
      <c r="C7" s="299">
        <f>1-0.2</f>
        <v>0.8</v>
      </c>
      <c r="D7" s="300">
        <f>1-0.15</f>
        <v>0.85</v>
      </c>
      <c r="E7" s="299">
        <f>1-0.1</f>
        <v>0.9</v>
      </c>
      <c r="F7" s="300">
        <v>0.95</v>
      </c>
      <c r="G7" s="301">
        <v>0.96</v>
      </c>
      <c r="H7" s="300">
        <f>1-0.03</f>
        <v>0.97</v>
      </c>
      <c r="I7" s="301">
        <v>0.98</v>
      </c>
      <c r="J7" s="300">
        <v>0.99</v>
      </c>
      <c r="K7" s="302">
        <v>1</v>
      </c>
      <c r="L7" s="300">
        <v>1.01</v>
      </c>
      <c r="M7" s="301">
        <v>1.02</v>
      </c>
      <c r="N7" s="300">
        <v>1.03</v>
      </c>
      <c r="O7" s="301">
        <v>1.04</v>
      </c>
      <c r="P7" s="303">
        <v>1.05</v>
      </c>
      <c r="S7" s="567"/>
      <c r="T7" s="567"/>
      <c r="U7" s="567"/>
      <c r="V7" s="567"/>
      <c r="W7" s="567"/>
      <c r="X7" s="567"/>
      <c r="Y7" s="567"/>
      <c r="Z7" s="567"/>
      <c r="AA7" s="572"/>
      <c r="AB7" s="567"/>
      <c r="AC7" s="567"/>
      <c r="AD7" s="567"/>
      <c r="AE7" s="567"/>
      <c r="AF7" s="567"/>
      <c r="AI7" s="567"/>
      <c r="AJ7" s="569"/>
      <c r="AK7" s="569"/>
      <c r="AL7" s="569"/>
      <c r="AM7" s="570"/>
      <c r="AN7" s="567"/>
      <c r="AP7" s="317"/>
      <c r="AQ7" s="318"/>
      <c r="AR7" s="292" t="s">
        <v>213</v>
      </c>
      <c r="AS7" s="53"/>
    </row>
    <row r="8" spans="1:45" x14ac:dyDescent="0.35">
      <c r="B8" s="293">
        <f>appendix!P22</f>
        <v>1984</v>
      </c>
      <c r="C8" s="284">
        <f>K8*$C$7</f>
        <v>30240</v>
      </c>
      <c r="D8" s="133">
        <f>L8*$D$7</f>
        <v>32451.3</v>
      </c>
      <c r="E8" s="284">
        <f>M8*$E$7</f>
        <v>34700.400000000001</v>
      </c>
      <c r="F8" s="133">
        <f t="shared" ref="F8:F49" si="0">K8*$F$7</f>
        <v>35910</v>
      </c>
      <c r="G8" s="284">
        <f t="shared" ref="G8:G49" si="1">K8*$G$7</f>
        <v>36288</v>
      </c>
      <c r="H8" s="133">
        <f t="shared" ref="H8:H49" si="2">K8*$H$7</f>
        <v>36666</v>
      </c>
      <c r="I8" s="284">
        <f t="shared" ref="I8:I49" si="3">K8*$I$7</f>
        <v>37044</v>
      </c>
      <c r="J8" s="133">
        <f t="shared" ref="J8:J49" si="4">K8*$J$7</f>
        <v>37422</v>
      </c>
      <c r="K8" s="491">
        <f t="shared" ref="K8:K49" si="5">VLOOKUP(B8,TWB_table,2,1)</f>
        <v>37800</v>
      </c>
      <c r="L8" s="133">
        <f t="shared" ref="L8:L49" si="6">$K8*$L$7</f>
        <v>38178</v>
      </c>
      <c r="M8" s="284">
        <f t="shared" ref="M8:M49" si="7">$K8*$M$7</f>
        <v>38556</v>
      </c>
      <c r="N8" s="133">
        <f t="shared" ref="N8:N49" si="8">$K8*$N$7</f>
        <v>38934</v>
      </c>
      <c r="O8" s="284">
        <f t="shared" ref="O8:O49" si="9">$K8*$O$7</f>
        <v>39312</v>
      </c>
      <c r="P8" s="286">
        <f t="shared" ref="P8:P49" si="10">$K8*$P$7</f>
        <v>39690</v>
      </c>
      <c r="S8" s="304">
        <f>MIN(ss_calc!E4,TWB!C8)</f>
        <v>30240</v>
      </c>
      <c r="T8" s="305">
        <f>MIN(ss_calc!E4,TWB!D8)</f>
        <v>32451.3</v>
      </c>
      <c r="U8" s="306">
        <f>MIN(ss_calc!E4,TWB!E8)</f>
        <v>34700.400000000001</v>
      </c>
      <c r="V8" s="284">
        <f>MIN(ss_calc!E4,TWB!F8)</f>
        <v>35000</v>
      </c>
      <c r="W8" s="133">
        <f>MIN(ss_calc!E4,TWB!G8)</f>
        <v>35000</v>
      </c>
      <c r="X8" s="284">
        <f>MIN(ss_calc!E4,TWB!H8)</f>
        <v>35000</v>
      </c>
      <c r="Y8" s="133">
        <f>MIN(ss_calc!E4,TWB!I8)</f>
        <v>35000</v>
      </c>
      <c r="Z8" s="284">
        <f>MIN(ss_calc!E4,TWB!J8)</f>
        <v>35000</v>
      </c>
      <c r="AA8" s="134">
        <f>MIN(ss_calc!E4,TWB!K8)</f>
        <v>35000</v>
      </c>
      <c r="AB8" s="284">
        <f>MIN(ss_calc!E4,TWB!L8)</f>
        <v>35000</v>
      </c>
      <c r="AC8" s="133">
        <f>MIN(ss_calc!E4,TWB!M8)</f>
        <v>35000</v>
      </c>
      <c r="AD8" s="284">
        <f>MIN(ss_calc!E4,TWB!N8)</f>
        <v>35000</v>
      </c>
      <c r="AE8" s="133">
        <f>MIN(ss_calc!E4,TWB!O8)</f>
        <v>35000</v>
      </c>
      <c r="AF8" s="284">
        <f>MIN(ss_calc!E4,TWB!P8)</f>
        <v>35000</v>
      </c>
      <c r="AI8" s="368">
        <v>1</v>
      </c>
      <c r="AJ8" s="369">
        <f>S8</f>
        <v>30240</v>
      </c>
      <c r="AK8" s="369">
        <f>ss_calc!G4</f>
        <v>16135.07</v>
      </c>
      <c r="AL8" s="370">
        <f>IF(AI8&lt;=$AI$46,$AK$46/AK8,1)</f>
        <v>3.657646464502478</v>
      </c>
      <c r="AM8" s="375">
        <f>AJ8*AL8</f>
        <v>110607.22908655493</v>
      </c>
      <c r="AN8" s="372">
        <v>117432.37304531453</v>
      </c>
      <c r="AP8" s="319" t="s">
        <v>122</v>
      </c>
      <c r="AQ8" s="321">
        <f>ROUNDDOWN(AVERAGE(AN8:AN42)/12,1)</f>
        <v>8761</v>
      </c>
      <c r="AR8" s="322">
        <f>(AQ8-ss_calc!N4)/ss_calc!N4</f>
        <v>-2.1095443473597097E-2</v>
      </c>
      <c r="AS8" s="189"/>
    </row>
    <row r="9" spans="1:45" x14ac:dyDescent="0.35">
      <c r="B9" s="293">
        <f>appendix!P23</f>
        <v>1985</v>
      </c>
      <c r="C9" s="284">
        <f t="shared" ref="C9:C49" si="11">K9*$C$7</f>
        <v>31680</v>
      </c>
      <c r="D9" s="133">
        <f t="shared" ref="D9:D49" si="12">L9*$D$7</f>
        <v>33996.6</v>
      </c>
      <c r="E9" s="284">
        <f t="shared" ref="E9:E49" si="13">M9*$E$7</f>
        <v>36352.800000000003</v>
      </c>
      <c r="F9" s="133">
        <f t="shared" si="0"/>
        <v>37620</v>
      </c>
      <c r="G9" s="284">
        <f t="shared" si="1"/>
        <v>38016</v>
      </c>
      <c r="H9" s="133">
        <f t="shared" si="2"/>
        <v>38412</v>
      </c>
      <c r="I9" s="284">
        <f t="shared" si="3"/>
        <v>38808</v>
      </c>
      <c r="J9" s="133">
        <f t="shared" si="4"/>
        <v>39204</v>
      </c>
      <c r="K9" s="285">
        <f t="shared" si="5"/>
        <v>39600</v>
      </c>
      <c r="L9" s="133">
        <f t="shared" si="6"/>
        <v>39996</v>
      </c>
      <c r="M9" s="284">
        <f t="shared" si="7"/>
        <v>40392</v>
      </c>
      <c r="N9" s="133">
        <f t="shared" si="8"/>
        <v>40788</v>
      </c>
      <c r="O9" s="284">
        <f t="shared" si="9"/>
        <v>41184</v>
      </c>
      <c r="P9" s="286">
        <f t="shared" si="10"/>
        <v>41580</v>
      </c>
      <c r="S9" s="304">
        <f>MIN(ss_calc!E5,TWB!C9)</f>
        <v>31680</v>
      </c>
      <c r="T9" s="305">
        <f>MIN(ss_calc!E5,TWB!D9)</f>
        <v>33996.6</v>
      </c>
      <c r="U9" s="133">
        <f>MIN(ss_calc!E5,TWB!E9)</f>
        <v>36225</v>
      </c>
      <c r="V9" s="284">
        <f>MIN(ss_calc!E5,TWB!F9)</f>
        <v>36225</v>
      </c>
      <c r="W9" s="133">
        <f>MIN(ss_calc!E5,TWB!G9)</f>
        <v>36225</v>
      </c>
      <c r="X9" s="284">
        <f>MIN(ss_calc!E5,TWB!H9)</f>
        <v>36225</v>
      </c>
      <c r="Y9" s="133">
        <f>MIN(ss_calc!E5,TWB!I9)</f>
        <v>36225</v>
      </c>
      <c r="Z9" s="284">
        <f>MIN(ss_calc!E5,TWB!J9)</f>
        <v>36225</v>
      </c>
      <c r="AA9" s="134">
        <f>MIN(ss_calc!E5,TWB!K9)</f>
        <v>36225</v>
      </c>
      <c r="AB9" s="284">
        <f>MIN(ss_calc!E5,TWB!L9)</f>
        <v>36225</v>
      </c>
      <c r="AC9" s="133">
        <f>MIN(ss_calc!E5,TWB!M9)</f>
        <v>36225</v>
      </c>
      <c r="AD9" s="284">
        <f>MIN(ss_calc!E5,TWB!N9)</f>
        <v>36225</v>
      </c>
      <c r="AE9" s="133">
        <f>MIN(ss_calc!E5,TWB!O9)</f>
        <v>36225</v>
      </c>
      <c r="AF9" s="284">
        <f>MIN(ss_calc!E5,TWB!P9)</f>
        <v>36225</v>
      </c>
      <c r="AI9" s="310">
        <f t="shared" ref="AI9:AI49" si="14">AI8+1</f>
        <v>2</v>
      </c>
      <c r="AJ9" s="307">
        <f t="shared" ref="AJ9:AJ49" si="15">S9</f>
        <v>31680</v>
      </c>
      <c r="AK9" s="307">
        <f>ss_calc!G5</f>
        <v>16822.509999999998</v>
      </c>
      <c r="AL9" s="367">
        <f t="shared" ref="AL9:AL49" si="16">IF(AI9&lt;=$AI$46,$AK$46/AK9,1)</f>
        <v>3.5081793228240019</v>
      </c>
      <c r="AM9" s="284">
        <f t="shared" ref="AM9:AM49" si="17">AJ9*AL9</f>
        <v>111139.12094706438</v>
      </c>
      <c r="AN9" s="373">
        <v>117071.99226059351</v>
      </c>
      <c r="AP9" s="320" t="s">
        <v>123</v>
      </c>
      <c r="AQ9" s="133">
        <f>0.9*AQ5+0.32*(AR5-AQ5)+0.15*MAX(0,AQ8-AR5)</f>
        <v>3057.3784439999999</v>
      </c>
      <c r="AR9" s="323">
        <f>(AQ9-ss_calc!N5)/ss_calc!N5</f>
        <v>-9.1778248957109405E-3</v>
      </c>
      <c r="AS9" s="189"/>
    </row>
    <row r="10" spans="1:45" x14ac:dyDescent="0.35">
      <c r="B10" s="293">
        <f>appendix!P24</f>
        <v>1986</v>
      </c>
      <c r="C10" s="284">
        <f t="shared" si="11"/>
        <v>33600</v>
      </c>
      <c r="D10" s="133">
        <f t="shared" si="12"/>
        <v>36057</v>
      </c>
      <c r="E10" s="284">
        <f t="shared" si="13"/>
        <v>38556</v>
      </c>
      <c r="F10" s="133">
        <f t="shared" si="0"/>
        <v>39900</v>
      </c>
      <c r="G10" s="284">
        <f t="shared" si="1"/>
        <v>40320</v>
      </c>
      <c r="H10" s="133">
        <f t="shared" si="2"/>
        <v>40740</v>
      </c>
      <c r="I10" s="284">
        <f t="shared" si="3"/>
        <v>41160</v>
      </c>
      <c r="J10" s="133">
        <f t="shared" si="4"/>
        <v>41580</v>
      </c>
      <c r="K10" s="285">
        <f t="shared" si="5"/>
        <v>42000</v>
      </c>
      <c r="L10" s="133">
        <f t="shared" si="6"/>
        <v>42420</v>
      </c>
      <c r="M10" s="284">
        <f t="shared" si="7"/>
        <v>42840</v>
      </c>
      <c r="N10" s="133">
        <f t="shared" si="8"/>
        <v>43260</v>
      </c>
      <c r="O10" s="284">
        <f t="shared" si="9"/>
        <v>43680</v>
      </c>
      <c r="P10" s="286">
        <f t="shared" si="10"/>
        <v>44100</v>
      </c>
      <c r="S10" s="304">
        <f>MIN(ss_calc!E6,TWB!C10)</f>
        <v>33600</v>
      </c>
      <c r="T10" s="305">
        <f>MIN(ss_calc!E6,TWB!D10)</f>
        <v>36057</v>
      </c>
      <c r="U10" s="133">
        <f>MIN(ss_calc!E6,TWB!E10)</f>
        <v>37311.75</v>
      </c>
      <c r="V10" s="284">
        <f>MIN(ss_calc!E6,TWB!F10)</f>
        <v>37311.75</v>
      </c>
      <c r="W10" s="133">
        <f>MIN(ss_calc!E6,TWB!G10)</f>
        <v>37311.75</v>
      </c>
      <c r="X10" s="284">
        <f>MIN(ss_calc!E6,TWB!H10)</f>
        <v>37311.75</v>
      </c>
      <c r="Y10" s="133">
        <f>MIN(ss_calc!E6,TWB!I10)</f>
        <v>37311.75</v>
      </c>
      <c r="Z10" s="284">
        <f>MIN(ss_calc!E6,TWB!J10)</f>
        <v>37311.75</v>
      </c>
      <c r="AA10" s="134">
        <f>MIN(ss_calc!E6,TWB!K10)</f>
        <v>37311.75</v>
      </c>
      <c r="AB10" s="284">
        <f>MIN(ss_calc!E6,TWB!L10)</f>
        <v>37311.75</v>
      </c>
      <c r="AC10" s="133">
        <f>MIN(ss_calc!E6,TWB!M10)</f>
        <v>37311.75</v>
      </c>
      <c r="AD10" s="284">
        <f>MIN(ss_calc!E6,TWB!N10)</f>
        <v>37311.75</v>
      </c>
      <c r="AE10" s="133">
        <f>MIN(ss_calc!E6,TWB!O10)</f>
        <v>37311.75</v>
      </c>
      <c r="AF10" s="284">
        <f>MIN(ss_calc!E6,TWB!P10)</f>
        <v>37311.75</v>
      </c>
      <c r="AI10" s="310">
        <f t="shared" si="14"/>
        <v>3</v>
      </c>
      <c r="AJ10" s="307">
        <f t="shared" si="15"/>
        <v>33600</v>
      </c>
      <c r="AK10" s="307">
        <f>ss_calc!G6</f>
        <v>17321.82</v>
      </c>
      <c r="AL10" s="367">
        <f t="shared" si="16"/>
        <v>3.4070543245455731</v>
      </c>
      <c r="AM10" s="284">
        <f t="shared" si="17"/>
        <v>114477.02530473126</v>
      </c>
      <c r="AN10" s="373">
        <v>116293.85322983324</v>
      </c>
      <c r="AP10" s="301" t="s">
        <v>255</v>
      </c>
      <c r="AQ10" s="289">
        <f>AQ9*1.03^5</f>
        <v>3544.339565452874</v>
      </c>
      <c r="AR10" s="501">
        <f>(AQ10-ss_calc!N6)/ss_calc!N6</f>
        <v>-9.1778248957108798E-3</v>
      </c>
      <c r="AS10" s="189"/>
    </row>
    <row r="11" spans="1:45" x14ac:dyDescent="0.35">
      <c r="B11" s="293">
        <f>appendix!P25</f>
        <v>1987</v>
      </c>
      <c r="C11" s="284">
        <f t="shared" si="11"/>
        <v>35040</v>
      </c>
      <c r="D11" s="133">
        <f t="shared" si="12"/>
        <v>37602.299999999996</v>
      </c>
      <c r="E11" s="284">
        <f t="shared" si="13"/>
        <v>40208.400000000001</v>
      </c>
      <c r="F11" s="133">
        <f t="shared" si="0"/>
        <v>41610</v>
      </c>
      <c r="G11" s="284">
        <f t="shared" si="1"/>
        <v>42048</v>
      </c>
      <c r="H11" s="133">
        <f t="shared" si="2"/>
        <v>42486</v>
      </c>
      <c r="I11" s="284">
        <f t="shared" si="3"/>
        <v>42924</v>
      </c>
      <c r="J11" s="133">
        <f t="shared" si="4"/>
        <v>43362</v>
      </c>
      <c r="K11" s="285">
        <f t="shared" si="5"/>
        <v>43800</v>
      </c>
      <c r="L11" s="133">
        <f t="shared" si="6"/>
        <v>44238</v>
      </c>
      <c r="M11" s="284">
        <f t="shared" si="7"/>
        <v>44676</v>
      </c>
      <c r="N11" s="133">
        <f t="shared" si="8"/>
        <v>45114</v>
      </c>
      <c r="O11" s="284">
        <f t="shared" si="9"/>
        <v>45552</v>
      </c>
      <c r="P11" s="286">
        <f t="shared" si="10"/>
        <v>45990</v>
      </c>
      <c r="S11" s="304">
        <f>MIN(ss_calc!E7,TWB!C11)</f>
        <v>35040</v>
      </c>
      <c r="T11" s="305">
        <f>MIN(ss_calc!E7,TWB!D11)</f>
        <v>37602.299999999996</v>
      </c>
      <c r="U11" s="133">
        <f>MIN(ss_calc!E7,TWB!E11)</f>
        <v>38431.102500000001</v>
      </c>
      <c r="V11" s="284">
        <f>MIN(ss_calc!E7,TWB!F11)</f>
        <v>38431.102500000001</v>
      </c>
      <c r="W11" s="133">
        <f>MIN(ss_calc!E7,TWB!G11)</f>
        <v>38431.102500000001</v>
      </c>
      <c r="X11" s="284">
        <f>MIN(ss_calc!E7,TWB!H11)</f>
        <v>38431.102500000001</v>
      </c>
      <c r="Y11" s="133">
        <f>MIN(ss_calc!E7,TWB!I11)</f>
        <v>38431.102500000001</v>
      </c>
      <c r="Z11" s="284">
        <f>MIN(ss_calc!E7,TWB!J11)</f>
        <v>38431.102500000001</v>
      </c>
      <c r="AA11" s="134">
        <f>MIN(ss_calc!E7,TWB!K11)</f>
        <v>38431.102500000001</v>
      </c>
      <c r="AB11" s="284">
        <f>MIN(ss_calc!E7,TWB!L11)</f>
        <v>38431.102500000001</v>
      </c>
      <c r="AC11" s="133">
        <f>MIN(ss_calc!E7,TWB!M11)</f>
        <v>38431.102500000001</v>
      </c>
      <c r="AD11" s="284">
        <f>MIN(ss_calc!E7,TWB!N11)</f>
        <v>38431.102500000001</v>
      </c>
      <c r="AE11" s="133">
        <f>MIN(ss_calc!E7,TWB!O11)</f>
        <v>38431.102500000001</v>
      </c>
      <c r="AF11" s="284">
        <f>MIN(ss_calc!E7,TWB!P11)</f>
        <v>38431.102500000001</v>
      </c>
      <c r="AI11" s="310">
        <f t="shared" si="14"/>
        <v>4</v>
      </c>
      <c r="AJ11" s="307">
        <f t="shared" si="15"/>
        <v>35040</v>
      </c>
      <c r="AK11" s="307">
        <f>ss_calc!G7</f>
        <v>18426.509999999998</v>
      </c>
      <c r="AL11" s="367">
        <f t="shared" si="16"/>
        <v>3.2027975856524109</v>
      </c>
      <c r="AM11" s="284">
        <f t="shared" si="17"/>
        <v>112226.02740126048</v>
      </c>
      <c r="AN11" s="373">
        <v>115588.94477859487</v>
      </c>
    </row>
    <row r="12" spans="1:45" x14ac:dyDescent="0.35">
      <c r="B12" s="293">
        <f>appendix!P26</f>
        <v>1988</v>
      </c>
      <c r="C12" s="284">
        <f t="shared" si="11"/>
        <v>36000</v>
      </c>
      <c r="D12" s="133">
        <f t="shared" si="12"/>
        <v>38632.5</v>
      </c>
      <c r="E12" s="284">
        <f t="shared" si="13"/>
        <v>41310</v>
      </c>
      <c r="F12" s="133">
        <f t="shared" si="0"/>
        <v>42750</v>
      </c>
      <c r="G12" s="284">
        <f t="shared" si="1"/>
        <v>43200</v>
      </c>
      <c r="H12" s="133">
        <f t="shared" si="2"/>
        <v>43650</v>
      </c>
      <c r="I12" s="284">
        <f t="shared" si="3"/>
        <v>44100</v>
      </c>
      <c r="J12" s="133">
        <f t="shared" si="4"/>
        <v>44550</v>
      </c>
      <c r="K12" s="285">
        <f t="shared" si="5"/>
        <v>45000</v>
      </c>
      <c r="L12" s="133">
        <f t="shared" si="6"/>
        <v>45450</v>
      </c>
      <c r="M12" s="284">
        <f t="shared" si="7"/>
        <v>45900</v>
      </c>
      <c r="N12" s="133">
        <f t="shared" si="8"/>
        <v>46350</v>
      </c>
      <c r="O12" s="284">
        <f t="shared" si="9"/>
        <v>46800</v>
      </c>
      <c r="P12" s="286">
        <f t="shared" si="10"/>
        <v>47250</v>
      </c>
      <c r="S12" s="304">
        <f>MIN(ss_calc!E8,TWB!C12)</f>
        <v>36000</v>
      </c>
      <c r="T12" s="305">
        <f>MIN(ss_calc!E8,TWB!D12)</f>
        <v>38632.5</v>
      </c>
      <c r="U12" s="133">
        <f>MIN(ss_calc!E8,TWB!E12)</f>
        <v>39584.035575000002</v>
      </c>
      <c r="V12" s="284">
        <f>MIN(ss_calc!E8,TWB!F12)</f>
        <v>39584.035575000002</v>
      </c>
      <c r="W12" s="133">
        <f>MIN(ss_calc!E8,TWB!G12)</f>
        <v>39584.035575000002</v>
      </c>
      <c r="X12" s="284">
        <f>MIN(ss_calc!E8,TWB!H12)</f>
        <v>39584.035575000002</v>
      </c>
      <c r="Y12" s="133">
        <f>MIN(ss_calc!E8,TWB!I12)</f>
        <v>39584.035575000002</v>
      </c>
      <c r="Z12" s="284">
        <f>MIN(ss_calc!E8,TWB!J12)</f>
        <v>39584.035575000002</v>
      </c>
      <c r="AA12" s="134">
        <f>MIN(ss_calc!E8,TWB!K12)</f>
        <v>39584.035575000002</v>
      </c>
      <c r="AB12" s="284">
        <f>MIN(ss_calc!E8,TWB!L12)</f>
        <v>39584.035575000002</v>
      </c>
      <c r="AC12" s="133">
        <f>MIN(ss_calc!E8,TWB!M12)</f>
        <v>39584.035575000002</v>
      </c>
      <c r="AD12" s="284">
        <f>MIN(ss_calc!E8,TWB!N12)</f>
        <v>39584.035575000002</v>
      </c>
      <c r="AE12" s="133">
        <f>MIN(ss_calc!E8,TWB!O12)</f>
        <v>39584.035575000002</v>
      </c>
      <c r="AF12" s="284">
        <f>MIN(ss_calc!E8,TWB!P12)</f>
        <v>39584.035575000002</v>
      </c>
      <c r="AI12" s="310">
        <f t="shared" si="14"/>
        <v>5</v>
      </c>
      <c r="AJ12" s="307">
        <f t="shared" si="15"/>
        <v>36000</v>
      </c>
      <c r="AK12" s="307">
        <f>ss_calc!G8</f>
        <v>19334.04</v>
      </c>
      <c r="AL12" s="367">
        <f t="shared" si="16"/>
        <v>3.0524598966382603</v>
      </c>
      <c r="AM12" s="284">
        <f t="shared" si="17"/>
        <v>109888.55627897737</v>
      </c>
      <c r="AN12" s="373">
        <v>115181.40623158288</v>
      </c>
      <c r="AQ12" s="324" t="s">
        <v>232</v>
      </c>
      <c r="AR12" s="325">
        <f>AVERAGE(AR8:AR10)</f>
        <v>-1.3150364421672972E-2</v>
      </c>
      <c r="AS12" s="223"/>
    </row>
    <row r="13" spans="1:45" x14ac:dyDescent="0.35">
      <c r="B13" s="293">
        <f>appendix!P27</f>
        <v>1989</v>
      </c>
      <c r="C13" s="284">
        <f t="shared" si="11"/>
        <v>38400</v>
      </c>
      <c r="D13" s="133">
        <f t="shared" si="12"/>
        <v>41208</v>
      </c>
      <c r="E13" s="284">
        <f t="shared" si="13"/>
        <v>44064</v>
      </c>
      <c r="F13" s="133">
        <f t="shared" si="0"/>
        <v>45600</v>
      </c>
      <c r="G13" s="284">
        <f t="shared" si="1"/>
        <v>46080</v>
      </c>
      <c r="H13" s="133">
        <f t="shared" si="2"/>
        <v>46560</v>
      </c>
      <c r="I13" s="284">
        <f t="shared" si="3"/>
        <v>47040</v>
      </c>
      <c r="J13" s="133">
        <f t="shared" si="4"/>
        <v>47520</v>
      </c>
      <c r="K13" s="285">
        <f t="shared" si="5"/>
        <v>48000</v>
      </c>
      <c r="L13" s="133">
        <f t="shared" si="6"/>
        <v>48480</v>
      </c>
      <c r="M13" s="284">
        <f t="shared" si="7"/>
        <v>48960</v>
      </c>
      <c r="N13" s="133">
        <f t="shared" si="8"/>
        <v>49440</v>
      </c>
      <c r="O13" s="284">
        <f t="shared" si="9"/>
        <v>49920</v>
      </c>
      <c r="P13" s="286">
        <f t="shared" si="10"/>
        <v>50400</v>
      </c>
      <c r="S13" s="304">
        <f>MIN(ss_calc!E9,TWB!C13)</f>
        <v>38400</v>
      </c>
      <c r="T13" s="284">
        <f>MIN(ss_calc!E9,TWB!D13)</f>
        <v>40771.556642250005</v>
      </c>
      <c r="U13" s="133">
        <f>MIN(ss_calc!E9,TWB!E13)</f>
        <v>40771.556642250005</v>
      </c>
      <c r="V13" s="284">
        <f>MIN(ss_calc!E9,TWB!F13)</f>
        <v>40771.556642250005</v>
      </c>
      <c r="W13" s="133">
        <f>MIN(ss_calc!E9,TWB!G13)</f>
        <v>40771.556642250005</v>
      </c>
      <c r="X13" s="284">
        <f>MIN(ss_calc!E9,TWB!H13)</f>
        <v>40771.556642250005</v>
      </c>
      <c r="Y13" s="133">
        <f>MIN(ss_calc!E9,TWB!I13)</f>
        <v>40771.556642250005</v>
      </c>
      <c r="Z13" s="284">
        <f>MIN(ss_calc!E9,TWB!J13)</f>
        <v>40771.556642250005</v>
      </c>
      <c r="AA13" s="134">
        <f>MIN(ss_calc!E9,TWB!K13)</f>
        <v>40771.556642250005</v>
      </c>
      <c r="AB13" s="284">
        <f>MIN(ss_calc!E9,TWB!L13)</f>
        <v>40771.556642250005</v>
      </c>
      <c r="AC13" s="133">
        <f>MIN(ss_calc!E9,TWB!M13)</f>
        <v>40771.556642250005</v>
      </c>
      <c r="AD13" s="284">
        <f>MIN(ss_calc!E9,TWB!N13)</f>
        <v>40771.556642250005</v>
      </c>
      <c r="AE13" s="133">
        <f>MIN(ss_calc!E9,TWB!O13)</f>
        <v>40771.556642250005</v>
      </c>
      <c r="AF13" s="284">
        <f>MIN(ss_calc!E9,TWB!P13)</f>
        <v>40771.556642250005</v>
      </c>
      <c r="AI13" s="310">
        <f t="shared" si="14"/>
        <v>6</v>
      </c>
      <c r="AJ13" s="307">
        <f t="shared" si="15"/>
        <v>38400</v>
      </c>
      <c r="AK13" s="307">
        <f>ss_calc!G9</f>
        <v>20099.55</v>
      </c>
      <c r="AL13" s="367">
        <f t="shared" si="16"/>
        <v>2.9362041309382549</v>
      </c>
      <c r="AM13" s="284">
        <f t="shared" si="17"/>
        <v>112750.23862802899</v>
      </c>
      <c r="AN13" s="373">
        <v>114477.02530473126</v>
      </c>
    </row>
    <row r="14" spans="1:45" x14ac:dyDescent="0.35">
      <c r="B14" s="293">
        <f>appendix!P28</f>
        <v>1990</v>
      </c>
      <c r="C14" s="284">
        <f t="shared" si="11"/>
        <v>41040</v>
      </c>
      <c r="D14" s="133">
        <f t="shared" si="12"/>
        <v>44041.049999999996</v>
      </c>
      <c r="E14" s="284">
        <f t="shared" si="13"/>
        <v>47093.4</v>
      </c>
      <c r="F14" s="133">
        <f t="shared" si="0"/>
        <v>48735</v>
      </c>
      <c r="G14" s="284">
        <f t="shared" si="1"/>
        <v>49248</v>
      </c>
      <c r="H14" s="133">
        <f t="shared" si="2"/>
        <v>49761</v>
      </c>
      <c r="I14" s="284">
        <f t="shared" si="3"/>
        <v>50274</v>
      </c>
      <c r="J14" s="133">
        <f t="shared" si="4"/>
        <v>50787</v>
      </c>
      <c r="K14" s="285">
        <f t="shared" si="5"/>
        <v>51300</v>
      </c>
      <c r="L14" s="133">
        <f t="shared" si="6"/>
        <v>51813</v>
      </c>
      <c r="M14" s="284">
        <f t="shared" si="7"/>
        <v>52326</v>
      </c>
      <c r="N14" s="133">
        <f t="shared" si="8"/>
        <v>52839</v>
      </c>
      <c r="O14" s="284">
        <f t="shared" si="9"/>
        <v>53352</v>
      </c>
      <c r="P14" s="286">
        <f t="shared" si="10"/>
        <v>53865</v>
      </c>
      <c r="S14" s="304">
        <f>MIN(ss_calc!E10,TWB!C14)</f>
        <v>41040</v>
      </c>
      <c r="T14" s="284">
        <f>MIN(ss_calc!E10,TWB!D14)</f>
        <v>41994.703341517503</v>
      </c>
      <c r="U14" s="133">
        <f>MIN(ss_calc!E10,TWB!E14)</f>
        <v>41994.703341517503</v>
      </c>
      <c r="V14" s="284">
        <f>MIN(ss_calc!E10,TWB!F14)</f>
        <v>41994.703341517503</v>
      </c>
      <c r="W14" s="133">
        <f>MIN(ss_calc!E10,TWB!G14)</f>
        <v>41994.703341517503</v>
      </c>
      <c r="X14" s="284">
        <f>MIN(ss_calc!E10,TWB!H14)</f>
        <v>41994.703341517503</v>
      </c>
      <c r="Y14" s="133">
        <f>MIN(ss_calc!E10,TWB!I14)</f>
        <v>41994.703341517503</v>
      </c>
      <c r="Z14" s="284">
        <f>MIN(ss_calc!E10,TWB!J14)</f>
        <v>41994.703341517503</v>
      </c>
      <c r="AA14" s="134">
        <f>MIN(ss_calc!E10,TWB!K14)</f>
        <v>41994.703341517503</v>
      </c>
      <c r="AB14" s="284">
        <f>MIN(ss_calc!E10,TWB!L14)</f>
        <v>41994.703341517503</v>
      </c>
      <c r="AC14" s="133">
        <f>MIN(ss_calc!E10,TWB!M14)</f>
        <v>41994.703341517503</v>
      </c>
      <c r="AD14" s="284">
        <f>MIN(ss_calc!E10,TWB!N14)</f>
        <v>41994.703341517503</v>
      </c>
      <c r="AE14" s="133">
        <f>MIN(ss_calc!E10,TWB!O14)</f>
        <v>41994.703341517503</v>
      </c>
      <c r="AF14" s="284">
        <f>MIN(ss_calc!E10,TWB!P14)</f>
        <v>41994.703341517503</v>
      </c>
      <c r="AI14" s="310">
        <f t="shared" si="14"/>
        <v>7</v>
      </c>
      <c r="AJ14" s="307">
        <f t="shared" si="15"/>
        <v>41040</v>
      </c>
      <c r="AK14" s="307">
        <f>ss_calc!G10</f>
        <v>21027.98</v>
      </c>
      <c r="AL14" s="367">
        <f t="shared" si="16"/>
        <v>2.8065644793270681</v>
      </c>
      <c r="AM14" s="284">
        <f t="shared" si="17"/>
        <v>115181.40623158288</v>
      </c>
      <c r="AN14" s="373">
        <v>114248.06475120141</v>
      </c>
    </row>
    <row r="15" spans="1:45" x14ac:dyDescent="0.35">
      <c r="B15" s="293">
        <f>appendix!P29</f>
        <v>1991</v>
      </c>
      <c r="C15" s="284">
        <f t="shared" si="11"/>
        <v>42720</v>
      </c>
      <c r="D15" s="133">
        <f t="shared" si="12"/>
        <v>45843.9</v>
      </c>
      <c r="E15" s="284">
        <f t="shared" si="13"/>
        <v>49021.200000000004</v>
      </c>
      <c r="F15" s="133">
        <f t="shared" si="0"/>
        <v>50730</v>
      </c>
      <c r="G15" s="284">
        <f t="shared" si="1"/>
        <v>51264</v>
      </c>
      <c r="H15" s="133">
        <f t="shared" si="2"/>
        <v>51798</v>
      </c>
      <c r="I15" s="284">
        <f t="shared" si="3"/>
        <v>52332</v>
      </c>
      <c r="J15" s="133">
        <f t="shared" si="4"/>
        <v>52866</v>
      </c>
      <c r="K15" s="285">
        <f t="shared" si="5"/>
        <v>53400</v>
      </c>
      <c r="L15" s="133">
        <f t="shared" si="6"/>
        <v>53934</v>
      </c>
      <c r="M15" s="284">
        <f t="shared" si="7"/>
        <v>54468</v>
      </c>
      <c r="N15" s="133">
        <f t="shared" si="8"/>
        <v>55002</v>
      </c>
      <c r="O15" s="284">
        <f t="shared" si="9"/>
        <v>55536</v>
      </c>
      <c r="P15" s="286">
        <f t="shared" si="10"/>
        <v>56070</v>
      </c>
      <c r="S15" s="304">
        <f>MIN(ss_calc!E11,TWB!C15)</f>
        <v>42720</v>
      </c>
      <c r="T15" s="284">
        <f>MIN(ss_calc!E11,TWB!D15)</f>
        <v>43254.544441763028</v>
      </c>
      <c r="U15" s="133">
        <f>MIN(ss_calc!E11,TWB!E15)</f>
        <v>43254.544441763028</v>
      </c>
      <c r="V15" s="284">
        <f>MIN(ss_calc!E11,TWB!F15)</f>
        <v>43254.544441763028</v>
      </c>
      <c r="W15" s="133">
        <f>MIN(ss_calc!E11,TWB!G15)</f>
        <v>43254.544441763028</v>
      </c>
      <c r="X15" s="284">
        <f>MIN(ss_calc!E11,TWB!H15)</f>
        <v>43254.544441763028</v>
      </c>
      <c r="Y15" s="133">
        <f>MIN(ss_calc!E11,TWB!I15)</f>
        <v>43254.544441763028</v>
      </c>
      <c r="Z15" s="284">
        <f>MIN(ss_calc!E11,TWB!J15)</f>
        <v>43254.544441763028</v>
      </c>
      <c r="AA15" s="134">
        <f>MIN(ss_calc!E11,TWB!K15)</f>
        <v>43254.544441763028</v>
      </c>
      <c r="AB15" s="284">
        <f>MIN(ss_calc!E11,TWB!L15)</f>
        <v>43254.544441763028</v>
      </c>
      <c r="AC15" s="133">
        <f>MIN(ss_calc!E11,TWB!M15)</f>
        <v>43254.544441763028</v>
      </c>
      <c r="AD15" s="284">
        <f>MIN(ss_calc!E11,TWB!N15)</f>
        <v>43254.544441763028</v>
      </c>
      <c r="AE15" s="133">
        <f>MIN(ss_calc!E11,TWB!O15)</f>
        <v>43254.544441763028</v>
      </c>
      <c r="AF15" s="284">
        <f>MIN(ss_calc!E11,TWB!P15)</f>
        <v>43254.544441763028</v>
      </c>
      <c r="AI15" s="310">
        <f t="shared" si="14"/>
        <v>8</v>
      </c>
      <c r="AJ15" s="307">
        <f t="shared" si="15"/>
        <v>42720</v>
      </c>
      <c r="AK15" s="307">
        <f>ss_calc!G11</f>
        <v>21811.599999999999</v>
      </c>
      <c r="AL15" s="367">
        <f t="shared" si="16"/>
        <v>2.705733726090704</v>
      </c>
      <c r="AM15" s="284">
        <f t="shared" si="17"/>
        <v>115588.94477859487</v>
      </c>
      <c r="AN15" s="373">
        <v>114197.78149663874</v>
      </c>
    </row>
    <row r="16" spans="1:45" x14ac:dyDescent="0.35">
      <c r="B16" s="293">
        <f>appendix!P30</f>
        <v>1992</v>
      </c>
      <c r="C16" s="284">
        <f t="shared" si="11"/>
        <v>44400</v>
      </c>
      <c r="D16" s="133">
        <f t="shared" si="12"/>
        <v>47646.75</v>
      </c>
      <c r="E16" s="284">
        <f t="shared" si="13"/>
        <v>50949</v>
      </c>
      <c r="F16" s="133">
        <f t="shared" si="0"/>
        <v>52725</v>
      </c>
      <c r="G16" s="284">
        <f t="shared" si="1"/>
        <v>53280</v>
      </c>
      <c r="H16" s="133">
        <f t="shared" si="2"/>
        <v>53835</v>
      </c>
      <c r="I16" s="284">
        <f t="shared" si="3"/>
        <v>54390</v>
      </c>
      <c r="J16" s="133">
        <f t="shared" si="4"/>
        <v>54945</v>
      </c>
      <c r="K16" s="285">
        <f t="shared" si="5"/>
        <v>55500</v>
      </c>
      <c r="L16" s="133">
        <f t="shared" si="6"/>
        <v>56055</v>
      </c>
      <c r="M16" s="284">
        <f t="shared" si="7"/>
        <v>56610</v>
      </c>
      <c r="N16" s="133">
        <f t="shared" si="8"/>
        <v>57165</v>
      </c>
      <c r="O16" s="284">
        <f t="shared" si="9"/>
        <v>57720</v>
      </c>
      <c r="P16" s="286">
        <f t="shared" si="10"/>
        <v>58275</v>
      </c>
      <c r="S16" s="304">
        <f>MIN(ss_calc!E12,TWB!C16)</f>
        <v>44400</v>
      </c>
      <c r="T16" s="284">
        <f>MIN(ss_calc!E12,TWB!D16)</f>
        <v>44552.180775015921</v>
      </c>
      <c r="U16" s="133">
        <f>MIN(ss_calc!E12,TWB!E16)</f>
        <v>44552.180775015921</v>
      </c>
      <c r="V16" s="284">
        <f>MIN(ss_calc!E12,TWB!F16)</f>
        <v>44552.180775015921</v>
      </c>
      <c r="W16" s="133">
        <f>MIN(ss_calc!E12,TWB!G16)</f>
        <v>44552.180775015921</v>
      </c>
      <c r="X16" s="284">
        <f>MIN(ss_calc!E12,TWB!H16)</f>
        <v>44552.180775015921</v>
      </c>
      <c r="Y16" s="133">
        <f>MIN(ss_calc!E12,TWB!I16)</f>
        <v>44552.180775015921</v>
      </c>
      <c r="Z16" s="284">
        <f>MIN(ss_calc!E12,TWB!J16)</f>
        <v>44552.180775015921</v>
      </c>
      <c r="AA16" s="134">
        <f>MIN(ss_calc!E12,TWB!K16)</f>
        <v>44552.180775015921</v>
      </c>
      <c r="AB16" s="284">
        <f>MIN(ss_calc!E12,TWB!L16)</f>
        <v>44552.180775015921</v>
      </c>
      <c r="AC16" s="133">
        <f>MIN(ss_calc!E12,TWB!M16)</f>
        <v>44552.180775015921</v>
      </c>
      <c r="AD16" s="284">
        <f>MIN(ss_calc!E12,TWB!N16)</f>
        <v>44552.180775015921</v>
      </c>
      <c r="AE16" s="133">
        <f>MIN(ss_calc!E12,TWB!O16)</f>
        <v>44552.180775015921</v>
      </c>
      <c r="AF16" s="284">
        <f>MIN(ss_calc!E12,TWB!P16)</f>
        <v>44552.180775015921</v>
      </c>
      <c r="AI16" s="310">
        <f t="shared" si="14"/>
        <v>9</v>
      </c>
      <c r="AJ16" s="307">
        <f t="shared" si="15"/>
        <v>44400</v>
      </c>
      <c r="AK16" s="307">
        <f>ss_calc!G12</f>
        <v>22935.42</v>
      </c>
      <c r="AL16" s="367">
        <f t="shared" si="16"/>
        <v>2.5731546115135453</v>
      </c>
      <c r="AM16" s="284">
        <f t="shared" si="17"/>
        <v>114248.06475120141</v>
      </c>
      <c r="AN16" s="373">
        <v>112750.23862802899</v>
      </c>
    </row>
    <row r="17" spans="2:40" x14ac:dyDescent="0.35">
      <c r="B17" s="293">
        <f>appendix!P31</f>
        <v>1993</v>
      </c>
      <c r="C17" s="284">
        <f t="shared" si="11"/>
        <v>46080</v>
      </c>
      <c r="D17" s="133">
        <f t="shared" si="12"/>
        <v>49449.599999999999</v>
      </c>
      <c r="E17" s="284">
        <f t="shared" si="13"/>
        <v>52876.800000000003</v>
      </c>
      <c r="F17" s="133">
        <f t="shared" si="0"/>
        <v>54720</v>
      </c>
      <c r="G17" s="284">
        <f t="shared" si="1"/>
        <v>55296</v>
      </c>
      <c r="H17" s="133">
        <f t="shared" si="2"/>
        <v>55872</v>
      </c>
      <c r="I17" s="284">
        <f t="shared" si="3"/>
        <v>56448</v>
      </c>
      <c r="J17" s="133">
        <f t="shared" si="4"/>
        <v>57024</v>
      </c>
      <c r="K17" s="285">
        <f t="shared" si="5"/>
        <v>57600</v>
      </c>
      <c r="L17" s="133">
        <f t="shared" si="6"/>
        <v>58176</v>
      </c>
      <c r="M17" s="284">
        <f t="shared" si="7"/>
        <v>58752</v>
      </c>
      <c r="N17" s="133">
        <f t="shared" si="8"/>
        <v>59328</v>
      </c>
      <c r="O17" s="284">
        <f t="shared" si="9"/>
        <v>59904</v>
      </c>
      <c r="P17" s="286">
        <f t="shared" si="10"/>
        <v>60480</v>
      </c>
      <c r="S17" s="307">
        <f>MIN(ss_calc!E13,TWB!C17)</f>
        <v>45888.746198266403</v>
      </c>
      <c r="T17" s="284">
        <f>MIN(ss_calc!E13,TWB!D17)</f>
        <v>45888.746198266403</v>
      </c>
      <c r="U17" s="133">
        <f>MIN(ss_calc!E13,TWB!E17)</f>
        <v>45888.746198266403</v>
      </c>
      <c r="V17" s="284">
        <f>MIN(ss_calc!E13,TWB!F17)</f>
        <v>45888.746198266403</v>
      </c>
      <c r="W17" s="133">
        <f>MIN(ss_calc!E13,TWB!G17)</f>
        <v>45888.746198266403</v>
      </c>
      <c r="X17" s="284">
        <f>MIN(ss_calc!E13,TWB!H17)</f>
        <v>45888.746198266403</v>
      </c>
      <c r="Y17" s="133">
        <f>MIN(ss_calc!E13,TWB!I17)</f>
        <v>45888.746198266403</v>
      </c>
      <c r="Z17" s="284">
        <f>MIN(ss_calc!E13,TWB!J17)</f>
        <v>45888.746198266403</v>
      </c>
      <c r="AA17" s="134">
        <f>MIN(ss_calc!E13,TWB!K17)</f>
        <v>45888.746198266403</v>
      </c>
      <c r="AB17" s="284">
        <f>MIN(ss_calc!E13,TWB!L17)</f>
        <v>45888.746198266403</v>
      </c>
      <c r="AC17" s="133">
        <f>MIN(ss_calc!E13,TWB!M17)</f>
        <v>45888.746198266403</v>
      </c>
      <c r="AD17" s="284">
        <f>MIN(ss_calc!E13,TWB!N17)</f>
        <v>45888.746198266403</v>
      </c>
      <c r="AE17" s="133">
        <f>MIN(ss_calc!E13,TWB!O17)</f>
        <v>45888.746198266403</v>
      </c>
      <c r="AF17" s="284">
        <f>MIN(ss_calc!E13,TWB!P17)</f>
        <v>45888.746198266403</v>
      </c>
      <c r="AI17" s="310">
        <f t="shared" si="14"/>
        <v>10</v>
      </c>
      <c r="AJ17" s="307">
        <f t="shared" si="15"/>
        <v>45888.746198266403</v>
      </c>
      <c r="AK17" s="307">
        <f>ss_calc!G13</f>
        <v>23132.67</v>
      </c>
      <c r="AL17" s="367">
        <f t="shared" si="16"/>
        <v>2.5512135754324943</v>
      </c>
      <c r="AM17" s="284">
        <f t="shared" si="17"/>
        <v>117071.99226059351</v>
      </c>
      <c r="AN17" s="373">
        <v>112226.02740126048</v>
      </c>
    </row>
    <row r="18" spans="2:40" x14ac:dyDescent="0.35">
      <c r="B18" s="293">
        <f>appendix!P32</f>
        <v>1994</v>
      </c>
      <c r="C18" s="284">
        <f t="shared" si="11"/>
        <v>48480</v>
      </c>
      <c r="D18" s="133">
        <f t="shared" si="12"/>
        <v>52025.1</v>
      </c>
      <c r="E18" s="284">
        <f t="shared" si="13"/>
        <v>55630.8</v>
      </c>
      <c r="F18" s="133">
        <f t="shared" si="0"/>
        <v>57570</v>
      </c>
      <c r="G18" s="284">
        <f t="shared" si="1"/>
        <v>58176</v>
      </c>
      <c r="H18" s="133">
        <f t="shared" si="2"/>
        <v>58782</v>
      </c>
      <c r="I18" s="284">
        <f t="shared" si="3"/>
        <v>59388</v>
      </c>
      <c r="J18" s="133">
        <f t="shared" si="4"/>
        <v>59994</v>
      </c>
      <c r="K18" s="285">
        <f t="shared" si="5"/>
        <v>60600</v>
      </c>
      <c r="L18" s="133">
        <f t="shared" si="6"/>
        <v>61206</v>
      </c>
      <c r="M18" s="284">
        <f t="shared" si="7"/>
        <v>61812</v>
      </c>
      <c r="N18" s="133">
        <f t="shared" si="8"/>
        <v>62418</v>
      </c>
      <c r="O18" s="284">
        <f t="shared" si="9"/>
        <v>63024</v>
      </c>
      <c r="P18" s="286">
        <f t="shared" si="10"/>
        <v>63630</v>
      </c>
      <c r="S18" s="307">
        <f>MIN(ss_calc!E14,TWB!C18)</f>
        <v>47265.408584214398</v>
      </c>
      <c r="T18" s="284">
        <f>MIN(ss_calc!E14,TWB!D18)</f>
        <v>47265.408584214398</v>
      </c>
      <c r="U18" s="133">
        <f>MIN(ss_calc!E14,TWB!E18)</f>
        <v>47265.408584214398</v>
      </c>
      <c r="V18" s="284">
        <f>MIN(ss_calc!E14,TWB!F18)</f>
        <v>47265.408584214398</v>
      </c>
      <c r="W18" s="133">
        <f>MIN(ss_calc!E14,TWB!G18)</f>
        <v>47265.408584214398</v>
      </c>
      <c r="X18" s="284">
        <f>MIN(ss_calc!E14,TWB!H18)</f>
        <v>47265.408584214398</v>
      </c>
      <c r="Y18" s="133">
        <f>MIN(ss_calc!E14,TWB!I18)</f>
        <v>47265.408584214398</v>
      </c>
      <c r="Z18" s="284">
        <f>MIN(ss_calc!E14,TWB!J18)</f>
        <v>47265.408584214398</v>
      </c>
      <c r="AA18" s="134">
        <f>MIN(ss_calc!E14,TWB!K18)</f>
        <v>47265.408584214398</v>
      </c>
      <c r="AB18" s="284">
        <f>MIN(ss_calc!E14,TWB!L18)</f>
        <v>47265.408584214398</v>
      </c>
      <c r="AC18" s="133">
        <f>MIN(ss_calc!E14,TWB!M18)</f>
        <v>47265.408584214398</v>
      </c>
      <c r="AD18" s="284">
        <f>MIN(ss_calc!E14,TWB!N18)</f>
        <v>47265.408584214398</v>
      </c>
      <c r="AE18" s="133">
        <f>MIN(ss_calc!E14,TWB!O18)</f>
        <v>47265.408584214398</v>
      </c>
      <c r="AF18" s="284">
        <f>MIN(ss_calc!E14,TWB!P18)</f>
        <v>47265.408584214398</v>
      </c>
      <c r="AI18" s="310">
        <f t="shared" si="14"/>
        <v>11</v>
      </c>
      <c r="AJ18" s="307">
        <f t="shared" si="15"/>
        <v>47265.408584214398</v>
      </c>
      <c r="AK18" s="307">
        <f>ss_calc!G14</f>
        <v>23753.53</v>
      </c>
      <c r="AL18" s="367">
        <f t="shared" si="16"/>
        <v>2.4845310040234021</v>
      </c>
      <c r="AM18" s="284">
        <f t="shared" si="17"/>
        <v>117432.37304531453</v>
      </c>
      <c r="AN18" s="373">
        <v>111139.12094706438</v>
      </c>
    </row>
    <row r="19" spans="2:40" x14ac:dyDescent="0.35">
      <c r="B19" s="293">
        <f>appendix!P33</f>
        <v>1995</v>
      </c>
      <c r="C19" s="284">
        <f t="shared" si="11"/>
        <v>48960</v>
      </c>
      <c r="D19" s="133">
        <f t="shared" si="12"/>
        <v>52540.2</v>
      </c>
      <c r="E19" s="284">
        <f t="shared" si="13"/>
        <v>56181.599999999999</v>
      </c>
      <c r="F19" s="133">
        <f t="shared" si="0"/>
        <v>58140</v>
      </c>
      <c r="G19" s="284">
        <f t="shared" si="1"/>
        <v>58752</v>
      </c>
      <c r="H19" s="133">
        <f t="shared" si="2"/>
        <v>59364</v>
      </c>
      <c r="I19" s="284">
        <f t="shared" si="3"/>
        <v>59976</v>
      </c>
      <c r="J19" s="133">
        <f t="shared" si="4"/>
        <v>60588</v>
      </c>
      <c r="K19" s="285">
        <f t="shared" si="5"/>
        <v>61200</v>
      </c>
      <c r="L19" s="133">
        <f t="shared" si="6"/>
        <v>61812</v>
      </c>
      <c r="M19" s="284">
        <f t="shared" si="7"/>
        <v>62424</v>
      </c>
      <c r="N19" s="133">
        <f t="shared" si="8"/>
        <v>63036</v>
      </c>
      <c r="O19" s="284">
        <f t="shared" si="9"/>
        <v>63648</v>
      </c>
      <c r="P19" s="286">
        <f t="shared" si="10"/>
        <v>64260</v>
      </c>
      <c r="S19" s="307">
        <f>MIN(ss_calc!E15,TWB!C19)</f>
        <v>48683.370841740834</v>
      </c>
      <c r="T19" s="284">
        <f>MIN(ss_calc!E15,TWB!D19)</f>
        <v>48683.370841740834</v>
      </c>
      <c r="U19" s="133">
        <f>MIN(ss_calc!E15,TWB!E19)</f>
        <v>48683.370841740834</v>
      </c>
      <c r="V19" s="284">
        <f>MIN(ss_calc!E15,TWB!F19)</f>
        <v>48683.370841740834</v>
      </c>
      <c r="W19" s="133">
        <f>MIN(ss_calc!E15,TWB!G19)</f>
        <v>48683.370841740834</v>
      </c>
      <c r="X19" s="284">
        <f>MIN(ss_calc!E15,TWB!H19)</f>
        <v>48683.370841740834</v>
      </c>
      <c r="Y19" s="133">
        <f>MIN(ss_calc!E15,TWB!I19)</f>
        <v>48683.370841740834</v>
      </c>
      <c r="Z19" s="284">
        <f>MIN(ss_calc!E15,TWB!J19)</f>
        <v>48683.370841740834</v>
      </c>
      <c r="AA19" s="134">
        <f>MIN(ss_calc!E15,TWB!K19)</f>
        <v>48683.370841740834</v>
      </c>
      <c r="AB19" s="284">
        <f>MIN(ss_calc!E15,TWB!L19)</f>
        <v>48683.370841740834</v>
      </c>
      <c r="AC19" s="133">
        <f>MIN(ss_calc!E15,TWB!M19)</f>
        <v>48683.370841740834</v>
      </c>
      <c r="AD19" s="284">
        <f>MIN(ss_calc!E15,TWB!N19)</f>
        <v>48683.370841740834</v>
      </c>
      <c r="AE19" s="133">
        <f>MIN(ss_calc!E15,TWB!O19)</f>
        <v>48683.370841740834</v>
      </c>
      <c r="AF19" s="284">
        <f>MIN(ss_calc!E15,TWB!P19)</f>
        <v>48683.370841740834</v>
      </c>
      <c r="AI19" s="310">
        <f t="shared" si="14"/>
        <v>12</v>
      </c>
      <c r="AJ19" s="307">
        <f t="shared" si="15"/>
        <v>48683.370841740834</v>
      </c>
      <c r="AK19" s="307">
        <f>ss_calc!G15</f>
        <v>24705.66</v>
      </c>
      <c r="AL19" s="367">
        <f t="shared" si="16"/>
        <v>2.3887798075420772</v>
      </c>
      <c r="AM19" s="284">
        <f t="shared" si="17"/>
        <v>116293.85322983324</v>
      </c>
      <c r="AN19" s="373">
        <v>111138.67084604096</v>
      </c>
    </row>
    <row r="20" spans="2:40" x14ac:dyDescent="0.35">
      <c r="B20" s="293">
        <f>appendix!P34</f>
        <v>1996</v>
      </c>
      <c r="C20" s="284">
        <f t="shared" si="11"/>
        <v>50160</v>
      </c>
      <c r="D20" s="133">
        <f t="shared" si="12"/>
        <v>53827.95</v>
      </c>
      <c r="E20" s="284">
        <f t="shared" si="13"/>
        <v>57558.6</v>
      </c>
      <c r="F20" s="133">
        <f t="shared" si="0"/>
        <v>59565</v>
      </c>
      <c r="G20" s="284">
        <f t="shared" si="1"/>
        <v>60192</v>
      </c>
      <c r="H20" s="133">
        <f t="shared" si="2"/>
        <v>60819</v>
      </c>
      <c r="I20" s="284">
        <f t="shared" si="3"/>
        <v>61446</v>
      </c>
      <c r="J20" s="133">
        <f t="shared" si="4"/>
        <v>62073</v>
      </c>
      <c r="K20" s="285">
        <f t="shared" si="5"/>
        <v>62700</v>
      </c>
      <c r="L20" s="133">
        <f t="shared" si="6"/>
        <v>63327</v>
      </c>
      <c r="M20" s="284">
        <f t="shared" si="7"/>
        <v>63954</v>
      </c>
      <c r="N20" s="133">
        <f t="shared" si="8"/>
        <v>64581</v>
      </c>
      <c r="O20" s="284">
        <f t="shared" si="9"/>
        <v>65208</v>
      </c>
      <c r="P20" s="286">
        <f t="shared" si="10"/>
        <v>65835</v>
      </c>
      <c r="S20" s="307">
        <f>MIN(ss_calc!E16,TWB!C20)</f>
        <v>50143.871966993058</v>
      </c>
      <c r="T20" s="284">
        <f>MIN(ss_calc!E16,TWB!D20)</f>
        <v>50143.871966993058</v>
      </c>
      <c r="U20" s="133">
        <f>MIN(ss_calc!E16,TWB!E20)</f>
        <v>50143.871966993058</v>
      </c>
      <c r="V20" s="284">
        <f>MIN(ss_calc!E16,TWB!F20)</f>
        <v>50143.871966993058</v>
      </c>
      <c r="W20" s="133">
        <f>MIN(ss_calc!E16,TWB!G20)</f>
        <v>50143.871966993058</v>
      </c>
      <c r="X20" s="284">
        <f>MIN(ss_calc!E16,TWB!H20)</f>
        <v>50143.871966993058</v>
      </c>
      <c r="Y20" s="133">
        <f>MIN(ss_calc!E16,TWB!I20)</f>
        <v>50143.871966993058</v>
      </c>
      <c r="Z20" s="284">
        <f>MIN(ss_calc!E16,TWB!J20)</f>
        <v>50143.871966993058</v>
      </c>
      <c r="AA20" s="134">
        <f>MIN(ss_calc!E16,TWB!K20)</f>
        <v>50143.871966993058</v>
      </c>
      <c r="AB20" s="284">
        <f>MIN(ss_calc!E16,TWB!L20)</f>
        <v>50143.871966993058</v>
      </c>
      <c r="AC20" s="133">
        <f>MIN(ss_calc!E16,TWB!M20)</f>
        <v>50143.871966993058</v>
      </c>
      <c r="AD20" s="284">
        <f>MIN(ss_calc!E16,TWB!N20)</f>
        <v>50143.871966993058</v>
      </c>
      <c r="AE20" s="133">
        <f>MIN(ss_calc!E16,TWB!O20)</f>
        <v>50143.871966993058</v>
      </c>
      <c r="AF20" s="284">
        <f>MIN(ss_calc!E16,TWB!P20)</f>
        <v>50143.871966993058</v>
      </c>
      <c r="AI20" s="310">
        <f t="shared" si="14"/>
        <v>13</v>
      </c>
      <c r="AJ20" s="307">
        <f t="shared" si="15"/>
        <v>50143.871966993058</v>
      </c>
      <c r="AK20" s="307">
        <f>ss_calc!G16</f>
        <v>25913.9</v>
      </c>
      <c r="AL20" s="367">
        <f t="shared" si="16"/>
        <v>2.2774025422649617</v>
      </c>
      <c r="AM20" s="284">
        <f t="shared" si="17"/>
        <v>114197.78149663874</v>
      </c>
      <c r="AN20" s="373">
        <v>110607.22908655493</v>
      </c>
    </row>
    <row r="21" spans="2:40" x14ac:dyDescent="0.35">
      <c r="B21" s="293">
        <f>appendix!P35</f>
        <v>1997</v>
      </c>
      <c r="C21" s="284">
        <f t="shared" si="11"/>
        <v>52320</v>
      </c>
      <c r="D21" s="133">
        <f t="shared" si="12"/>
        <v>56145.9</v>
      </c>
      <c r="E21" s="284">
        <f t="shared" si="13"/>
        <v>60037.200000000004</v>
      </c>
      <c r="F21" s="133">
        <f t="shared" si="0"/>
        <v>62130</v>
      </c>
      <c r="G21" s="284">
        <f t="shared" si="1"/>
        <v>62784</v>
      </c>
      <c r="H21" s="133">
        <f t="shared" si="2"/>
        <v>63438</v>
      </c>
      <c r="I21" s="284">
        <f t="shared" si="3"/>
        <v>64092</v>
      </c>
      <c r="J21" s="133">
        <f t="shared" si="4"/>
        <v>64746</v>
      </c>
      <c r="K21" s="285">
        <f t="shared" si="5"/>
        <v>65400</v>
      </c>
      <c r="L21" s="133">
        <f t="shared" si="6"/>
        <v>66054</v>
      </c>
      <c r="M21" s="284">
        <f t="shared" si="7"/>
        <v>66708</v>
      </c>
      <c r="N21" s="133">
        <f t="shared" si="8"/>
        <v>67362</v>
      </c>
      <c r="O21" s="284">
        <f t="shared" si="9"/>
        <v>68016</v>
      </c>
      <c r="P21" s="286">
        <f t="shared" si="10"/>
        <v>68670</v>
      </c>
      <c r="S21" s="307">
        <f>MIN(ss_calc!E17,TWB!C21)</f>
        <v>51648.188126002853</v>
      </c>
      <c r="T21" s="284">
        <f>MIN(ss_calc!E17,TWB!D21)</f>
        <v>51648.188126002853</v>
      </c>
      <c r="U21" s="133">
        <f>MIN(ss_calc!E17,TWB!E21)</f>
        <v>51648.188126002853</v>
      </c>
      <c r="V21" s="284">
        <f>MIN(ss_calc!E17,TWB!F21)</f>
        <v>51648.188126002853</v>
      </c>
      <c r="W21" s="133">
        <f>MIN(ss_calc!E17,TWB!G21)</f>
        <v>51648.188126002853</v>
      </c>
      <c r="X21" s="284">
        <f>MIN(ss_calc!E17,TWB!H21)</f>
        <v>51648.188126002853</v>
      </c>
      <c r="Y21" s="133">
        <f>MIN(ss_calc!E17,TWB!I21)</f>
        <v>51648.188126002853</v>
      </c>
      <c r="Z21" s="284">
        <f>MIN(ss_calc!E17,TWB!J21)</f>
        <v>51648.188126002853</v>
      </c>
      <c r="AA21" s="134">
        <f>MIN(ss_calc!E17,TWB!K21)</f>
        <v>51648.188126002853</v>
      </c>
      <c r="AB21" s="284">
        <f>MIN(ss_calc!E17,TWB!L21)</f>
        <v>51648.188126002853</v>
      </c>
      <c r="AC21" s="133">
        <f>MIN(ss_calc!E17,TWB!M21)</f>
        <v>51648.188126002853</v>
      </c>
      <c r="AD21" s="284">
        <f>MIN(ss_calc!E17,TWB!N21)</f>
        <v>51648.188126002853</v>
      </c>
      <c r="AE21" s="133">
        <f>MIN(ss_calc!E17,TWB!O21)</f>
        <v>51648.188126002853</v>
      </c>
      <c r="AF21" s="284">
        <f>MIN(ss_calc!E17,TWB!P21)</f>
        <v>51648.188126002853</v>
      </c>
      <c r="AI21" s="310">
        <f t="shared" si="14"/>
        <v>14</v>
      </c>
      <c r="AJ21" s="307">
        <f t="shared" si="15"/>
        <v>51648.188126002853</v>
      </c>
      <c r="AK21" s="307">
        <f>ss_calc!G17</f>
        <v>27426</v>
      </c>
      <c r="AL21" s="367">
        <f t="shared" si="16"/>
        <v>2.1518406526653537</v>
      </c>
      <c r="AM21" s="284">
        <f t="shared" si="17"/>
        <v>111138.67084604096</v>
      </c>
      <c r="AN21" s="373">
        <v>109888.55627897737</v>
      </c>
    </row>
    <row r="22" spans="2:40" x14ac:dyDescent="0.35">
      <c r="B22" s="293">
        <f>appendix!P36</f>
        <v>1998</v>
      </c>
      <c r="C22" s="284">
        <f t="shared" si="11"/>
        <v>54720</v>
      </c>
      <c r="D22" s="133">
        <f t="shared" si="12"/>
        <v>58721.4</v>
      </c>
      <c r="E22" s="284">
        <f t="shared" si="13"/>
        <v>62791.200000000004</v>
      </c>
      <c r="F22" s="133">
        <f t="shared" si="0"/>
        <v>64980</v>
      </c>
      <c r="G22" s="284">
        <f t="shared" si="1"/>
        <v>65664</v>
      </c>
      <c r="H22" s="133">
        <f t="shared" si="2"/>
        <v>66348</v>
      </c>
      <c r="I22" s="284">
        <f t="shared" si="3"/>
        <v>67032</v>
      </c>
      <c r="J22" s="133">
        <f t="shared" si="4"/>
        <v>67716</v>
      </c>
      <c r="K22" s="285">
        <f t="shared" si="5"/>
        <v>68400</v>
      </c>
      <c r="L22" s="133">
        <f t="shared" si="6"/>
        <v>69084</v>
      </c>
      <c r="M22" s="284">
        <f t="shared" si="7"/>
        <v>69768</v>
      </c>
      <c r="N22" s="133">
        <f t="shared" si="8"/>
        <v>70452</v>
      </c>
      <c r="O22" s="284">
        <f t="shared" si="9"/>
        <v>71136</v>
      </c>
      <c r="P22" s="286">
        <f t="shared" si="10"/>
        <v>71820</v>
      </c>
      <c r="S22" s="307">
        <f>MIN(ss_calc!E18,TWB!C22)</f>
        <v>53197.633769782937</v>
      </c>
      <c r="T22" s="284">
        <f>MIN(ss_calc!E18,TWB!D22)</f>
        <v>53197.633769782937</v>
      </c>
      <c r="U22" s="133">
        <f>MIN(ss_calc!E18,TWB!E22)</f>
        <v>53197.633769782937</v>
      </c>
      <c r="V22" s="284">
        <f>MIN(ss_calc!E18,TWB!F22)</f>
        <v>53197.633769782937</v>
      </c>
      <c r="W22" s="133">
        <f>MIN(ss_calc!E18,TWB!G22)</f>
        <v>53197.633769782937</v>
      </c>
      <c r="X22" s="284">
        <f>MIN(ss_calc!E18,TWB!H22)</f>
        <v>53197.633769782937</v>
      </c>
      <c r="Y22" s="133">
        <f>MIN(ss_calc!E18,TWB!I22)</f>
        <v>53197.633769782937</v>
      </c>
      <c r="Z22" s="284">
        <f>MIN(ss_calc!E18,TWB!J22)</f>
        <v>53197.633769782937</v>
      </c>
      <c r="AA22" s="134">
        <f>MIN(ss_calc!E18,TWB!K22)</f>
        <v>53197.633769782937</v>
      </c>
      <c r="AB22" s="284">
        <f>MIN(ss_calc!E18,TWB!L22)</f>
        <v>53197.633769782937</v>
      </c>
      <c r="AC22" s="133">
        <f>MIN(ss_calc!E18,TWB!M22)</f>
        <v>53197.633769782937</v>
      </c>
      <c r="AD22" s="284">
        <f>MIN(ss_calc!E18,TWB!N22)</f>
        <v>53197.633769782937</v>
      </c>
      <c r="AE22" s="133">
        <f>MIN(ss_calc!E18,TWB!O22)</f>
        <v>53197.633769782937</v>
      </c>
      <c r="AF22" s="284">
        <f>MIN(ss_calc!E18,TWB!P22)</f>
        <v>53197.633769782937</v>
      </c>
      <c r="AI22" s="310">
        <f t="shared" si="14"/>
        <v>15</v>
      </c>
      <c r="AJ22" s="307">
        <f t="shared" si="15"/>
        <v>53197.633769782937</v>
      </c>
      <c r="AK22" s="307">
        <f>ss_calc!G18</f>
        <v>28861.439999999999</v>
      </c>
      <c r="AL22" s="367">
        <f t="shared" si="16"/>
        <v>2.0448176438874843</v>
      </c>
      <c r="AM22" s="284">
        <f t="shared" si="17"/>
        <v>108779.46014551682</v>
      </c>
      <c r="AN22" s="373">
        <v>108966.11366387371</v>
      </c>
    </row>
    <row r="23" spans="2:40" x14ac:dyDescent="0.35">
      <c r="B23" s="293">
        <f>appendix!P37</f>
        <v>1999</v>
      </c>
      <c r="C23" s="284">
        <f t="shared" si="11"/>
        <v>58080</v>
      </c>
      <c r="D23" s="133">
        <f t="shared" si="12"/>
        <v>62327.1</v>
      </c>
      <c r="E23" s="284">
        <f t="shared" si="13"/>
        <v>66646.8</v>
      </c>
      <c r="F23" s="133">
        <f t="shared" si="0"/>
        <v>68970</v>
      </c>
      <c r="G23" s="284">
        <f t="shared" si="1"/>
        <v>69696</v>
      </c>
      <c r="H23" s="133">
        <f t="shared" si="2"/>
        <v>70422</v>
      </c>
      <c r="I23" s="284">
        <f t="shared" si="3"/>
        <v>71148</v>
      </c>
      <c r="J23" s="133">
        <f t="shared" si="4"/>
        <v>71874</v>
      </c>
      <c r="K23" s="285">
        <f t="shared" si="5"/>
        <v>72600</v>
      </c>
      <c r="L23" s="133">
        <f t="shared" si="6"/>
        <v>73326</v>
      </c>
      <c r="M23" s="284">
        <f t="shared" si="7"/>
        <v>74052</v>
      </c>
      <c r="N23" s="133">
        <f t="shared" si="8"/>
        <v>74778</v>
      </c>
      <c r="O23" s="284">
        <f t="shared" si="9"/>
        <v>75504</v>
      </c>
      <c r="P23" s="286">
        <f t="shared" si="10"/>
        <v>76230</v>
      </c>
      <c r="S23" s="307">
        <f>MIN(ss_calc!E19,TWB!C23)</f>
        <v>54793.562782876426</v>
      </c>
      <c r="T23" s="284">
        <f>MIN(ss_calc!E19,TWB!D23)</f>
        <v>54793.562782876426</v>
      </c>
      <c r="U23" s="133">
        <f>MIN(ss_calc!E19,TWB!E23)</f>
        <v>54793.562782876426</v>
      </c>
      <c r="V23" s="284">
        <f>MIN(ss_calc!E19,TWB!F23)</f>
        <v>54793.562782876426</v>
      </c>
      <c r="W23" s="133">
        <f>MIN(ss_calc!E19,TWB!G23)</f>
        <v>54793.562782876426</v>
      </c>
      <c r="X23" s="284">
        <f>MIN(ss_calc!E19,TWB!H23)</f>
        <v>54793.562782876426</v>
      </c>
      <c r="Y23" s="133">
        <f>MIN(ss_calc!E19,TWB!I23)</f>
        <v>54793.562782876426</v>
      </c>
      <c r="Z23" s="284">
        <f>MIN(ss_calc!E19,TWB!J23)</f>
        <v>54793.562782876426</v>
      </c>
      <c r="AA23" s="134">
        <f>MIN(ss_calc!E19,TWB!K23)</f>
        <v>54793.562782876426</v>
      </c>
      <c r="AB23" s="284">
        <f>MIN(ss_calc!E19,TWB!L23)</f>
        <v>54793.562782876426</v>
      </c>
      <c r="AC23" s="133">
        <f>MIN(ss_calc!E19,TWB!M23)</f>
        <v>54793.562782876426</v>
      </c>
      <c r="AD23" s="284">
        <f>MIN(ss_calc!E19,TWB!N23)</f>
        <v>54793.562782876426</v>
      </c>
      <c r="AE23" s="133">
        <f>MIN(ss_calc!E19,TWB!O23)</f>
        <v>54793.562782876426</v>
      </c>
      <c r="AF23" s="284">
        <f>MIN(ss_calc!E19,TWB!P23)</f>
        <v>54793.562782876426</v>
      </c>
      <c r="AI23" s="310">
        <f t="shared" si="14"/>
        <v>16</v>
      </c>
      <c r="AJ23" s="307">
        <f t="shared" si="15"/>
        <v>54793.562782876426</v>
      </c>
      <c r="AK23" s="307">
        <f>ss_calc!G19</f>
        <v>30469.84</v>
      </c>
      <c r="AL23" s="367">
        <f t="shared" si="16"/>
        <v>1.9368786229268022</v>
      </c>
      <c r="AM23" s="284">
        <f t="shared" si="17"/>
        <v>106128.48042815097</v>
      </c>
      <c r="AN23" s="373">
        <v>108779.46014551682</v>
      </c>
    </row>
    <row r="24" spans="2:40" x14ac:dyDescent="0.35">
      <c r="B24" s="293">
        <f>appendix!P38</f>
        <v>2000</v>
      </c>
      <c r="C24" s="284">
        <f t="shared" si="11"/>
        <v>60960</v>
      </c>
      <c r="D24" s="133">
        <f t="shared" si="12"/>
        <v>65417.7</v>
      </c>
      <c r="E24" s="284">
        <f t="shared" si="13"/>
        <v>69951.600000000006</v>
      </c>
      <c r="F24" s="133">
        <f t="shared" si="0"/>
        <v>72390</v>
      </c>
      <c r="G24" s="284">
        <f t="shared" si="1"/>
        <v>73152</v>
      </c>
      <c r="H24" s="133">
        <f t="shared" si="2"/>
        <v>73914</v>
      </c>
      <c r="I24" s="284">
        <f t="shared" si="3"/>
        <v>74676</v>
      </c>
      <c r="J24" s="133">
        <f t="shared" si="4"/>
        <v>75438</v>
      </c>
      <c r="K24" s="285">
        <f t="shared" si="5"/>
        <v>76200</v>
      </c>
      <c r="L24" s="133">
        <f t="shared" si="6"/>
        <v>76962</v>
      </c>
      <c r="M24" s="284">
        <f t="shared" si="7"/>
        <v>77724</v>
      </c>
      <c r="N24" s="133">
        <f t="shared" si="8"/>
        <v>78486</v>
      </c>
      <c r="O24" s="284">
        <f t="shared" si="9"/>
        <v>79248</v>
      </c>
      <c r="P24" s="286">
        <f t="shared" si="10"/>
        <v>80010</v>
      </c>
      <c r="S24" s="307">
        <f>MIN(ss_calc!E20,TWB!C24)</f>
        <v>56437.36966636272</v>
      </c>
      <c r="T24" s="284">
        <f>MIN(ss_calc!E20,TWB!D24)</f>
        <v>56437.36966636272</v>
      </c>
      <c r="U24" s="133">
        <f>MIN(ss_calc!E20,TWB!E24)</f>
        <v>56437.36966636272</v>
      </c>
      <c r="V24" s="284">
        <f>MIN(ss_calc!E20,TWB!F24)</f>
        <v>56437.36966636272</v>
      </c>
      <c r="W24" s="133">
        <f>MIN(ss_calc!E20,TWB!G24)</f>
        <v>56437.36966636272</v>
      </c>
      <c r="X24" s="284">
        <f>MIN(ss_calc!E20,TWB!H24)</f>
        <v>56437.36966636272</v>
      </c>
      <c r="Y24" s="133">
        <f>MIN(ss_calc!E20,TWB!I24)</f>
        <v>56437.36966636272</v>
      </c>
      <c r="Z24" s="284">
        <f>MIN(ss_calc!E20,TWB!J24)</f>
        <v>56437.36966636272</v>
      </c>
      <c r="AA24" s="134">
        <f>MIN(ss_calc!E20,TWB!K24)</f>
        <v>56437.36966636272</v>
      </c>
      <c r="AB24" s="284">
        <f>MIN(ss_calc!E20,TWB!L24)</f>
        <v>56437.36966636272</v>
      </c>
      <c r="AC24" s="133">
        <f>MIN(ss_calc!E20,TWB!M24)</f>
        <v>56437.36966636272</v>
      </c>
      <c r="AD24" s="284">
        <f>MIN(ss_calc!E20,TWB!N24)</f>
        <v>56437.36966636272</v>
      </c>
      <c r="AE24" s="133">
        <f>MIN(ss_calc!E20,TWB!O24)</f>
        <v>56437.36966636272</v>
      </c>
      <c r="AF24" s="284">
        <f>MIN(ss_calc!E20,TWB!P24)</f>
        <v>56437.36966636272</v>
      </c>
      <c r="AI24" s="310">
        <f t="shared" si="14"/>
        <v>17</v>
      </c>
      <c r="AJ24" s="307">
        <f t="shared" si="15"/>
        <v>56437.36966636272</v>
      </c>
      <c r="AK24" s="307">
        <f>ss_calc!G20</f>
        <v>32154.82</v>
      </c>
      <c r="AL24" s="367">
        <f t="shared" si="16"/>
        <v>1.8353821212496291</v>
      </c>
      <c r="AM24" s="284">
        <f t="shared" si="17"/>
        <v>103584.13925599828</v>
      </c>
      <c r="AN24" s="373">
        <v>108387.74194698915</v>
      </c>
    </row>
    <row r="25" spans="2:40" x14ac:dyDescent="0.35">
      <c r="B25" s="293">
        <f>appendix!P39</f>
        <v>2001</v>
      </c>
      <c r="C25" s="284">
        <f t="shared" si="11"/>
        <v>64320</v>
      </c>
      <c r="D25" s="133">
        <f t="shared" si="12"/>
        <v>69023.399999999994</v>
      </c>
      <c r="E25" s="284">
        <f t="shared" si="13"/>
        <v>73807.199999999997</v>
      </c>
      <c r="F25" s="133">
        <f t="shared" si="0"/>
        <v>76380</v>
      </c>
      <c r="G25" s="284">
        <f t="shared" si="1"/>
        <v>77184</v>
      </c>
      <c r="H25" s="133">
        <f t="shared" si="2"/>
        <v>77988</v>
      </c>
      <c r="I25" s="284">
        <f t="shared" si="3"/>
        <v>78792</v>
      </c>
      <c r="J25" s="133">
        <f t="shared" si="4"/>
        <v>79596</v>
      </c>
      <c r="K25" s="285">
        <f t="shared" si="5"/>
        <v>80400</v>
      </c>
      <c r="L25" s="133">
        <f t="shared" si="6"/>
        <v>81204</v>
      </c>
      <c r="M25" s="284">
        <f t="shared" si="7"/>
        <v>82008</v>
      </c>
      <c r="N25" s="133">
        <f t="shared" si="8"/>
        <v>82812</v>
      </c>
      <c r="O25" s="284">
        <f t="shared" si="9"/>
        <v>83616</v>
      </c>
      <c r="P25" s="286">
        <f t="shared" si="10"/>
        <v>84420</v>
      </c>
      <c r="S25" s="307">
        <f>MIN(ss_calc!E21,TWB!C25)</f>
        <v>58130.490756353604</v>
      </c>
      <c r="T25" s="284">
        <f>MIN(ss_calc!E21,TWB!D25)</f>
        <v>58130.490756353604</v>
      </c>
      <c r="U25" s="133">
        <f>MIN(ss_calc!E21,TWB!E25)</f>
        <v>58130.490756353604</v>
      </c>
      <c r="V25" s="284">
        <f>MIN(ss_calc!E21,TWB!F25)</f>
        <v>58130.490756353604</v>
      </c>
      <c r="W25" s="133">
        <f>MIN(ss_calc!E21,TWB!G25)</f>
        <v>58130.490756353604</v>
      </c>
      <c r="X25" s="284">
        <f>MIN(ss_calc!E21,TWB!H25)</f>
        <v>58130.490756353604</v>
      </c>
      <c r="Y25" s="133">
        <f>MIN(ss_calc!E21,TWB!I25)</f>
        <v>58130.490756353604</v>
      </c>
      <c r="Z25" s="284">
        <f>MIN(ss_calc!E21,TWB!J25)</f>
        <v>58130.490756353604</v>
      </c>
      <c r="AA25" s="134">
        <f>MIN(ss_calc!E21,TWB!K25)</f>
        <v>58130.490756353604</v>
      </c>
      <c r="AB25" s="284">
        <f>MIN(ss_calc!E21,TWB!L25)</f>
        <v>58130.490756353604</v>
      </c>
      <c r="AC25" s="133">
        <f>MIN(ss_calc!E21,TWB!M25)</f>
        <v>58130.490756353604</v>
      </c>
      <c r="AD25" s="284">
        <f>MIN(ss_calc!E21,TWB!N25)</f>
        <v>58130.490756353604</v>
      </c>
      <c r="AE25" s="133">
        <f>MIN(ss_calc!E21,TWB!O25)</f>
        <v>58130.490756353604</v>
      </c>
      <c r="AF25" s="284">
        <f>MIN(ss_calc!E21,TWB!P25)</f>
        <v>58130.490756353604</v>
      </c>
      <c r="AI25" s="310">
        <f t="shared" si="14"/>
        <v>18</v>
      </c>
      <c r="AJ25" s="307">
        <f t="shared" si="15"/>
        <v>58130.490756353604</v>
      </c>
      <c r="AK25" s="307">
        <f>ss_calc!G21</f>
        <v>32921.919999999998</v>
      </c>
      <c r="AL25" s="367">
        <f t="shared" si="16"/>
        <v>1.7926166438652424</v>
      </c>
      <c r="AM25" s="284">
        <f t="shared" si="17"/>
        <v>104205.6852458941</v>
      </c>
      <c r="AN25" s="373">
        <v>107885.97939100819</v>
      </c>
    </row>
    <row r="26" spans="2:40" x14ac:dyDescent="0.35">
      <c r="B26" s="293">
        <f>appendix!P40</f>
        <v>2002</v>
      </c>
      <c r="C26" s="284">
        <f t="shared" si="11"/>
        <v>67920</v>
      </c>
      <c r="D26" s="133">
        <f t="shared" si="12"/>
        <v>72886.649999999994</v>
      </c>
      <c r="E26" s="284">
        <f t="shared" si="13"/>
        <v>77938.2</v>
      </c>
      <c r="F26" s="133">
        <f t="shared" si="0"/>
        <v>80655</v>
      </c>
      <c r="G26" s="284">
        <f t="shared" si="1"/>
        <v>81504</v>
      </c>
      <c r="H26" s="133">
        <f t="shared" si="2"/>
        <v>82353</v>
      </c>
      <c r="I26" s="284">
        <f t="shared" si="3"/>
        <v>83202</v>
      </c>
      <c r="J26" s="133">
        <f t="shared" si="4"/>
        <v>84051</v>
      </c>
      <c r="K26" s="285">
        <f t="shared" si="5"/>
        <v>84900</v>
      </c>
      <c r="L26" s="133">
        <f t="shared" si="6"/>
        <v>85749</v>
      </c>
      <c r="M26" s="284">
        <f t="shared" si="7"/>
        <v>86598</v>
      </c>
      <c r="N26" s="133">
        <f t="shared" si="8"/>
        <v>87447</v>
      </c>
      <c r="O26" s="284">
        <f t="shared" si="9"/>
        <v>88296</v>
      </c>
      <c r="P26" s="286">
        <f t="shared" si="10"/>
        <v>89145</v>
      </c>
      <c r="S26" s="307">
        <f>MIN(ss_calc!E22,TWB!C26)</f>
        <v>59874.40547904421</v>
      </c>
      <c r="T26" s="284">
        <f>MIN(ss_calc!E22,TWB!D26)</f>
        <v>59874.40547904421</v>
      </c>
      <c r="U26" s="133">
        <f>MIN(ss_calc!E22,TWB!E26)</f>
        <v>59874.40547904421</v>
      </c>
      <c r="V26" s="284">
        <f>MIN(ss_calc!E22,TWB!F26)</f>
        <v>59874.40547904421</v>
      </c>
      <c r="W26" s="133">
        <f>MIN(ss_calc!E22,TWB!G26)</f>
        <v>59874.40547904421</v>
      </c>
      <c r="X26" s="284">
        <f>MIN(ss_calc!E22,TWB!H26)</f>
        <v>59874.40547904421</v>
      </c>
      <c r="Y26" s="133">
        <f>MIN(ss_calc!E22,TWB!I26)</f>
        <v>59874.40547904421</v>
      </c>
      <c r="Z26" s="284">
        <f>MIN(ss_calc!E22,TWB!J26)</f>
        <v>59874.40547904421</v>
      </c>
      <c r="AA26" s="134">
        <f>MIN(ss_calc!E22,TWB!K26)</f>
        <v>59874.40547904421</v>
      </c>
      <c r="AB26" s="284">
        <f>MIN(ss_calc!E22,TWB!L26)</f>
        <v>59874.40547904421</v>
      </c>
      <c r="AC26" s="133">
        <f>MIN(ss_calc!E22,TWB!M26)</f>
        <v>59874.40547904421</v>
      </c>
      <c r="AD26" s="284">
        <f>MIN(ss_calc!E22,TWB!N26)</f>
        <v>59874.40547904421</v>
      </c>
      <c r="AE26" s="133">
        <f>MIN(ss_calc!E22,TWB!O26)</f>
        <v>59874.40547904421</v>
      </c>
      <c r="AF26" s="284">
        <f>MIN(ss_calc!E22,TWB!P26)</f>
        <v>59874.40547904421</v>
      </c>
      <c r="AI26" s="310">
        <f t="shared" si="14"/>
        <v>19</v>
      </c>
      <c r="AJ26" s="307">
        <f t="shared" si="15"/>
        <v>59874.40547904421</v>
      </c>
      <c r="AK26" s="307">
        <f>ss_calc!G22</f>
        <v>33252.089999999997</v>
      </c>
      <c r="AL26" s="367">
        <f t="shared" si="16"/>
        <v>1.7748172141961605</v>
      </c>
      <c r="AM26" s="284">
        <f t="shared" si="17"/>
        <v>106266.12553396857</v>
      </c>
      <c r="AN26" s="373">
        <v>107410.85549765396</v>
      </c>
    </row>
    <row r="27" spans="2:40" x14ac:dyDescent="0.35">
      <c r="B27" s="293">
        <f>appendix!P41</f>
        <v>2003</v>
      </c>
      <c r="C27" s="284">
        <f t="shared" si="11"/>
        <v>69600</v>
      </c>
      <c r="D27" s="133">
        <f t="shared" si="12"/>
        <v>74689.5</v>
      </c>
      <c r="E27" s="284">
        <f t="shared" si="13"/>
        <v>79866</v>
      </c>
      <c r="F27" s="133">
        <f t="shared" si="0"/>
        <v>82650</v>
      </c>
      <c r="G27" s="284">
        <f t="shared" si="1"/>
        <v>83520</v>
      </c>
      <c r="H27" s="133">
        <f t="shared" si="2"/>
        <v>84390</v>
      </c>
      <c r="I27" s="284">
        <f t="shared" si="3"/>
        <v>85260</v>
      </c>
      <c r="J27" s="133">
        <f t="shared" si="4"/>
        <v>86130</v>
      </c>
      <c r="K27" s="285">
        <f t="shared" si="5"/>
        <v>87000</v>
      </c>
      <c r="L27" s="133">
        <f t="shared" si="6"/>
        <v>87870</v>
      </c>
      <c r="M27" s="284">
        <f t="shared" si="7"/>
        <v>88740</v>
      </c>
      <c r="N27" s="133">
        <f t="shared" si="8"/>
        <v>89610</v>
      </c>
      <c r="O27" s="284">
        <f t="shared" si="9"/>
        <v>90480</v>
      </c>
      <c r="P27" s="286">
        <f t="shared" si="10"/>
        <v>91350</v>
      </c>
      <c r="S27" s="307">
        <f>MIN(ss_calc!E23,TWB!C27)</f>
        <v>61670.637643415539</v>
      </c>
      <c r="T27" s="284">
        <f>MIN(ss_calc!E23,TWB!D27)</f>
        <v>61670.637643415539</v>
      </c>
      <c r="U27" s="133">
        <f>MIN(ss_calc!E23,TWB!E27)</f>
        <v>61670.637643415539</v>
      </c>
      <c r="V27" s="284">
        <f>MIN(ss_calc!E23,TWB!F27)</f>
        <v>61670.637643415539</v>
      </c>
      <c r="W27" s="133">
        <f>MIN(ss_calc!E23,TWB!G27)</f>
        <v>61670.637643415539</v>
      </c>
      <c r="X27" s="284">
        <f>MIN(ss_calc!E23,TWB!H27)</f>
        <v>61670.637643415539</v>
      </c>
      <c r="Y27" s="133">
        <f>MIN(ss_calc!E23,TWB!I27)</f>
        <v>61670.637643415539</v>
      </c>
      <c r="Z27" s="284">
        <f>MIN(ss_calc!E23,TWB!J27)</f>
        <v>61670.637643415539</v>
      </c>
      <c r="AA27" s="134">
        <f>MIN(ss_calc!E23,TWB!K27)</f>
        <v>61670.637643415539</v>
      </c>
      <c r="AB27" s="284">
        <f>MIN(ss_calc!E23,TWB!L27)</f>
        <v>61670.637643415539</v>
      </c>
      <c r="AC27" s="133">
        <f>MIN(ss_calc!E23,TWB!M27)</f>
        <v>61670.637643415539</v>
      </c>
      <c r="AD27" s="284">
        <f>MIN(ss_calc!E23,TWB!N27)</f>
        <v>61670.637643415539</v>
      </c>
      <c r="AE27" s="133">
        <f>MIN(ss_calc!E23,TWB!O27)</f>
        <v>61670.637643415539</v>
      </c>
      <c r="AF27" s="284">
        <f>MIN(ss_calc!E23,TWB!P27)</f>
        <v>61670.637643415539</v>
      </c>
      <c r="AI27" s="310">
        <f t="shared" si="14"/>
        <v>20</v>
      </c>
      <c r="AJ27" s="307">
        <f t="shared" si="15"/>
        <v>61670.637643415539</v>
      </c>
      <c r="AK27" s="307">
        <f>ss_calc!G23</f>
        <v>34064.949999999997</v>
      </c>
      <c r="AL27" s="367">
        <f t="shared" si="16"/>
        <v>1.7324664131313858</v>
      </c>
      <c r="AM27" s="284">
        <f t="shared" si="17"/>
        <v>106842.30839361354</v>
      </c>
      <c r="AN27" s="373">
        <v>107271.99209412813</v>
      </c>
    </row>
    <row r="28" spans="2:40" x14ac:dyDescent="0.35">
      <c r="B28" s="293">
        <f>appendix!P42</f>
        <v>2004</v>
      </c>
      <c r="C28" s="284">
        <f t="shared" si="11"/>
        <v>70320</v>
      </c>
      <c r="D28" s="133">
        <f t="shared" si="12"/>
        <v>75462.149999999994</v>
      </c>
      <c r="E28" s="284">
        <f t="shared" si="13"/>
        <v>80692.2</v>
      </c>
      <c r="F28" s="133">
        <f t="shared" si="0"/>
        <v>83505</v>
      </c>
      <c r="G28" s="284">
        <f t="shared" si="1"/>
        <v>84384</v>
      </c>
      <c r="H28" s="133">
        <f t="shared" si="2"/>
        <v>85263</v>
      </c>
      <c r="I28" s="284">
        <f t="shared" si="3"/>
        <v>86142</v>
      </c>
      <c r="J28" s="133">
        <f t="shared" si="4"/>
        <v>87021</v>
      </c>
      <c r="K28" s="285">
        <f t="shared" si="5"/>
        <v>87900</v>
      </c>
      <c r="L28" s="133">
        <f t="shared" si="6"/>
        <v>88779</v>
      </c>
      <c r="M28" s="284">
        <f t="shared" si="7"/>
        <v>89658</v>
      </c>
      <c r="N28" s="133">
        <f t="shared" si="8"/>
        <v>90537</v>
      </c>
      <c r="O28" s="284">
        <f t="shared" si="9"/>
        <v>91416</v>
      </c>
      <c r="P28" s="286">
        <f t="shared" si="10"/>
        <v>92295</v>
      </c>
      <c r="S28" s="307">
        <f>MIN(ss_calc!E24,TWB!C28)</f>
        <v>63520.756772718007</v>
      </c>
      <c r="T28" s="284">
        <f>MIN(ss_calc!E24,TWB!D28)</f>
        <v>63520.756772718007</v>
      </c>
      <c r="U28" s="133">
        <f>MIN(ss_calc!E24,TWB!E28)</f>
        <v>63520.756772718007</v>
      </c>
      <c r="V28" s="284">
        <f>MIN(ss_calc!E24,TWB!F28)</f>
        <v>63520.756772718007</v>
      </c>
      <c r="W28" s="133">
        <f>MIN(ss_calc!E24,TWB!G28)</f>
        <v>63520.756772718007</v>
      </c>
      <c r="X28" s="284">
        <f>MIN(ss_calc!E24,TWB!H28)</f>
        <v>63520.756772718007</v>
      </c>
      <c r="Y28" s="133">
        <f>MIN(ss_calc!E24,TWB!I28)</f>
        <v>63520.756772718007</v>
      </c>
      <c r="Z28" s="284">
        <f>MIN(ss_calc!E24,TWB!J28)</f>
        <v>63520.756772718007</v>
      </c>
      <c r="AA28" s="134">
        <f>MIN(ss_calc!E24,TWB!K28)</f>
        <v>63520.756772718007</v>
      </c>
      <c r="AB28" s="284">
        <f>MIN(ss_calc!E24,TWB!L28)</f>
        <v>63520.756772718007</v>
      </c>
      <c r="AC28" s="133">
        <f>MIN(ss_calc!E24,TWB!M28)</f>
        <v>63520.756772718007</v>
      </c>
      <c r="AD28" s="284">
        <f>MIN(ss_calc!E24,TWB!N28)</f>
        <v>63520.756772718007</v>
      </c>
      <c r="AE28" s="133">
        <f>MIN(ss_calc!E24,TWB!O28)</f>
        <v>63520.756772718007</v>
      </c>
      <c r="AF28" s="284">
        <f>MIN(ss_calc!E24,TWB!P28)</f>
        <v>63520.756772718007</v>
      </c>
      <c r="AI28" s="310">
        <f t="shared" si="14"/>
        <v>21</v>
      </c>
      <c r="AJ28" s="307">
        <f t="shared" si="15"/>
        <v>63520.756772718007</v>
      </c>
      <c r="AK28" s="307">
        <f>ss_calc!G24</f>
        <v>35648.550000000003</v>
      </c>
      <c r="AL28" s="367">
        <f t="shared" si="16"/>
        <v>1.6555058127188902</v>
      </c>
      <c r="AM28" s="284">
        <f t="shared" si="17"/>
        <v>105158.98206553748</v>
      </c>
      <c r="AN28" s="373">
        <v>107144.51047653603</v>
      </c>
    </row>
    <row r="29" spans="2:40" x14ac:dyDescent="0.35">
      <c r="B29" s="293">
        <f>appendix!P43</f>
        <v>2005</v>
      </c>
      <c r="C29" s="284">
        <f t="shared" si="11"/>
        <v>72000</v>
      </c>
      <c r="D29" s="133">
        <f t="shared" si="12"/>
        <v>77265</v>
      </c>
      <c r="E29" s="284">
        <f t="shared" si="13"/>
        <v>82620</v>
      </c>
      <c r="F29" s="133">
        <f t="shared" si="0"/>
        <v>85500</v>
      </c>
      <c r="G29" s="284">
        <f t="shared" si="1"/>
        <v>86400</v>
      </c>
      <c r="H29" s="133">
        <f t="shared" si="2"/>
        <v>87300</v>
      </c>
      <c r="I29" s="284">
        <f t="shared" si="3"/>
        <v>88200</v>
      </c>
      <c r="J29" s="133">
        <f t="shared" si="4"/>
        <v>89100</v>
      </c>
      <c r="K29" s="285">
        <f t="shared" si="5"/>
        <v>90000</v>
      </c>
      <c r="L29" s="133">
        <f t="shared" si="6"/>
        <v>90900</v>
      </c>
      <c r="M29" s="284">
        <f t="shared" si="7"/>
        <v>91800</v>
      </c>
      <c r="N29" s="133">
        <f t="shared" si="8"/>
        <v>92700</v>
      </c>
      <c r="O29" s="284">
        <f t="shared" si="9"/>
        <v>93600</v>
      </c>
      <c r="P29" s="286">
        <f t="shared" si="10"/>
        <v>94500</v>
      </c>
      <c r="S29" s="307">
        <f>MIN(ss_calc!E25,TWB!C29)</f>
        <v>65426.37947589955</v>
      </c>
      <c r="T29" s="284">
        <f>MIN(ss_calc!E25,TWB!D29)</f>
        <v>65426.37947589955</v>
      </c>
      <c r="U29" s="133">
        <f>MIN(ss_calc!E25,TWB!E29)</f>
        <v>65426.37947589955</v>
      </c>
      <c r="V29" s="284">
        <f>MIN(ss_calc!E25,TWB!F29)</f>
        <v>65426.37947589955</v>
      </c>
      <c r="W29" s="133">
        <f>MIN(ss_calc!E25,TWB!G29)</f>
        <v>65426.37947589955</v>
      </c>
      <c r="X29" s="284">
        <f>MIN(ss_calc!E25,TWB!H29)</f>
        <v>65426.37947589955</v>
      </c>
      <c r="Y29" s="133">
        <f>MIN(ss_calc!E25,TWB!I29)</f>
        <v>65426.37947589955</v>
      </c>
      <c r="Z29" s="284">
        <f>MIN(ss_calc!E25,TWB!J29)</f>
        <v>65426.37947589955</v>
      </c>
      <c r="AA29" s="134">
        <f>MIN(ss_calc!E25,TWB!K29)</f>
        <v>65426.37947589955</v>
      </c>
      <c r="AB29" s="284">
        <f>MIN(ss_calc!E25,TWB!L29)</f>
        <v>65426.37947589955</v>
      </c>
      <c r="AC29" s="133">
        <f>MIN(ss_calc!E25,TWB!M29)</f>
        <v>65426.37947589955</v>
      </c>
      <c r="AD29" s="284">
        <f>MIN(ss_calc!E25,TWB!N29)</f>
        <v>65426.37947589955</v>
      </c>
      <c r="AE29" s="133">
        <f>MIN(ss_calc!E25,TWB!O29)</f>
        <v>65426.37947589955</v>
      </c>
      <c r="AF29" s="284">
        <f>MIN(ss_calc!E25,TWB!P29)</f>
        <v>65426.37947589955</v>
      </c>
      <c r="AI29" s="310">
        <f t="shared" si="14"/>
        <v>22</v>
      </c>
      <c r="AJ29" s="307">
        <f t="shared" si="15"/>
        <v>65426.37947589955</v>
      </c>
      <c r="AK29" s="307">
        <f>ss_calc!G25</f>
        <v>36952.94</v>
      </c>
      <c r="AL29" s="367">
        <f t="shared" si="16"/>
        <v>1.5970686429821279</v>
      </c>
      <c r="AM29" s="284">
        <f t="shared" si="17"/>
        <v>104490.41908480864</v>
      </c>
      <c r="AN29" s="373">
        <v>106842.30839361354</v>
      </c>
    </row>
    <row r="30" spans="2:40" x14ac:dyDescent="0.35">
      <c r="B30" s="293">
        <f>appendix!P44</f>
        <v>2006</v>
      </c>
      <c r="C30" s="284">
        <f t="shared" si="11"/>
        <v>75360</v>
      </c>
      <c r="D30" s="133">
        <f t="shared" si="12"/>
        <v>80870.7</v>
      </c>
      <c r="E30" s="284">
        <f t="shared" si="13"/>
        <v>86475.6</v>
      </c>
      <c r="F30" s="133">
        <f t="shared" si="0"/>
        <v>89490</v>
      </c>
      <c r="G30" s="284">
        <f t="shared" si="1"/>
        <v>90432</v>
      </c>
      <c r="H30" s="133">
        <f t="shared" si="2"/>
        <v>91374</v>
      </c>
      <c r="I30" s="284">
        <f t="shared" si="3"/>
        <v>92316</v>
      </c>
      <c r="J30" s="133">
        <f t="shared" si="4"/>
        <v>93258</v>
      </c>
      <c r="K30" s="285">
        <f t="shared" si="5"/>
        <v>94200</v>
      </c>
      <c r="L30" s="133">
        <f t="shared" si="6"/>
        <v>95142</v>
      </c>
      <c r="M30" s="284">
        <f t="shared" si="7"/>
        <v>96084</v>
      </c>
      <c r="N30" s="133">
        <f t="shared" si="8"/>
        <v>97026</v>
      </c>
      <c r="O30" s="284">
        <f t="shared" si="9"/>
        <v>97968</v>
      </c>
      <c r="P30" s="286">
        <f t="shared" si="10"/>
        <v>98910</v>
      </c>
      <c r="S30" s="307">
        <f>MIN(ss_calc!E26,TWB!C30)</f>
        <v>67389.170860176542</v>
      </c>
      <c r="T30" s="284">
        <f>MIN(ss_calc!E26,TWB!D30)</f>
        <v>67389.170860176542</v>
      </c>
      <c r="U30" s="133">
        <f>MIN(ss_calc!E26,TWB!E30)</f>
        <v>67389.170860176542</v>
      </c>
      <c r="V30" s="284">
        <f>MIN(ss_calc!E26,TWB!F30)</f>
        <v>67389.170860176542</v>
      </c>
      <c r="W30" s="133">
        <f>MIN(ss_calc!E26,TWB!G30)</f>
        <v>67389.170860176542</v>
      </c>
      <c r="X30" s="284">
        <f>MIN(ss_calc!E26,TWB!H30)</f>
        <v>67389.170860176542</v>
      </c>
      <c r="Y30" s="133">
        <f>MIN(ss_calc!E26,TWB!I30)</f>
        <v>67389.170860176542</v>
      </c>
      <c r="Z30" s="284">
        <f>MIN(ss_calc!E26,TWB!J30)</f>
        <v>67389.170860176542</v>
      </c>
      <c r="AA30" s="134">
        <f>MIN(ss_calc!E26,TWB!K30)</f>
        <v>67389.170860176542</v>
      </c>
      <c r="AB30" s="284">
        <f>MIN(ss_calc!E26,TWB!L30)</f>
        <v>67389.170860176542</v>
      </c>
      <c r="AC30" s="133">
        <f>MIN(ss_calc!E26,TWB!M30)</f>
        <v>67389.170860176542</v>
      </c>
      <c r="AD30" s="284">
        <f>MIN(ss_calc!E26,TWB!N30)</f>
        <v>67389.170860176542</v>
      </c>
      <c r="AE30" s="133">
        <f>MIN(ss_calc!E26,TWB!O30)</f>
        <v>67389.170860176542</v>
      </c>
      <c r="AF30" s="284">
        <f>MIN(ss_calc!E26,TWB!P30)</f>
        <v>67389.170860176542</v>
      </c>
      <c r="AI30" s="310">
        <f t="shared" si="14"/>
        <v>23</v>
      </c>
      <c r="AJ30" s="307">
        <f t="shared" si="15"/>
        <v>67389.170860176542</v>
      </c>
      <c r="AK30" s="307">
        <f>ss_calc!G26</f>
        <v>38651.410000000003</v>
      </c>
      <c r="AL30" s="367">
        <f t="shared" si="16"/>
        <v>1.5268881973516617</v>
      </c>
      <c r="AM30" s="284">
        <f t="shared" si="17"/>
        <v>102895.7296157181</v>
      </c>
      <c r="AN30" s="373">
        <v>106747.10093525161</v>
      </c>
    </row>
    <row r="31" spans="2:40" x14ac:dyDescent="0.35">
      <c r="B31" s="293">
        <f>appendix!P45</f>
        <v>2007</v>
      </c>
      <c r="C31" s="284">
        <f t="shared" si="11"/>
        <v>78000</v>
      </c>
      <c r="D31" s="133">
        <f t="shared" si="12"/>
        <v>83703.75</v>
      </c>
      <c r="E31" s="284">
        <f t="shared" si="13"/>
        <v>89505</v>
      </c>
      <c r="F31" s="133">
        <f t="shared" si="0"/>
        <v>92625</v>
      </c>
      <c r="G31" s="284">
        <f t="shared" si="1"/>
        <v>93600</v>
      </c>
      <c r="H31" s="133">
        <f t="shared" si="2"/>
        <v>94575</v>
      </c>
      <c r="I31" s="284">
        <f t="shared" si="3"/>
        <v>95550</v>
      </c>
      <c r="J31" s="133">
        <f t="shared" si="4"/>
        <v>96525</v>
      </c>
      <c r="K31" s="285">
        <f t="shared" si="5"/>
        <v>97500</v>
      </c>
      <c r="L31" s="133">
        <f t="shared" si="6"/>
        <v>98475</v>
      </c>
      <c r="M31" s="284">
        <f t="shared" si="7"/>
        <v>99450</v>
      </c>
      <c r="N31" s="133">
        <f t="shared" si="8"/>
        <v>100425</v>
      </c>
      <c r="O31" s="284">
        <f t="shared" si="9"/>
        <v>101400</v>
      </c>
      <c r="P31" s="286">
        <f t="shared" si="10"/>
        <v>102375</v>
      </c>
      <c r="S31" s="307">
        <f>MIN(ss_calc!E27,TWB!C31)</f>
        <v>69410.845985981839</v>
      </c>
      <c r="T31" s="284">
        <f>MIN(ss_calc!E27,TWB!D31)</f>
        <v>69410.845985981839</v>
      </c>
      <c r="U31" s="133">
        <f>MIN(ss_calc!E27,TWB!E31)</f>
        <v>69410.845985981839</v>
      </c>
      <c r="V31" s="284">
        <f>MIN(ss_calc!E27,TWB!F31)</f>
        <v>69410.845985981839</v>
      </c>
      <c r="W31" s="133">
        <f>MIN(ss_calc!E27,TWB!G31)</f>
        <v>69410.845985981839</v>
      </c>
      <c r="X31" s="284">
        <f>MIN(ss_calc!E27,TWB!H31)</f>
        <v>69410.845985981839</v>
      </c>
      <c r="Y31" s="133">
        <f>MIN(ss_calc!E27,TWB!I31)</f>
        <v>69410.845985981839</v>
      </c>
      <c r="Z31" s="284">
        <f>MIN(ss_calc!E27,TWB!J31)</f>
        <v>69410.845985981839</v>
      </c>
      <c r="AA31" s="134">
        <f>MIN(ss_calc!E27,TWB!K31)</f>
        <v>69410.845985981839</v>
      </c>
      <c r="AB31" s="284">
        <f>MIN(ss_calc!E27,TWB!L31)</f>
        <v>69410.845985981839</v>
      </c>
      <c r="AC31" s="133">
        <f>MIN(ss_calc!E27,TWB!M31)</f>
        <v>69410.845985981839</v>
      </c>
      <c r="AD31" s="284">
        <f>MIN(ss_calc!E27,TWB!N31)</f>
        <v>69410.845985981839</v>
      </c>
      <c r="AE31" s="133">
        <f>MIN(ss_calc!E27,TWB!O31)</f>
        <v>69410.845985981839</v>
      </c>
      <c r="AF31" s="284">
        <f>MIN(ss_calc!E27,TWB!P31)</f>
        <v>69410.845985981839</v>
      </c>
      <c r="AI31" s="310">
        <f t="shared" si="14"/>
        <v>24</v>
      </c>
      <c r="AJ31" s="307">
        <f t="shared" si="15"/>
        <v>69410.845985981839</v>
      </c>
      <c r="AK31" s="307">
        <f>ss_calc!G27</f>
        <v>40405.480000000003</v>
      </c>
      <c r="AL31" s="367">
        <f t="shared" si="16"/>
        <v>1.4606034067656168</v>
      </c>
      <c r="AM31" s="284">
        <f t="shared" si="17"/>
        <v>101381.71811360861</v>
      </c>
      <c r="AN31" s="373">
        <v>106266.12553396857</v>
      </c>
    </row>
    <row r="32" spans="2:40" x14ac:dyDescent="0.35">
      <c r="B32" s="293">
        <f>appendix!P46</f>
        <v>2008</v>
      </c>
      <c r="C32" s="284">
        <f t="shared" si="11"/>
        <v>81600</v>
      </c>
      <c r="D32" s="133">
        <f t="shared" si="12"/>
        <v>87567</v>
      </c>
      <c r="E32" s="284">
        <f t="shared" si="13"/>
        <v>93636</v>
      </c>
      <c r="F32" s="133">
        <f t="shared" si="0"/>
        <v>96900</v>
      </c>
      <c r="G32" s="284">
        <f t="shared" si="1"/>
        <v>97920</v>
      </c>
      <c r="H32" s="133">
        <f t="shared" si="2"/>
        <v>98940</v>
      </c>
      <c r="I32" s="284">
        <f t="shared" si="3"/>
        <v>99960</v>
      </c>
      <c r="J32" s="133">
        <f t="shared" si="4"/>
        <v>100980</v>
      </c>
      <c r="K32" s="285">
        <f t="shared" si="5"/>
        <v>102000</v>
      </c>
      <c r="L32" s="133">
        <f t="shared" si="6"/>
        <v>103020</v>
      </c>
      <c r="M32" s="284">
        <f t="shared" si="7"/>
        <v>104040</v>
      </c>
      <c r="N32" s="133">
        <f t="shared" si="8"/>
        <v>105060</v>
      </c>
      <c r="O32" s="284">
        <f t="shared" si="9"/>
        <v>106080</v>
      </c>
      <c r="P32" s="286">
        <f t="shared" si="10"/>
        <v>107100</v>
      </c>
      <c r="S32" s="307">
        <f>MIN(ss_calc!E28,TWB!C32)</f>
        <v>71493.171365561298</v>
      </c>
      <c r="T32" s="284">
        <f>MIN(ss_calc!E28,TWB!D32)</f>
        <v>71493.171365561298</v>
      </c>
      <c r="U32" s="133">
        <f>MIN(ss_calc!E28,TWB!E32)</f>
        <v>71493.171365561298</v>
      </c>
      <c r="V32" s="284">
        <f>MIN(ss_calc!E28,TWB!F32)</f>
        <v>71493.171365561298</v>
      </c>
      <c r="W32" s="133">
        <f>MIN(ss_calc!E28,TWB!G32)</f>
        <v>71493.171365561298</v>
      </c>
      <c r="X32" s="284">
        <f>MIN(ss_calc!E28,TWB!H32)</f>
        <v>71493.171365561298</v>
      </c>
      <c r="Y32" s="133">
        <f>MIN(ss_calc!E28,TWB!I32)</f>
        <v>71493.171365561298</v>
      </c>
      <c r="Z32" s="284">
        <f>MIN(ss_calc!E28,TWB!J32)</f>
        <v>71493.171365561298</v>
      </c>
      <c r="AA32" s="134">
        <f>MIN(ss_calc!E28,TWB!K32)</f>
        <v>71493.171365561298</v>
      </c>
      <c r="AB32" s="284">
        <f>MIN(ss_calc!E28,TWB!L32)</f>
        <v>71493.171365561298</v>
      </c>
      <c r="AC32" s="133">
        <f>MIN(ss_calc!E28,TWB!M32)</f>
        <v>71493.171365561298</v>
      </c>
      <c r="AD32" s="284">
        <f>MIN(ss_calc!E28,TWB!N32)</f>
        <v>71493.171365561298</v>
      </c>
      <c r="AE32" s="133">
        <f>MIN(ss_calc!E28,TWB!O32)</f>
        <v>71493.171365561298</v>
      </c>
      <c r="AF32" s="284">
        <f>MIN(ss_calc!E28,TWB!P32)</f>
        <v>71493.171365561298</v>
      </c>
      <c r="AI32" s="310">
        <f t="shared" si="14"/>
        <v>25</v>
      </c>
      <c r="AJ32" s="307">
        <f t="shared" si="15"/>
        <v>71493.171365561298</v>
      </c>
      <c r="AK32" s="307">
        <f>ss_calc!G28</f>
        <v>41334.97</v>
      </c>
      <c r="AL32" s="367">
        <f t="shared" si="16"/>
        <v>1.427759152601296</v>
      </c>
      <c r="AM32" s="284">
        <f t="shared" si="17"/>
        <v>102075.02976567304</v>
      </c>
      <c r="AN32" s="373">
        <v>106128.48042815097</v>
      </c>
    </row>
    <row r="33" spans="2:40" x14ac:dyDescent="0.35">
      <c r="B33" s="293">
        <f>appendix!P47</f>
        <v>2009</v>
      </c>
      <c r="C33" s="284">
        <f t="shared" si="11"/>
        <v>85440</v>
      </c>
      <c r="D33" s="133">
        <f t="shared" si="12"/>
        <v>91687.8</v>
      </c>
      <c r="E33" s="284">
        <f t="shared" si="13"/>
        <v>98042.400000000009</v>
      </c>
      <c r="F33" s="133">
        <f t="shared" si="0"/>
        <v>101460</v>
      </c>
      <c r="G33" s="284">
        <f t="shared" si="1"/>
        <v>102528</v>
      </c>
      <c r="H33" s="133">
        <f t="shared" si="2"/>
        <v>103596</v>
      </c>
      <c r="I33" s="284">
        <f t="shared" si="3"/>
        <v>104664</v>
      </c>
      <c r="J33" s="133">
        <f t="shared" si="4"/>
        <v>105732</v>
      </c>
      <c r="K33" s="285">
        <f t="shared" si="5"/>
        <v>106800</v>
      </c>
      <c r="L33" s="133">
        <f t="shared" si="6"/>
        <v>107868</v>
      </c>
      <c r="M33" s="284">
        <f t="shared" si="7"/>
        <v>108936</v>
      </c>
      <c r="N33" s="133">
        <f t="shared" si="8"/>
        <v>110004</v>
      </c>
      <c r="O33" s="284">
        <f t="shared" si="9"/>
        <v>111072</v>
      </c>
      <c r="P33" s="286">
        <f t="shared" si="10"/>
        <v>112140</v>
      </c>
      <c r="S33" s="307">
        <f>MIN(ss_calc!E29,TWB!C33)</f>
        <v>73637.966506528144</v>
      </c>
      <c r="T33" s="284">
        <f>MIN(ss_calc!E29,TWB!D33)</f>
        <v>73637.966506528144</v>
      </c>
      <c r="U33" s="133">
        <f>MIN(ss_calc!E29,TWB!E33)</f>
        <v>73637.966506528144</v>
      </c>
      <c r="V33" s="284">
        <f>MIN(ss_calc!E29,TWB!F33)</f>
        <v>73637.966506528144</v>
      </c>
      <c r="W33" s="133">
        <f>MIN(ss_calc!E29,TWB!G33)</f>
        <v>73637.966506528144</v>
      </c>
      <c r="X33" s="284">
        <f>MIN(ss_calc!E29,TWB!H33)</f>
        <v>73637.966506528144</v>
      </c>
      <c r="Y33" s="133">
        <f>MIN(ss_calc!E29,TWB!I33)</f>
        <v>73637.966506528144</v>
      </c>
      <c r="Z33" s="284">
        <f>MIN(ss_calc!E29,TWB!J33)</f>
        <v>73637.966506528144</v>
      </c>
      <c r="AA33" s="134">
        <f>MIN(ss_calc!E29,TWB!K33)</f>
        <v>73637.966506528144</v>
      </c>
      <c r="AB33" s="284">
        <f>MIN(ss_calc!E29,TWB!L33)</f>
        <v>73637.966506528144</v>
      </c>
      <c r="AC33" s="133">
        <f>MIN(ss_calc!E29,TWB!M33)</f>
        <v>73637.966506528144</v>
      </c>
      <c r="AD33" s="284">
        <f>MIN(ss_calc!E29,TWB!N33)</f>
        <v>73637.966506528144</v>
      </c>
      <c r="AE33" s="133">
        <f>MIN(ss_calc!E29,TWB!O33)</f>
        <v>73637.966506528144</v>
      </c>
      <c r="AF33" s="284">
        <f>MIN(ss_calc!E29,TWB!P33)</f>
        <v>73637.966506528144</v>
      </c>
      <c r="AI33" s="310">
        <f t="shared" si="14"/>
        <v>26</v>
      </c>
      <c r="AJ33" s="307">
        <f t="shared" si="15"/>
        <v>73637.966506528144</v>
      </c>
      <c r="AK33" s="307">
        <f>ss_calc!G29</f>
        <v>40711.61</v>
      </c>
      <c r="AL33" s="367">
        <f t="shared" si="16"/>
        <v>1.4496204335814771</v>
      </c>
      <c r="AM33" s="284">
        <f t="shared" si="17"/>
        <v>106747.10093525161</v>
      </c>
      <c r="AN33" s="373">
        <v>105158.98206553748</v>
      </c>
    </row>
    <row r="34" spans="2:40" x14ac:dyDescent="0.35">
      <c r="B34" s="293">
        <f>appendix!P48</f>
        <v>2010</v>
      </c>
      <c r="C34" s="284">
        <f t="shared" si="11"/>
        <v>85440</v>
      </c>
      <c r="D34" s="133">
        <f t="shared" si="12"/>
        <v>91687.8</v>
      </c>
      <c r="E34" s="284">
        <f t="shared" si="13"/>
        <v>98042.400000000009</v>
      </c>
      <c r="F34" s="133">
        <f t="shared" si="0"/>
        <v>101460</v>
      </c>
      <c r="G34" s="284">
        <f t="shared" si="1"/>
        <v>102528</v>
      </c>
      <c r="H34" s="133">
        <f t="shared" si="2"/>
        <v>103596</v>
      </c>
      <c r="I34" s="284">
        <f t="shared" si="3"/>
        <v>104664</v>
      </c>
      <c r="J34" s="133">
        <f t="shared" si="4"/>
        <v>105732</v>
      </c>
      <c r="K34" s="285">
        <f t="shared" si="5"/>
        <v>106800</v>
      </c>
      <c r="L34" s="133">
        <f t="shared" si="6"/>
        <v>107868</v>
      </c>
      <c r="M34" s="284">
        <f t="shared" si="7"/>
        <v>108936</v>
      </c>
      <c r="N34" s="133">
        <f t="shared" si="8"/>
        <v>110004</v>
      </c>
      <c r="O34" s="284">
        <f t="shared" si="9"/>
        <v>111072</v>
      </c>
      <c r="P34" s="286">
        <f t="shared" si="10"/>
        <v>112140</v>
      </c>
      <c r="S34" s="307">
        <f>MIN(ss_calc!E30,TWB!C34)</f>
        <v>75847.105501723985</v>
      </c>
      <c r="T34" s="284">
        <f>MIN(ss_calc!E30,TWB!D34)</f>
        <v>75847.105501723985</v>
      </c>
      <c r="U34" s="133">
        <f>MIN(ss_calc!E30,TWB!E34)</f>
        <v>75847.105501723985</v>
      </c>
      <c r="V34" s="284">
        <f>MIN(ss_calc!E30,TWB!F34)</f>
        <v>75847.105501723985</v>
      </c>
      <c r="W34" s="133">
        <f>MIN(ss_calc!E30,TWB!G34)</f>
        <v>75847.105501723985</v>
      </c>
      <c r="X34" s="284">
        <f>MIN(ss_calc!E30,TWB!H34)</f>
        <v>75847.105501723985</v>
      </c>
      <c r="Y34" s="133">
        <f>MIN(ss_calc!E30,TWB!I34)</f>
        <v>75847.105501723985</v>
      </c>
      <c r="Z34" s="284">
        <f>MIN(ss_calc!E30,TWB!J34)</f>
        <v>75847.105501723985</v>
      </c>
      <c r="AA34" s="134">
        <f>MIN(ss_calc!E30,TWB!K34)</f>
        <v>75847.105501723985</v>
      </c>
      <c r="AB34" s="284">
        <f>MIN(ss_calc!E30,TWB!L34)</f>
        <v>75847.105501723985</v>
      </c>
      <c r="AC34" s="133">
        <f>MIN(ss_calc!E30,TWB!M34)</f>
        <v>75847.105501723985</v>
      </c>
      <c r="AD34" s="284">
        <f>MIN(ss_calc!E30,TWB!N34)</f>
        <v>75847.105501723985</v>
      </c>
      <c r="AE34" s="133">
        <f>MIN(ss_calc!E30,TWB!O34)</f>
        <v>75847.105501723985</v>
      </c>
      <c r="AF34" s="284">
        <f>MIN(ss_calc!E30,TWB!P34)</f>
        <v>75847.105501723985</v>
      </c>
      <c r="AI34" s="310">
        <f t="shared" si="14"/>
        <v>27</v>
      </c>
      <c r="AJ34" s="307">
        <f t="shared" si="15"/>
        <v>75847.105501723985</v>
      </c>
      <c r="AK34" s="307">
        <f>ss_calc!G30</f>
        <v>41673.83</v>
      </c>
      <c r="AL34" s="367">
        <f t="shared" si="16"/>
        <v>1.4161496973040393</v>
      </c>
      <c r="AM34" s="284">
        <f t="shared" si="17"/>
        <v>107410.85549765396</v>
      </c>
      <c r="AN34" s="373">
        <v>104490.41908480864</v>
      </c>
    </row>
    <row r="35" spans="2:40" x14ac:dyDescent="0.35">
      <c r="B35" s="293">
        <f>appendix!P49</f>
        <v>2011</v>
      </c>
      <c r="C35" s="284">
        <f t="shared" si="11"/>
        <v>85440</v>
      </c>
      <c r="D35" s="133">
        <f t="shared" si="12"/>
        <v>91687.8</v>
      </c>
      <c r="E35" s="284">
        <f t="shared" si="13"/>
        <v>98042.400000000009</v>
      </c>
      <c r="F35" s="133">
        <f t="shared" si="0"/>
        <v>101460</v>
      </c>
      <c r="G35" s="284">
        <f t="shared" si="1"/>
        <v>102528</v>
      </c>
      <c r="H35" s="133">
        <f t="shared" si="2"/>
        <v>103596</v>
      </c>
      <c r="I35" s="284">
        <f t="shared" si="3"/>
        <v>104664</v>
      </c>
      <c r="J35" s="133">
        <f t="shared" si="4"/>
        <v>105732</v>
      </c>
      <c r="K35" s="285">
        <f t="shared" si="5"/>
        <v>106800</v>
      </c>
      <c r="L35" s="133">
        <f t="shared" si="6"/>
        <v>107868</v>
      </c>
      <c r="M35" s="284">
        <f t="shared" si="7"/>
        <v>108936</v>
      </c>
      <c r="N35" s="133">
        <f t="shared" si="8"/>
        <v>110004</v>
      </c>
      <c r="O35" s="284">
        <f t="shared" si="9"/>
        <v>111072</v>
      </c>
      <c r="P35" s="286">
        <f t="shared" si="10"/>
        <v>112140</v>
      </c>
      <c r="S35" s="307">
        <f>MIN(ss_calc!E31,TWB!C35)</f>
        <v>78122.518666775708</v>
      </c>
      <c r="T35" s="284">
        <f>MIN(ss_calc!E31,TWB!D35)</f>
        <v>78122.518666775708</v>
      </c>
      <c r="U35" s="133">
        <f>MIN(ss_calc!E31,TWB!E35)</f>
        <v>78122.518666775708</v>
      </c>
      <c r="V35" s="284">
        <f>MIN(ss_calc!E31,TWB!F35)</f>
        <v>78122.518666775708</v>
      </c>
      <c r="W35" s="133">
        <f>MIN(ss_calc!E31,TWB!G35)</f>
        <v>78122.518666775708</v>
      </c>
      <c r="X35" s="284">
        <f>MIN(ss_calc!E31,TWB!H35)</f>
        <v>78122.518666775708</v>
      </c>
      <c r="Y35" s="133">
        <f>MIN(ss_calc!E31,TWB!I35)</f>
        <v>78122.518666775708</v>
      </c>
      <c r="Z35" s="284">
        <f>MIN(ss_calc!E31,TWB!J35)</f>
        <v>78122.518666775708</v>
      </c>
      <c r="AA35" s="134">
        <f>MIN(ss_calc!E31,TWB!K35)</f>
        <v>78122.518666775708</v>
      </c>
      <c r="AB35" s="284">
        <f>MIN(ss_calc!E31,TWB!L35)</f>
        <v>78122.518666775708</v>
      </c>
      <c r="AC35" s="133">
        <f>MIN(ss_calc!E31,TWB!M35)</f>
        <v>78122.518666775708</v>
      </c>
      <c r="AD35" s="284">
        <f>MIN(ss_calc!E31,TWB!N35)</f>
        <v>78122.518666775708</v>
      </c>
      <c r="AE35" s="133">
        <f>MIN(ss_calc!E31,TWB!O35)</f>
        <v>78122.518666775708</v>
      </c>
      <c r="AF35" s="284">
        <f>MIN(ss_calc!E31,TWB!P35)</f>
        <v>78122.518666775708</v>
      </c>
      <c r="AI35" s="310">
        <f t="shared" si="14"/>
        <v>28</v>
      </c>
      <c r="AJ35" s="307">
        <f t="shared" si="15"/>
        <v>78122.518666775708</v>
      </c>
      <c r="AK35" s="307">
        <f>ss_calc!G31</f>
        <v>42979.61</v>
      </c>
      <c r="AL35" s="367">
        <f t="shared" si="16"/>
        <v>1.3731251107211069</v>
      </c>
      <c r="AM35" s="284">
        <f t="shared" si="17"/>
        <v>107271.99209412813</v>
      </c>
      <c r="AN35" s="373">
        <v>104205.6852458941</v>
      </c>
    </row>
    <row r="36" spans="2:40" x14ac:dyDescent="0.35">
      <c r="B36" s="293">
        <f>appendix!P50</f>
        <v>2012</v>
      </c>
      <c r="C36" s="284">
        <f t="shared" si="11"/>
        <v>88080</v>
      </c>
      <c r="D36" s="133">
        <f t="shared" si="12"/>
        <v>94520.849999999991</v>
      </c>
      <c r="E36" s="284">
        <f t="shared" si="13"/>
        <v>101071.8</v>
      </c>
      <c r="F36" s="133">
        <f t="shared" si="0"/>
        <v>104595</v>
      </c>
      <c r="G36" s="284">
        <f t="shared" si="1"/>
        <v>105696</v>
      </c>
      <c r="H36" s="133">
        <f t="shared" si="2"/>
        <v>106797</v>
      </c>
      <c r="I36" s="284">
        <f t="shared" si="3"/>
        <v>107898</v>
      </c>
      <c r="J36" s="133">
        <f t="shared" si="4"/>
        <v>108999</v>
      </c>
      <c r="K36" s="285">
        <f t="shared" si="5"/>
        <v>110100</v>
      </c>
      <c r="L36" s="133">
        <f t="shared" si="6"/>
        <v>111201</v>
      </c>
      <c r="M36" s="284">
        <f t="shared" si="7"/>
        <v>112302</v>
      </c>
      <c r="N36" s="133">
        <f t="shared" si="8"/>
        <v>113403</v>
      </c>
      <c r="O36" s="284">
        <f t="shared" si="9"/>
        <v>114504</v>
      </c>
      <c r="P36" s="286">
        <f t="shared" si="10"/>
        <v>115605</v>
      </c>
      <c r="S36" s="307">
        <f>MIN(ss_calc!E32,TWB!C36)</f>
        <v>80466.194226778985</v>
      </c>
      <c r="T36" s="284">
        <f>MIN(ss_calc!E32,TWB!D36)</f>
        <v>80466.194226778985</v>
      </c>
      <c r="U36" s="133">
        <f>MIN(ss_calc!E32,TWB!E36)</f>
        <v>80466.194226778985</v>
      </c>
      <c r="V36" s="284">
        <f>MIN(ss_calc!E32,TWB!F36)</f>
        <v>80466.194226778985</v>
      </c>
      <c r="W36" s="133">
        <f>MIN(ss_calc!E32,TWB!G36)</f>
        <v>80466.194226778985</v>
      </c>
      <c r="X36" s="284">
        <f>MIN(ss_calc!E32,TWB!H36)</f>
        <v>80466.194226778985</v>
      </c>
      <c r="Y36" s="133">
        <f>MIN(ss_calc!E32,TWB!I36)</f>
        <v>80466.194226778985</v>
      </c>
      <c r="Z36" s="284">
        <f>MIN(ss_calc!E32,TWB!J36)</f>
        <v>80466.194226778985</v>
      </c>
      <c r="AA36" s="134">
        <f>MIN(ss_calc!E32,TWB!K36)</f>
        <v>80466.194226778985</v>
      </c>
      <c r="AB36" s="284">
        <f>MIN(ss_calc!E32,TWB!L36)</f>
        <v>80466.194226778985</v>
      </c>
      <c r="AC36" s="133">
        <f>MIN(ss_calc!E32,TWB!M36)</f>
        <v>80466.194226778985</v>
      </c>
      <c r="AD36" s="284">
        <f>MIN(ss_calc!E32,TWB!N36)</f>
        <v>80466.194226778985</v>
      </c>
      <c r="AE36" s="133">
        <f>MIN(ss_calc!E32,TWB!O36)</f>
        <v>80466.194226778985</v>
      </c>
      <c r="AF36" s="284">
        <f>MIN(ss_calc!E32,TWB!P36)</f>
        <v>80466.194226778985</v>
      </c>
      <c r="AI36" s="310">
        <f t="shared" si="14"/>
        <v>29</v>
      </c>
      <c r="AJ36" s="307">
        <f t="shared" si="15"/>
        <v>80466.194226778985</v>
      </c>
      <c r="AK36" s="307">
        <f>ss_calc!G32</f>
        <v>44321.67</v>
      </c>
      <c r="AL36" s="367">
        <f t="shared" si="16"/>
        <v>1.3315468875608703</v>
      </c>
      <c r="AM36" s="284">
        <f t="shared" si="17"/>
        <v>107144.51047653603</v>
      </c>
      <c r="AN36" s="373">
        <v>103584.13925599828</v>
      </c>
    </row>
    <row r="37" spans="2:40" x14ac:dyDescent="0.35">
      <c r="B37" s="293">
        <f>appendix!P51</f>
        <v>2013</v>
      </c>
      <c r="C37" s="284">
        <f t="shared" si="11"/>
        <v>90960</v>
      </c>
      <c r="D37" s="133">
        <f t="shared" si="12"/>
        <v>97611.45</v>
      </c>
      <c r="E37" s="284">
        <f t="shared" si="13"/>
        <v>104376.6</v>
      </c>
      <c r="F37" s="133">
        <f t="shared" si="0"/>
        <v>108015</v>
      </c>
      <c r="G37" s="284">
        <f t="shared" si="1"/>
        <v>109152</v>
      </c>
      <c r="H37" s="133">
        <f t="shared" si="2"/>
        <v>110289</v>
      </c>
      <c r="I37" s="284">
        <f t="shared" si="3"/>
        <v>111426</v>
      </c>
      <c r="J37" s="133">
        <f t="shared" si="4"/>
        <v>112563</v>
      </c>
      <c r="K37" s="285">
        <f t="shared" si="5"/>
        <v>113700</v>
      </c>
      <c r="L37" s="133">
        <f t="shared" si="6"/>
        <v>114837</v>
      </c>
      <c r="M37" s="284">
        <f t="shared" si="7"/>
        <v>115974</v>
      </c>
      <c r="N37" s="133">
        <f t="shared" si="8"/>
        <v>117111</v>
      </c>
      <c r="O37" s="284">
        <f t="shared" si="9"/>
        <v>118248</v>
      </c>
      <c r="P37" s="286">
        <f t="shared" si="10"/>
        <v>119385</v>
      </c>
      <c r="S37" s="307">
        <f>MIN(ss_calc!E33,TWB!C37)</f>
        <v>82880.180053582357</v>
      </c>
      <c r="T37" s="284">
        <f>MIN(ss_calc!E33,TWB!D37)</f>
        <v>82880.180053582357</v>
      </c>
      <c r="U37" s="133">
        <f>MIN(ss_calc!E33,TWB!E37)</f>
        <v>82880.180053582357</v>
      </c>
      <c r="V37" s="284">
        <f>MIN(ss_calc!E33,TWB!F37)</f>
        <v>82880.180053582357</v>
      </c>
      <c r="W37" s="133">
        <f>MIN(ss_calc!E33,TWB!G37)</f>
        <v>82880.180053582357</v>
      </c>
      <c r="X37" s="284">
        <f>MIN(ss_calc!E33,TWB!H37)</f>
        <v>82880.180053582357</v>
      </c>
      <c r="Y37" s="133">
        <f>MIN(ss_calc!E33,TWB!I37)</f>
        <v>82880.180053582357</v>
      </c>
      <c r="Z37" s="284">
        <f>MIN(ss_calc!E33,TWB!J37)</f>
        <v>82880.180053582357</v>
      </c>
      <c r="AA37" s="134">
        <f>MIN(ss_calc!E33,TWB!K37)</f>
        <v>82880.180053582357</v>
      </c>
      <c r="AB37" s="284">
        <f>MIN(ss_calc!E33,TWB!L37)</f>
        <v>82880.180053582357</v>
      </c>
      <c r="AC37" s="133">
        <f>MIN(ss_calc!E33,TWB!M37)</f>
        <v>82880.180053582357</v>
      </c>
      <c r="AD37" s="284">
        <f>MIN(ss_calc!E33,TWB!N37)</f>
        <v>82880.180053582357</v>
      </c>
      <c r="AE37" s="133">
        <f>MIN(ss_calc!E33,TWB!O37)</f>
        <v>82880.180053582357</v>
      </c>
      <c r="AF37" s="284">
        <f>MIN(ss_calc!E33,TWB!P37)</f>
        <v>82880.180053582357</v>
      </c>
      <c r="AI37" s="310">
        <f t="shared" si="14"/>
        <v>30</v>
      </c>
      <c r="AJ37" s="307">
        <f t="shared" si="15"/>
        <v>82880.180053582357</v>
      </c>
      <c r="AK37" s="307">
        <f>ss_calc!G33</f>
        <v>44888.160000000003</v>
      </c>
      <c r="AL37" s="367">
        <f t="shared" si="16"/>
        <v>1.314742723693731</v>
      </c>
      <c r="AM37" s="284">
        <f t="shared" si="17"/>
        <v>108966.11366387371</v>
      </c>
      <c r="AN37" s="373">
        <v>102895.7296157181</v>
      </c>
    </row>
    <row r="38" spans="2:40" x14ac:dyDescent="0.35">
      <c r="B38" s="293">
        <f>appendix!P52</f>
        <v>2014</v>
      </c>
      <c r="C38" s="284">
        <f t="shared" si="11"/>
        <v>93600</v>
      </c>
      <c r="D38" s="133">
        <f t="shared" si="12"/>
        <v>100444.5</v>
      </c>
      <c r="E38" s="284">
        <f t="shared" si="13"/>
        <v>107406</v>
      </c>
      <c r="F38" s="133">
        <f t="shared" si="0"/>
        <v>111150</v>
      </c>
      <c r="G38" s="284">
        <f t="shared" si="1"/>
        <v>112320</v>
      </c>
      <c r="H38" s="133">
        <f t="shared" si="2"/>
        <v>113490</v>
      </c>
      <c r="I38" s="284">
        <f t="shared" si="3"/>
        <v>114660</v>
      </c>
      <c r="J38" s="133">
        <f t="shared" si="4"/>
        <v>115830</v>
      </c>
      <c r="K38" s="285">
        <f t="shared" si="5"/>
        <v>117000</v>
      </c>
      <c r="L38" s="133">
        <f t="shared" si="6"/>
        <v>118170</v>
      </c>
      <c r="M38" s="284">
        <f t="shared" si="7"/>
        <v>119340</v>
      </c>
      <c r="N38" s="133">
        <f t="shared" si="8"/>
        <v>120510</v>
      </c>
      <c r="O38" s="284">
        <f t="shared" si="9"/>
        <v>121680</v>
      </c>
      <c r="P38" s="286">
        <f t="shared" si="10"/>
        <v>122850</v>
      </c>
      <c r="S38" s="307">
        <f>MIN(ss_calc!E34,TWB!C38)</f>
        <v>85366.585455189823</v>
      </c>
      <c r="T38" s="284">
        <f>MIN(ss_calc!E34,TWB!D38)</f>
        <v>85366.585455189823</v>
      </c>
      <c r="U38" s="133">
        <f>MIN(ss_calc!E34,TWB!E38)</f>
        <v>85366.585455189823</v>
      </c>
      <c r="V38" s="284">
        <f>MIN(ss_calc!E34,TWB!F38)</f>
        <v>85366.585455189823</v>
      </c>
      <c r="W38" s="133">
        <f>MIN(ss_calc!E34,TWB!G38)</f>
        <v>85366.585455189823</v>
      </c>
      <c r="X38" s="284">
        <f>MIN(ss_calc!E34,TWB!H38)</f>
        <v>85366.585455189823</v>
      </c>
      <c r="Y38" s="133">
        <f>MIN(ss_calc!E34,TWB!I38)</f>
        <v>85366.585455189823</v>
      </c>
      <c r="Z38" s="284">
        <f>MIN(ss_calc!E34,TWB!J38)</f>
        <v>85366.585455189823</v>
      </c>
      <c r="AA38" s="134">
        <f>MIN(ss_calc!E34,TWB!K38)</f>
        <v>85366.585455189823</v>
      </c>
      <c r="AB38" s="284">
        <f>MIN(ss_calc!E34,TWB!L38)</f>
        <v>85366.585455189823</v>
      </c>
      <c r="AC38" s="133">
        <f>MIN(ss_calc!E34,TWB!M38)</f>
        <v>85366.585455189823</v>
      </c>
      <c r="AD38" s="284">
        <f>MIN(ss_calc!E34,TWB!N38)</f>
        <v>85366.585455189823</v>
      </c>
      <c r="AE38" s="133">
        <f>MIN(ss_calc!E34,TWB!O38)</f>
        <v>85366.585455189823</v>
      </c>
      <c r="AF38" s="284">
        <f>MIN(ss_calc!E34,TWB!P38)</f>
        <v>85366.585455189823</v>
      </c>
      <c r="AI38" s="310">
        <f t="shared" si="14"/>
        <v>31</v>
      </c>
      <c r="AJ38" s="307">
        <f t="shared" si="15"/>
        <v>85366.585455189823</v>
      </c>
      <c r="AK38" s="307">
        <f>ss_calc!G34</f>
        <v>46481.52</v>
      </c>
      <c r="AL38" s="367">
        <f t="shared" si="16"/>
        <v>1.2696740928437797</v>
      </c>
      <c r="AM38" s="284">
        <f t="shared" si="17"/>
        <v>108387.74194698915</v>
      </c>
      <c r="AN38" s="373">
        <v>102075.02976567304</v>
      </c>
    </row>
    <row r="39" spans="2:40" x14ac:dyDescent="0.35">
      <c r="B39" s="293">
        <f>appendix!P53</f>
        <v>2015</v>
      </c>
      <c r="C39" s="284">
        <f t="shared" si="11"/>
        <v>94800</v>
      </c>
      <c r="D39" s="133">
        <f t="shared" si="12"/>
        <v>101732.25</v>
      </c>
      <c r="E39" s="284">
        <f t="shared" si="13"/>
        <v>108783</v>
      </c>
      <c r="F39" s="133">
        <f t="shared" si="0"/>
        <v>112575</v>
      </c>
      <c r="G39" s="284">
        <f t="shared" si="1"/>
        <v>113760</v>
      </c>
      <c r="H39" s="133">
        <f t="shared" si="2"/>
        <v>114945</v>
      </c>
      <c r="I39" s="284">
        <f t="shared" si="3"/>
        <v>116130</v>
      </c>
      <c r="J39" s="133">
        <f t="shared" si="4"/>
        <v>117315</v>
      </c>
      <c r="K39" s="285">
        <f t="shared" si="5"/>
        <v>118500</v>
      </c>
      <c r="L39" s="133">
        <f t="shared" si="6"/>
        <v>119685</v>
      </c>
      <c r="M39" s="284">
        <f t="shared" si="7"/>
        <v>120870</v>
      </c>
      <c r="N39" s="133">
        <f t="shared" si="8"/>
        <v>122055</v>
      </c>
      <c r="O39" s="284">
        <f t="shared" si="9"/>
        <v>123240</v>
      </c>
      <c r="P39" s="286">
        <f t="shared" si="10"/>
        <v>124425</v>
      </c>
      <c r="S39" s="307">
        <f>MIN(ss_calc!E35,TWB!C39)</f>
        <v>87927.583018845515</v>
      </c>
      <c r="T39" s="284">
        <f>MIN(ss_calc!E35,TWB!D39)</f>
        <v>87927.583018845515</v>
      </c>
      <c r="U39" s="133">
        <f>MIN(ss_calc!E35,TWB!E39)</f>
        <v>87927.583018845515</v>
      </c>
      <c r="V39" s="284">
        <f>MIN(ss_calc!E35,TWB!F39)</f>
        <v>87927.583018845515</v>
      </c>
      <c r="W39" s="133">
        <f>MIN(ss_calc!E35,TWB!G39)</f>
        <v>87927.583018845515</v>
      </c>
      <c r="X39" s="284">
        <f>MIN(ss_calc!E35,TWB!H39)</f>
        <v>87927.583018845515</v>
      </c>
      <c r="Y39" s="133">
        <f>MIN(ss_calc!E35,TWB!I39)</f>
        <v>87927.583018845515</v>
      </c>
      <c r="Z39" s="284">
        <f>MIN(ss_calc!E35,TWB!J39)</f>
        <v>87927.583018845515</v>
      </c>
      <c r="AA39" s="134">
        <f>MIN(ss_calc!E35,TWB!K39)</f>
        <v>87927.583018845515</v>
      </c>
      <c r="AB39" s="284">
        <f>MIN(ss_calc!E35,TWB!L39)</f>
        <v>87927.583018845515</v>
      </c>
      <c r="AC39" s="133">
        <f>MIN(ss_calc!E35,TWB!M39)</f>
        <v>87927.583018845515</v>
      </c>
      <c r="AD39" s="284">
        <f>MIN(ss_calc!E35,TWB!N39)</f>
        <v>87927.583018845515</v>
      </c>
      <c r="AE39" s="133">
        <f>MIN(ss_calc!E35,TWB!O39)</f>
        <v>87927.583018845515</v>
      </c>
      <c r="AF39" s="284">
        <f>MIN(ss_calc!E35,TWB!P39)</f>
        <v>87927.583018845515</v>
      </c>
      <c r="AI39" s="310">
        <f t="shared" si="14"/>
        <v>32</v>
      </c>
      <c r="AJ39" s="307">
        <f t="shared" si="15"/>
        <v>87927.583018845515</v>
      </c>
      <c r="AK39" s="307">
        <f>ss_calc!G35</f>
        <v>48098.63</v>
      </c>
      <c r="AL39" s="367">
        <f t="shared" si="16"/>
        <v>1.2269867507660821</v>
      </c>
      <c r="AM39" s="284">
        <f t="shared" si="17"/>
        <v>107885.97939100819</v>
      </c>
      <c r="AN39" s="373">
        <v>101381.71811360861</v>
      </c>
    </row>
    <row r="40" spans="2:40" x14ac:dyDescent="0.35">
      <c r="B40" s="293">
        <f>appendix!P54</f>
        <v>2016</v>
      </c>
      <c r="C40" s="284">
        <f t="shared" si="11"/>
        <v>94800</v>
      </c>
      <c r="D40" s="133">
        <f t="shared" si="12"/>
        <v>101732.25</v>
      </c>
      <c r="E40" s="284">
        <f t="shared" si="13"/>
        <v>108783</v>
      </c>
      <c r="F40" s="133">
        <f t="shared" si="0"/>
        <v>112575</v>
      </c>
      <c r="G40" s="284">
        <f t="shared" si="1"/>
        <v>113760</v>
      </c>
      <c r="H40" s="133">
        <f t="shared" si="2"/>
        <v>114945</v>
      </c>
      <c r="I40" s="284">
        <f t="shared" si="3"/>
        <v>116130</v>
      </c>
      <c r="J40" s="133">
        <f t="shared" si="4"/>
        <v>117315</v>
      </c>
      <c r="K40" s="285">
        <f t="shared" si="5"/>
        <v>118500</v>
      </c>
      <c r="L40" s="133">
        <f t="shared" si="6"/>
        <v>119685</v>
      </c>
      <c r="M40" s="284">
        <f t="shared" si="7"/>
        <v>120870</v>
      </c>
      <c r="N40" s="133">
        <f t="shared" si="8"/>
        <v>122055</v>
      </c>
      <c r="O40" s="284">
        <f t="shared" si="9"/>
        <v>123240</v>
      </c>
      <c r="P40" s="286">
        <f t="shared" si="10"/>
        <v>124425</v>
      </c>
      <c r="S40" s="307">
        <f>MIN(ss_calc!E36,TWB!C40)</f>
        <v>0</v>
      </c>
      <c r="T40" s="284">
        <f>MIN(ss_calc!E36,TWB!D40)</f>
        <v>0</v>
      </c>
      <c r="U40" s="133">
        <f>MIN(ss_calc!E36,TWB!E40)</f>
        <v>0</v>
      </c>
      <c r="V40" s="284">
        <f>MIN(ss_calc!E36,TWB!F40)</f>
        <v>0</v>
      </c>
      <c r="W40" s="133">
        <f>MIN(ss_calc!E36,TWB!G40)</f>
        <v>0</v>
      </c>
      <c r="X40" s="284">
        <f>MIN(ss_calc!E36,TWB!H40)</f>
        <v>0</v>
      </c>
      <c r="Y40" s="133">
        <f>MIN(ss_calc!E36,TWB!I40)</f>
        <v>0</v>
      </c>
      <c r="Z40" s="284">
        <f>MIN(ss_calc!E36,TWB!J40)</f>
        <v>0</v>
      </c>
      <c r="AA40" s="134">
        <f>MIN(ss_calc!E36,TWB!K40)</f>
        <v>0</v>
      </c>
      <c r="AB40" s="284">
        <f>MIN(ss_calc!E36,TWB!L40)</f>
        <v>0</v>
      </c>
      <c r="AC40" s="133">
        <f>MIN(ss_calc!E36,TWB!M40)</f>
        <v>0</v>
      </c>
      <c r="AD40" s="284">
        <f>MIN(ss_calc!E36,TWB!N40)</f>
        <v>0</v>
      </c>
      <c r="AE40" s="133">
        <f>MIN(ss_calc!E36,TWB!O40)</f>
        <v>0</v>
      </c>
      <c r="AF40" s="284">
        <f>MIN(ss_calc!E36,TWB!P40)</f>
        <v>0</v>
      </c>
      <c r="AI40" s="310">
        <f t="shared" si="14"/>
        <v>33</v>
      </c>
      <c r="AJ40" s="307">
        <f t="shared" si="15"/>
        <v>0</v>
      </c>
      <c r="AK40" s="307">
        <f>ss_calc!G36</f>
        <v>48642.15</v>
      </c>
      <c r="AL40" s="367">
        <f t="shared" si="16"/>
        <v>1.2132765870752011</v>
      </c>
      <c r="AM40" s="284">
        <f t="shared" si="17"/>
        <v>0</v>
      </c>
      <c r="AN40" s="373">
        <v>62392.130678825997</v>
      </c>
    </row>
    <row r="41" spans="2:40" x14ac:dyDescent="0.35">
      <c r="B41" s="293">
        <f>appendix!P55</f>
        <v>2017</v>
      </c>
      <c r="C41" s="284">
        <f t="shared" si="11"/>
        <v>101760</v>
      </c>
      <c r="D41" s="133">
        <f t="shared" si="12"/>
        <v>109201.2</v>
      </c>
      <c r="E41" s="284">
        <f t="shared" si="13"/>
        <v>116769.60000000001</v>
      </c>
      <c r="F41" s="133">
        <f t="shared" si="0"/>
        <v>120840</v>
      </c>
      <c r="G41" s="284">
        <f t="shared" si="1"/>
        <v>122112</v>
      </c>
      <c r="H41" s="133">
        <f t="shared" si="2"/>
        <v>123384</v>
      </c>
      <c r="I41" s="284">
        <f t="shared" si="3"/>
        <v>124656</v>
      </c>
      <c r="J41" s="133">
        <f t="shared" si="4"/>
        <v>125928</v>
      </c>
      <c r="K41" s="285">
        <f t="shared" si="5"/>
        <v>127200</v>
      </c>
      <c r="L41" s="133">
        <f t="shared" si="6"/>
        <v>128472</v>
      </c>
      <c r="M41" s="284">
        <f t="shared" si="7"/>
        <v>129744</v>
      </c>
      <c r="N41" s="133">
        <f t="shared" si="8"/>
        <v>131016</v>
      </c>
      <c r="O41" s="284">
        <f t="shared" si="9"/>
        <v>132288</v>
      </c>
      <c r="P41" s="286">
        <f t="shared" si="10"/>
        <v>133560</v>
      </c>
      <c r="S41" s="307">
        <f>MIN(ss_calc!E37,TWB!C41)</f>
        <v>0</v>
      </c>
      <c r="T41" s="284">
        <f>MIN(ss_calc!E37,TWB!D41)</f>
        <v>0</v>
      </c>
      <c r="U41" s="133">
        <f>MIN(ss_calc!E37,TWB!E41)</f>
        <v>0</v>
      </c>
      <c r="V41" s="284">
        <f>MIN(ss_calc!E37,TWB!F41)</f>
        <v>0</v>
      </c>
      <c r="W41" s="133">
        <f>MIN(ss_calc!E37,TWB!G41)</f>
        <v>0</v>
      </c>
      <c r="X41" s="284">
        <f>MIN(ss_calc!E37,TWB!H41)</f>
        <v>0</v>
      </c>
      <c r="Y41" s="133">
        <f>MIN(ss_calc!E37,TWB!I41)</f>
        <v>0</v>
      </c>
      <c r="Z41" s="284">
        <f>MIN(ss_calc!E37,TWB!J41)</f>
        <v>0</v>
      </c>
      <c r="AA41" s="134">
        <f>MIN(ss_calc!E37,TWB!K41)</f>
        <v>0</v>
      </c>
      <c r="AB41" s="284">
        <f>MIN(ss_calc!E37,TWB!L41)</f>
        <v>0</v>
      </c>
      <c r="AC41" s="133">
        <f>MIN(ss_calc!E37,TWB!M41)</f>
        <v>0</v>
      </c>
      <c r="AD41" s="284">
        <f>MIN(ss_calc!E37,TWB!N41)</f>
        <v>0</v>
      </c>
      <c r="AE41" s="133">
        <f>MIN(ss_calc!E37,TWB!O41)</f>
        <v>0</v>
      </c>
      <c r="AF41" s="284">
        <f>MIN(ss_calc!E37,TWB!P41)</f>
        <v>0</v>
      </c>
      <c r="AI41" s="310">
        <f t="shared" si="14"/>
        <v>34</v>
      </c>
      <c r="AJ41" s="307">
        <f t="shared" si="15"/>
        <v>0</v>
      </c>
      <c r="AK41" s="307">
        <f>ss_calc!G37</f>
        <v>50321.89</v>
      </c>
      <c r="AL41" s="367">
        <f t="shared" si="16"/>
        <v>1.1727775276326067</v>
      </c>
      <c r="AM41" s="284">
        <f t="shared" si="17"/>
        <v>0</v>
      </c>
      <c r="AN41" s="373">
        <v>60574.884154199994</v>
      </c>
    </row>
    <row r="42" spans="2:40" x14ac:dyDescent="0.35">
      <c r="B42" s="293">
        <f>appendix!P56</f>
        <v>2018</v>
      </c>
      <c r="C42" s="284">
        <f t="shared" si="11"/>
        <v>102720</v>
      </c>
      <c r="D42" s="133">
        <f t="shared" si="12"/>
        <v>110231.4</v>
      </c>
      <c r="E42" s="284">
        <f t="shared" si="13"/>
        <v>117871.2</v>
      </c>
      <c r="F42" s="133">
        <f t="shared" si="0"/>
        <v>121980</v>
      </c>
      <c r="G42" s="284">
        <f t="shared" si="1"/>
        <v>123264</v>
      </c>
      <c r="H42" s="133">
        <f t="shared" si="2"/>
        <v>124548</v>
      </c>
      <c r="I42" s="284">
        <f t="shared" si="3"/>
        <v>125832</v>
      </c>
      <c r="J42" s="133">
        <f t="shared" si="4"/>
        <v>127116</v>
      </c>
      <c r="K42" s="285">
        <f t="shared" si="5"/>
        <v>128400</v>
      </c>
      <c r="L42" s="133">
        <f t="shared" si="6"/>
        <v>129684</v>
      </c>
      <c r="M42" s="284">
        <f t="shared" si="7"/>
        <v>130968</v>
      </c>
      <c r="N42" s="133">
        <f t="shared" si="8"/>
        <v>132252</v>
      </c>
      <c r="O42" s="284">
        <f t="shared" si="9"/>
        <v>133536</v>
      </c>
      <c r="P42" s="286">
        <f t="shared" si="10"/>
        <v>134820</v>
      </c>
      <c r="S42" s="307">
        <f>MIN(ss_calc!E38,TWB!C42)</f>
        <v>0</v>
      </c>
      <c r="T42" s="284">
        <f>MIN(ss_calc!E38,TWB!D42)</f>
        <v>0</v>
      </c>
      <c r="U42" s="133">
        <f>MIN(ss_calc!E38,TWB!E42)</f>
        <v>0</v>
      </c>
      <c r="V42" s="284">
        <f>MIN(ss_calc!E38,TWB!F42)</f>
        <v>0</v>
      </c>
      <c r="W42" s="133">
        <f>MIN(ss_calc!E38,TWB!G42)</f>
        <v>0</v>
      </c>
      <c r="X42" s="284">
        <f>MIN(ss_calc!E38,TWB!H42)</f>
        <v>0</v>
      </c>
      <c r="Y42" s="133">
        <f>MIN(ss_calc!E38,TWB!I42)</f>
        <v>0</v>
      </c>
      <c r="Z42" s="284">
        <f>MIN(ss_calc!E38,TWB!J42)</f>
        <v>0</v>
      </c>
      <c r="AA42" s="134">
        <f>MIN(ss_calc!E38,TWB!K42)</f>
        <v>0</v>
      </c>
      <c r="AB42" s="284">
        <f>MIN(ss_calc!E38,TWB!L42)</f>
        <v>0</v>
      </c>
      <c r="AC42" s="133">
        <f>MIN(ss_calc!E38,TWB!M42)</f>
        <v>0</v>
      </c>
      <c r="AD42" s="284">
        <f>MIN(ss_calc!E38,TWB!N42)</f>
        <v>0</v>
      </c>
      <c r="AE42" s="133">
        <f>MIN(ss_calc!E38,TWB!O42)</f>
        <v>0</v>
      </c>
      <c r="AF42" s="284">
        <f>MIN(ss_calc!E38,TWB!P42)</f>
        <v>0</v>
      </c>
      <c r="AI42" s="310">
        <f t="shared" si="14"/>
        <v>35</v>
      </c>
      <c r="AJ42" s="307">
        <f t="shared" si="15"/>
        <v>0</v>
      </c>
      <c r="AK42" s="307">
        <f>ss_calc!G38</f>
        <v>52145.8</v>
      </c>
      <c r="AL42" s="367">
        <f t="shared" si="16"/>
        <v>1.1317571451583828</v>
      </c>
      <c r="AM42" s="284">
        <f t="shared" si="17"/>
        <v>0</v>
      </c>
      <c r="AN42" s="373">
        <v>58810.567139999992</v>
      </c>
    </row>
    <row r="43" spans="2:40" x14ac:dyDescent="0.35">
      <c r="B43" s="293">
        <f>appendix!P57</f>
        <v>2019</v>
      </c>
      <c r="C43" s="284">
        <f t="shared" si="11"/>
        <v>106320</v>
      </c>
      <c r="D43" s="133">
        <f t="shared" si="12"/>
        <v>114094.65</v>
      </c>
      <c r="E43" s="284">
        <f t="shared" si="13"/>
        <v>122002.2</v>
      </c>
      <c r="F43" s="133">
        <f t="shared" si="0"/>
        <v>126255</v>
      </c>
      <c r="G43" s="284">
        <f t="shared" si="1"/>
        <v>127584</v>
      </c>
      <c r="H43" s="133">
        <f t="shared" si="2"/>
        <v>128913</v>
      </c>
      <c r="I43" s="284">
        <f t="shared" si="3"/>
        <v>130242</v>
      </c>
      <c r="J43" s="133">
        <f t="shared" si="4"/>
        <v>131571</v>
      </c>
      <c r="K43" s="285">
        <f t="shared" si="5"/>
        <v>132900</v>
      </c>
      <c r="L43" s="133">
        <f t="shared" si="6"/>
        <v>134229</v>
      </c>
      <c r="M43" s="284">
        <f t="shared" si="7"/>
        <v>135558</v>
      </c>
      <c r="N43" s="133">
        <f t="shared" si="8"/>
        <v>136887</v>
      </c>
      <c r="O43" s="284">
        <f t="shared" si="9"/>
        <v>138216</v>
      </c>
      <c r="P43" s="286">
        <f t="shared" si="10"/>
        <v>139545</v>
      </c>
      <c r="S43" s="307">
        <f>MIN(ss_calc!E39,TWB!C43)</f>
        <v>52000</v>
      </c>
      <c r="T43" s="284">
        <f>MIN(ss_calc!E39,TWB!D43)</f>
        <v>52000</v>
      </c>
      <c r="U43" s="133">
        <f>MIN(ss_calc!E39,TWB!E43)</f>
        <v>52000</v>
      </c>
      <c r="V43" s="284">
        <f>MIN(ss_calc!E39,TWB!F43)</f>
        <v>52000</v>
      </c>
      <c r="W43" s="133">
        <f>MIN(ss_calc!E39,TWB!G43)</f>
        <v>52000</v>
      </c>
      <c r="X43" s="284">
        <f>MIN(ss_calc!E39,TWB!H43)</f>
        <v>52000</v>
      </c>
      <c r="Y43" s="133">
        <f>MIN(ss_calc!E39,TWB!I43)</f>
        <v>52000</v>
      </c>
      <c r="Z43" s="284">
        <f>MIN(ss_calc!E39,TWB!J43)</f>
        <v>52000</v>
      </c>
      <c r="AA43" s="134">
        <f>MIN(ss_calc!E39,TWB!K43)</f>
        <v>52000</v>
      </c>
      <c r="AB43" s="284">
        <f>MIN(ss_calc!E39,TWB!L43)</f>
        <v>52000</v>
      </c>
      <c r="AC43" s="133">
        <f>MIN(ss_calc!E39,TWB!M43)</f>
        <v>52000</v>
      </c>
      <c r="AD43" s="284">
        <f>MIN(ss_calc!E39,TWB!N43)</f>
        <v>52000</v>
      </c>
      <c r="AE43" s="133">
        <f>MIN(ss_calc!E39,TWB!O43)</f>
        <v>52000</v>
      </c>
      <c r="AF43" s="284">
        <f>MIN(ss_calc!E39,TWB!P43)</f>
        <v>52000</v>
      </c>
      <c r="AI43" s="310">
        <f t="shared" si="14"/>
        <v>36</v>
      </c>
      <c r="AJ43" s="307">
        <f t="shared" si="15"/>
        <v>52000</v>
      </c>
      <c r="AK43" s="307">
        <f>ss_calc!G39</f>
        <v>54099.99</v>
      </c>
      <c r="AL43" s="367">
        <f t="shared" si="16"/>
        <v>1.0908760193855858</v>
      </c>
      <c r="AM43" s="284">
        <f t="shared" si="17"/>
        <v>56725.553008050461</v>
      </c>
      <c r="AN43" s="373">
        <v>57097.637999999992</v>
      </c>
    </row>
    <row r="44" spans="2:40" x14ac:dyDescent="0.35">
      <c r="B44" s="293">
        <f>appendix!P58</f>
        <v>2020</v>
      </c>
      <c r="C44" s="284">
        <f t="shared" si="11"/>
        <v>110160</v>
      </c>
      <c r="D44" s="133">
        <f t="shared" si="12"/>
        <v>118215.45</v>
      </c>
      <c r="E44" s="284">
        <f t="shared" si="13"/>
        <v>126408.6</v>
      </c>
      <c r="F44" s="133">
        <f t="shared" si="0"/>
        <v>130815</v>
      </c>
      <c r="G44" s="284">
        <f t="shared" si="1"/>
        <v>132192</v>
      </c>
      <c r="H44" s="133">
        <f t="shared" si="2"/>
        <v>133569</v>
      </c>
      <c r="I44" s="284">
        <f t="shared" si="3"/>
        <v>134946</v>
      </c>
      <c r="J44" s="133">
        <f t="shared" si="4"/>
        <v>136323</v>
      </c>
      <c r="K44" s="285">
        <f t="shared" si="5"/>
        <v>137700</v>
      </c>
      <c r="L44" s="133">
        <f t="shared" si="6"/>
        <v>139077</v>
      </c>
      <c r="M44" s="284">
        <f t="shared" si="7"/>
        <v>140454</v>
      </c>
      <c r="N44" s="133">
        <f t="shared" si="8"/>
        <v>141831</v>
      </c>
      <c r="O44" s="284">
        <f t="shared" si="9"/>
        <v>143208</v>
      </c>
      <c r="P44" s="286">
        <f t="shared" si="10"/>
        <v>144585</v>
      </c>
      <c r="S44" s="307">
        <f>MIN(ss_calc!E40,TWB!C44)</f>
        <v>53819.999999999993</v>
      </c>
      <c r="T44" s="284">
        <f>MIN(ss_calc!E40,TWB!D44)</f>
        <v>53819.999999999993</v>
      </c>
      <c r="U44" s="133">
        <f>MIN(ss_calc!E40,TWB!E44)</f>
        <v>53819.999999999993</v>
      </c>
      <c r="V44" s="284">
        <f>MIN(ss_calc!E40,TWB!F44)</f>
        <v>53819.999999999993</v>
      </c>
      <c r="W44" s="133">
        <f>MIN(ss_calc!E40,TWB!G44)</f>
        <v>53819.999999999993</v>
      </c>
      <c r="X44" s="284">
        <f>MIN(ss_calc!E40,TWB!H44)</f>
        <v>53819.999999999993</v>
      </c>
      <c r="Y44" s="133">
        <f>MIN(ss_calc!E40,TWB!I44)</f>
        <v>53819.999999999993</v>
      </c>
      <c r="Z44" s="284">
        <f>MIN(ss_calc!E40,TWB!J44)</f>
        <v>53819.999999999993</v>
      </c>
      <c r="AA44" s="134">
        <f>MIN(ss_calc!E40,TWB!K44)</f>
        <v>53819.999999999993</v>
      </c>
      <c r="AB44" s="284">
        <f>MIN(ss_calc!E40,TWB!L44)</f>
        <v>53819.999999999993</v>
      </c>
      <c r="AC44" s="133">
        <f>MIN(ss_calc!E40,TWB!M44)</f>
        <v>53819.999999999993</v>
      </c>
      <c r="AD44" s="284">
        <f>MIN(ss_calc!E40,TWB!N44)</f>
        <v>53819.999999999993</v>
      </c>
      <c r="AE44" s="133">
        <f>MIN(ss_calc!E40,TWB!O44)</f>
        <v>53819.999999999993</v>
      </c>
      <c r="AF44" s="284">
        <f>MIN(ss_calc!E40,TWB!P44)</f>
        <v>53819.999999999993</v>
      </c>
      <c r="AI44" s="310">
        <f t="shared" si="14"/>
        <v>37</v>
      </c>
      <c r="AJ44" s="307">
        <f t="shared" si="15"/>
        <v>53819.999999999993</v>
      </c>
      <c r="AK44" s="307">
        <f>ss_calc!G40</f>
        <v>55628.6</v>
      </c>
      <c r="AL44" s="367">
        <f t="shared" si="16"/>
        <v>1.0609</v>
      </c>
      <c r="AM44" s="284">
        <f t="shared" si="17"/>
        <v>57097.637999999992</v>
      </c>
      <c r="AN44" s="373">
        <v>57097.637999999992</v>
      </c>
    </row>
    <row r="45" spans="2:40" x14ac:dyDescent="0.35">
      <c r="B45" s="293">
        <f>B44+1</f>
        <v>2021</v>
      </c>
      <c r="C45" s="284">
        <f t="shared" si="11"/>
        <v>113464.8</v>
      </c>
      <c r="D45" s="133">
        <f t="shared" si="12"/>
        <v>121761.9135</v>
      </c>
      <c r="E45" s="284">
        <f t="shared" si="13"/>
        <v>130200.85799999999</v>
      </c>
      <c r="F45" s="133">
        <f t="shared" si="0"/>
        <v>134739.44999999998</v>
      </c>
      <c r="G45" s="284">
        <f t="shared" si="1"/>
        <v>136157.76000000001</v>
      </c>
      <c r="H45" s="133">
        <f t="shared" si="2"/>
        <v>137576.07</v>
      </c>
      <c r="I45" s="284">
        <f t="shared" si="3"/>
        <v>138994.38</v>
      </c>
      <c r="J45" s="133">
        <f t="shared" si="4"/>
        <v>140412.69</v>
      </c>
      <c r="K45" s="287">
        <f t="shared" si="5"/>
        <v>141831</v>
      </c>
      <c r="L45" s="133">
        <f t="shared" si="6"/>
        <v>143249.31</v>
      </c>
      <c r="M45" s="284">
        <f t="shared" si="7"/>
        <v>144667.62</v>
      </c>
      <c r="N45" s="133">
        <f t="shared" si="8"/>
        <v>146085.93</v>
      </c>
      <c r="O45" s="284">
        <f t="shared" si="9"/>
        <v>147504.24</v>
      </c>
      <c r="P45" s="286">
        <f t="shared" si="10"/>
        <v>148922.55000000002</v>
      </c>
      <c r="S45" s="307">
        <f>MIN(ss_calc!E41,TWB!C45)</f>
        <v>55434.599999999991</v>
      </c>
      <c r="T45" s="284">
        <f>MIN(ss_calc!E41,TWB!D45)</f>
        <v>55434.599999999991</v>
      </c>
      <c r="U45" s="133">
        <f>MIN(ss_calc!E41,TWB!E45)</f>
        <v>55434.599999999991</v>
      </c>
      <c r="V45" s="284">
        <f>MIN(ss_calc!E41,TWB!F45)</f>
        <v>55434.599999999991</v>
      </c>
      <c r="W45" s="133">
        <f>MIN(ss_calc!E41,TWB!G45)</f>
        <v>55434.599999999991</v>
      </c>
      <c r="X45" s="284">
        <f>MIN(ss_calc!E41,TWB!H45)</f>
        <v>55434.599999999991</v>
      </c>
      <c r="Y45" s="133">
        <f>MIN(ss_calc!E41,TWB!I45)</f>
        <v>55434.599999999991</v>
      </c>
      <c r="Z45" s="284">
        <f>MIN(ss_calc!E41,TWB!J45)</f>
        <v>55434.599999999991</v>
      </c>
      <c r="AA45" s="134">
        <f>MIN(ss_calc!E41,TWB!K45)</f>
        <v>55434.599999999991</v>
      </c>
      <c r="AB45" s="284">
        <f>MIN(ss_calc!E41,TWB!L45)</f>
        <v>55434.599999999991</v>
      </c>
      <c r="AC45" s="133">
        <f>MIN(ss_calc!E41,TWB!M45)</f>
        <v>55434.599999999991</v>
      </c>
      <c r="AD45" s="284">
        <f>MIN(ss_calc!E41,TWB!N45)</f>
        <v>55434.599999999991</v>
      </c>
      <c r="AE45" s="133">
        <f>MIN(ss_calc!E41,TWB!O45)</f>
        <v>55434.599999999991</v>
      </c>
      <c r="AF45" s="284">
        <f>MIN(ss_calc!E41,TWB!P45)</f>
        <v>55434.599999999991</v>
      </c>
      <c r="AI45" s="310">
        <f t="shared" si="14"/>
        <v>38</v>
      </c>
      <c r="AJ45" s="307">
        <f t="shared" si="15"/>
        <v>55434.599999999991</v>
      </c>
      <c r="AK45" s="307">
        <f>ss_calc!G41</f>
        <v>57297.457999999999</v>
      </c>
      <c r="AL45" s="367">
        <f t="shared" si="16"/>
        <v>1.03</v>
      </c>
      <c r="AM45" s="284">
        <f t="shared" si="17"/>
        <v>57097.637999999992</v>
      </c>
      <c r="AN45" s="373">
        <v>57097.637999999992</v>
      </c>
    </row>
    <row r="46" spans="2:40" x14ac:dyDescent="0.35">
      <c r="B46" s="293">
        <f t="shared" ref="B46:B49" si="18">B45+1</f>
        <v>2022</v>
      </c>
      <c r="C46" s="284">
        <f t="shared" si="11"/>
        <v>116868.74400000001</v>
      </c>
      <c r="D46" s="133">
        <f t="shared" si="12"/>
        <v>125414.770905</v>
      </c>
      <c r="E46" s="284">
        <f t="shared" si="13"/>
        <v>134106.88373999999</v>
      </c>
      <c r="F46" s="133">
        <f t="shared" si="0"/>
        <v>138781.6335</v>
      </c>
      <c r="G46" s="284">
        <f t="shared" si="1"/>
        <v>140242.49279999998</v>
      </c>
      <c r="H46" s="133">
        <f t="shared" si="2"/>
        <v>141703.35209999999</v>
      </c>
      <c r="I46" s="284">
        <f t="shared" si="3"/>
        <v>143164.2114</v>
      </c>
      <c r="J46" s="133">
        <f t="shared" si="4"/>
        <v>144625.07069999998</v>
      </c>
      <c r="K46" s="287">
        <f t="shared" si="5"/>
        <v>146085.93</v>
      </c>
      <c r="L46" s="133">
        <f t="shared" si="6"/>
        <v>147546.7893</v>
      </c>
      <c r="M46" s="284">
        <f t="shared" si="7"/>
        <v>149007.64859999999</v>
      </c>
      <c r="N46" s="133">
        <f t="shared" si="8"/>
        <v>150468.5079</v>
      </c>
      <c r="O46" s="284">
        <f t="shared" si="9"/>
        <v>151929.36720000001</v>
      </c>
      <c r="P46" s="286">
        <f t="shared" si="10"/>
        <v>153390.22649999999</v>
      </c>
      <c r="S46" s="307">
        <f>MIN(ss_calc!E42,TWB!C46)</f>
        <v>57097.637999999992</v>
      </c>
      <c r="T46" s="284">
        <f>MIN(ss_calc!E42,TWB!D46)</f>
        <v>57097.637999999992</v>
      </c>
      <c r="U46" s="133">
        <f>MIN(ss_calc!E42,TWB!E46)</f>
        <v>57097.637999999992</v>
      </c>
      <c r="V46" s="284">
        <f>MIN(ss_calc!E42,TWB!F46)</f>
        <v>57097.637999999992</v>
      </c>
      <c r="W46" s="133">
        <f>MIN(ss_calc!E42,TWB!G46)</f>
        <v>57097.637999999992</v>
      </c>
      <c r="X46" s="284">
        <f>MIN(ss_calc!E42,TWB!H46)</f>
        <v>57097.637999999992</v>
      </c>
      <c r="Y46" s="133">
        <f>MIN(ss_calc!E42,TWB!I46)</f>
        <v>57097.637999999992</v>
      </c>
      <c r="Z46" s="284">
        <f>MIN(ss_calc!E42,TWB!J46)</f>
        <v>57097.637999999992</v>
      </c>
      <c r="AA46" s="134">
        <f>MIN(ss_calc!E42,TWB!K46)</f>
        <v>57097.637999999992</v>
      </c>
      <c r="AB46" s="284">
        <f>MIN(ss_calc!E42,TWB!L46)</f>
        <v>57097.637999999992</v>
      </c>
      <c r="AC46" s="133">
        <f>MIN(ss_calc!E42,TWB!M46)</f>
        <v>57097.637999999992</v>
      </c>
      <c r="AD46" s="284">
        <f>MIN(ss_calc!E42,TWB!N46)</f>
        <v>57097.637999999992</v>
      </c>
      <c r="AE46" s="133">
        <f>MIN(ss_calc!E42,TWB!O46)</f>
        <v>57097.637999999992</v>
      </c>
      <c r="AF46" s="284">
        <f>MIN(ss_calc!E42,TWB!P46)</f>
        <v>57097.637999999992</v>
      </c>
      <c r="AI46" s="310">
        <f t="shared" si="14"/>
        <v>39</v>
      </c>
      <c r="AJ46" s="307">
        <f t="shared" si="15"/>
        <v>57097.637999999992</v>
      </c>
      <c r="AK46" s="366">
        <f>ss_calc!G42</f>
        <v>59016.381739999997</v>
      </c>
      <c r="AL46" s="367">
        <f t="shared" si="16"/>
        <v>1</v>
      </c>
      <c r="AM46" s="284">
        <f t="shared" si="17"/>
        <v>57097.637999999992</v>
      </c>
      <c r="AN46" s="373">
        <v>56725.553008050461</v>
      </c>
    </row>
    <row r="47" spans="2:40" x14ac:dyDescent="0.35">
      <c r="B47" s="293">
        <f t="shared" si="18"/>
        <v>2023</v>
      </c>
      <c r="C47" s="284">
        <f t="shared" si="11"/>
        <v>120374.80632</v>
      </c>
      <c r="D47" s="133">
        <f t="shared" si="12"/>
        <v>129177.21403214999</v>
      </c>
      <c r="E47" s="284">
        <f t="shared" si="13"/>
        <v>138130.0902522</v>
      </c>
      <c r="F47" s="133">
        <f t="shared" si="0"/>
        <v>142945.082505</v>
      </c>
      <c r="G47" s="284">
        <f t="shared" si="1"/>
        <v>144449.76758399999</v>
      </c>
      <c r="H47" s="133">
        <f t="shared" si="2"/>
        <v>145954.452663</v>
      </c>
      <c r="I47" s="284">
        <f t="shared" si="3"/>
        <v>147459.13774199999</v>
      </c>
      <c r="J47" s="133">
        <f t="shared" si="4"/>
        <v>148963.82282100001</v>
      </c>
      <c r="K47" s="287">
        <f t="shared" si="5"/>
        <v>150468.5079</v>
      </c>
      <c r="L47" s="133">
        <f t="shared" si="6"/>
        <v>151973.19297899998</v>
      </c>
      <c r="M47" s="284">
        <f t="shared" si="7"/>
        <v>153477.878058</v>
      </c>
      <c r="N47" s="133">
        <f t="shared" si="8"/>
        <v>154982.56313699999</v>
      </c>
      <c r="O47" s="284">
        <f t="shared" si="9"/>
        <v>156487.24821600001</v>
      </c>
      <c r="P47" s="286">
        <f t="shared" si="10"/>
        <v>157991.933295</v>
      </c>
      <c r="S47" s="307">
        <f>MIN(ss_calc!E43,TWB!C47)</f>
        <v>58810.567139999992</v>
      </c>
      <c r="T47" s="284">
        <f>MIN(ss_calc!E43,TWB!D47)</f>
        <v>58810.567139999992</v>
      </c>
      <c r="U47" s="133">
        <f>MIN(ss_calc!E43,TWB!E47)</f>
        <v>58810.567139999992</v>
      </c>
      <c r="V47" s="284">
        <f>MIN(ss_calc!E43,TWB!F47)</f>
        <v>58810.567139999992</v>
      </c>
      <c r="W47" s="133">
        <f>MIN(ss_calc!E43,TWB!G47)</f>
        <v>58810.567139999992</v>
      </c>
      <c r="X47" s="284">
        <f>MIN(ss_calc!E43,TWB!H47)</f>
        <v>58810.567139999992</v>
      </c>
      <c r="Y47" s="133">
        <f>MIN(ss_calc!E43,TWB!I47)</f>
        <v>58810.567139999992</v>
      </c>
      <c r="Z47" s="284">
        <f>MIN(ss_calc!E43,TWB!J47)</f>
        <v>58810.567139999992</v>
      </c>
      <c r="AA47" s="134">
        <f>MIN(ss_calc!E43,TWB!K47)</f>
        <v>58810.567139999992</v>
      </c>
      <c r="AB47" s="284">
        <f>MIN(ss_calc!E43,TWB!L47)</f>
        <v>58810.567139999992</v>
      </c>
      <c r="AC47" s="133">
        <f>MIN(ss_calc!E43,TWB!M47)</f>
        <v>58810.567139999992</v>
      </c>
      <c r="AD47" s="284">
        <f>MIN(ss_calc!E43,TWB!N47)</f>
        <v>58810.567139999992</v>
      </c>
      <c r="AE47" s="133">
        <f>MIN(ss_calc!E43,TWB!O47)</f>
        <v>58810.567139999992</v>
      </c>
      <c r="AF47" s="284">
        <f>MIN(ss_calc!E43,TWB!P47)</f>
        <v>58810.567139999992</v>
      </c>
      <c r="AI47" s="310">
        <f t="shared" si="14"/>
        <v>40</v>
      </c>
      <c r="AJ47" s="307">
        <f t="shared" si="15"/>
        <v>58810.567139999992</v>
      </c>
      <c r="AK47" s="307">
        <f>ss_calc!G43</f>
        <v>60786.873192200001</v>
      </c>
      <c r="AL47" s="367">
        <f t="shared" si="16"/>
        <v>1</v>
      </c>
      <c r="AM47" s="284">
        <f t="shared" si="17"/>
        <v>58810.567139999992</v>
      </c>
      <c r="AN47" s="373">
        <v>0</v>
      </c>
    </row>
    <row r="48" spans="2:40" x14ac:dyDescent="0.35">
      <c r="B48" s="293">
        <f t="shared" si="18"/>
        <v>2024</v>
      </c>
      <c r="C48" s="284">
        <f t="shared" si="11"/>
        <v>123986.0505096</v>
      </c>
      <c r="D48" s="133">
        <f t="shared" si="12"/>
        <v>133052.53045311451</v>
      </c>
      <c r="E48" s="284">
        <f t="shared" si="13"/>
        <v>142273.99295976598</v>
      </c>
      <c r="F48" s="133">
        <f t="shared" si="0"/>
        <v>147233.43498014999</v>
      </c>
      <c r="G48" s="284">
        <f t="shared" si="1"/>
        <v>148783.26061151997</v>
      </c>
      <c r="H48" s="133">
        <f t="shared" si="2"/>
        <v>150333.08624288999</v>
      </c>
      <c r="I48" s="284">
        <f t="shared" si="3"/>
        <v>151882.91187426</v>
      </c>
      <c r="J48" s="133">
        <f t="shared" si="4"/>
        <v>153432.73750562998</v>
      </c>
      <c r="K48" s="287">
        <f t="shared" si="5"/>
        <v>154982.56313699999</v>
      </c>
      <c r="L48" s="133">
        <f t="shared" si="6"/>
        <v>156532.38876837</v>
      </c>
      <c r="M48" s="284">
        <f t="shared" si="7"/>
        <v>158082.21439973998</v>
      </c>
      <c r="N48" s="133">
        <f t="shared" si="8"/>
        <v>159632.04003110999</v>
      </c>
      <c r="O48" s="284">
        <f t="shared" si="9"/>
        <v>161181.86566248001</v>
      </c>
      <c r="P48" s="286">
        <f t="shared" si="10"/>
        <v>162731.69129384999</v>
      </c>
      <c r="S48" s="307">
        <f>MIN(ss_calc!E44,TWB!C48)</f>
        <v>60574.884154199994</v>
      </c>
      <c r="T48" s="284">
        <f>MIN(ss_calc!E44,TWB!D48)</f>
        <v>60574.884154199994</v>
      </c>
      <c r="U48" s="133">
        <f>MIN(ss_calc!E44,TWB!E48)</f>
        <v>60574.884154199994</v>
      </c>
      <c r="V48" s="284">
        <f>MIN(ss_calc!E44,TWB!F48)</f>
        <v>60574.884154199994</v>
      </c>
      <c r="W48" s="133">
        <f>MIN(ss_calc!E44,TWB!G48)</f>
        <v>60574.884154199994</v>
      </c>
      <c r="X48" s="284">
        <f>MIN(ss_calc!E44,TWB!H48)</f>
        <v>60574.884154199994</v>
      </c>
      <c r="Y48" s="133">
        <f>MIN(ss_calc!E44,TWB!I48)</f>
        <v>60574.884154199994</v>
      </c>
      <c r="Z48" s="284">
        <f>MIN(ss_calc!E44,TWB!J48)</f>
        <v>60574.884154199994</v>
      </c>
      <c r="AA48" s="134">
        <f>MIN(ss_calc!E44,TWB!K48)</f>
        <v>60574.884154199994</v>
      </c>
      <c r="AB48" s="284">
        <f>MIN(ss_calc!E44,TWB!L48)</f>
        <v>60574.884154199994</v>
      </c>
      <c r="AC48" s="133">
        <f>MIN(ss_calc!E44,TWB!M48)</f>
        <v>60574.884154199994</v>
      </c>
      <c r="AD48" s="284">
        <f>MIN(ss_calc!E44,TWB!N48)</f>
        <v>60574.884154199994</v>
      </c>
      <c r="AE48" s="133">
        <f>MIN(ss_calc!E44,TWB!O48)</f>
        <v>60574.884154199994</v>
      </c>
      <c r="AF48" s="284">
        <f>MIN(ss_calc!E44,TWB!P48)</f>
        <v>60574.884154199994</v>
      </c>
      <c r="AI48" s="310">
        <f t="shared" si="14"/>
        <v>41</v>
      </c>
      <c r="AJ48" s="307">
        <f t="shared" si="15"/>
        <v>60574.884154199994</v>
      </c>
      <c r="AK48" s="307">
        <f>ss_calc!G44</f>
        <v>62610.479387965999</v>
      </c>
      <c r="AL48" s="367">
        <f t="shared" si="16"/>
        <v>1</v>
      </c>
      <c r="AM48" s="284">
        <f t="shared" si="17"/>
        <v>60574.884154199994</v>
      </c>
      <c r="AN48" s="373">
        <v>0</v>
      </c>
    </row>
    <row r="49" spans="2:40" x14ac:dyDescent="0.35">
      <c r="B49" s="294">
        <f t="shared" si="18"/>
        <v>2025</v>
      </c>
      <c r="C49" s="288">
        <f t="shared" si="11"/>
        <v>127705.63202488801</v>
      </c>
      <c r="D49" s="289">
        <f t="shared" si="12"/>
        <v>137044.10636670791</v>
      </c>
      <c r="E49" s="288">
        <f t="shared" si="13"/>
        <v>146542.21274855899</v>
      </c>
      <c r="F49" s="289">
        <f t="shared" si="0"/>
        <v>151650.4380295545</v>
      </c>
      <c r="G49" s="288">
        <f t="shared" si="1"/>
        <v>153246.75842986559</v>
      </c>
      <c r="H49" s="289">
        <f t="shared" si="2"/>
        <v>154843.0788301767</v>
      </c>
      <c r="I49" s="288">
        <f t="shared" si="3"/>
        <v>156439.39923048779</v>
      </c>
      <c r="J49" s="289">
        <f t="shared" si="4"/>
        <v>158035.71963079891</v>
      </c>
      <c r="K49" s="290">
        <f t="shared" si="5"/>
        <v>159632.04003110999</v>
      </c>
      <c r="L49" s="289">
        <f t="shared" si="6"/>
        <v>161228.36043142108</v>
      </c>
      <c r="M49" s="288">
        <f t="shared" si="7"/>
        <v>162824.6808317322</v>
      </c>
      <c r="N49" s="289">
        <f t="shared" si="8"/>
        <v>164421.00123204329</v>
      </c>
      <c r="O49" s="288">
        <f t="shared" si="9"/>
        <v>166017.3216323544</v>
      </c>
      <c r="P49" s="291">
        <f t="shared" si="10"/>
        <v>167613.64203266549</v>
      </c>
      <c r="S49" s="308">
        <f>MIN(ss_calc!E45,TWB!C49)</f>
        <v>62392.130678825997</v>
      </c>
      <c r="T49" s="288">
        <f>MIN(ss_calc!E45,TWB!D49)</f>
        <v>62392.130678825997</v>
      </c>
      <c r="U49" s="289">
        <f>MIN(ss_calc!E45,TWB!E49)</f>
        <v>62392.130678825997</v>
      </c>
      <c r="V49" s="288">
        <f>MIN(ss_calc!E45,TWB!F49)</f>
        <v>62392.130678825997</v>
      </c>
      <c r="W49" s="289">
        <f>MIN(ss_calc!E45,TWB!G49)</f>
        <v>62392.130678825997</v>
      </c>
      <c r="X49" s="288">
        <f>MIN(ss_calc!E45,TWB!H49)</f>
        <v>62392.130678825997</v>
      </c>
      <c r="Y49" s="289">
        <f>MIN(ss_calc!E45,TWB!I49)</f>
        <v>62392.130678825997</v>
      </c>
      <c r="Z49" s="288">
        <f>MIN(ss_calc!E45,TWB!J49)</f>
        <v>62392.130678825997</v>
      </c>
      <c r="AA49" s="309">
        <f>MIN(ss_calc!E45,TWB!K49)</f>
        <v>62392.130678825997</v>
      </c>
      <c r="AB49" s="288">
        <f>MIN(ss_calc!E45,TWB!L49)</f>
        <v>62392.130678825997</v>
      </c>
      <c r="AC49" s="289">
        <f>MIN(ss_calc!E45,TWB!M49)</f>
        <v>62392.130678825997</v>
      </c>
      <c r="AD49" s="288">
        <f>MIN(ss_calc!E45,TWB!N49)</f>
        <v>62392.130678825997</v>
      </c>
      <c r="AE49" s="289">
        <f>MIN(ss_calc!E45,TWB!O49)</f>
        <v>62392.130678825997</v>
      </c>
      <c r="AF49" s="288">
        <f>MIN(ss_calc!E45,TWB!P49)</f>
        <v>62392.130678825997</v>
      </c>
      <c r="AI49" s="311">
        <f t="shared" si="14"/>
        <v>42</v>
      </c>
      <c r="AJ49" s="308">
        <f t="shared" si="15"/>
        <v>62392.130678825997</v>
      </c>
      <c r="AK49" s="308">
        <f>ss_calc!G45</f>
        <v>64488.793769604978</v>
      </c>
      <c r="AL49" s="371">
        <f t="shared" si="16"/>
        <v>1</v>
      </c>
      <c r="AM49" s="288">
        <f t="shared" si="17"/>
        <v>62392.130678825997</v>
      </c>
      <c r="AN49" s="374">
        <v>0</v>
      </c>
    </row>
    <row r="51" spans="2:40" x14ac:dyDescent="0.35">
      <c r="B51" s="283" t="s">
        <v>179</v>
      </c>
      <c r="C51" s="283"/>
      <c r="D51" s="283"/>
      <c r="E51" s="283"/>
    </row>
  </sheetData>
  <sortState xmlns:xlrd2="http://schemas.microsoft.com/office/spreadsheetml/2017/richdata2" ref="AN8:AN49">
    <sortCondition descending="1" ref="AN8:AN49"/>
  </sortState>
  <mergeCells count="20">
    <mergeCell ref="AA6:AA7"/>
    <mergeCell ref="AC6:AC7"/>
    <mergeCell ref="AD6:AD7"/>
    <mergeCell ref="AB6:AB7"/>
    <mergeCell ref="T6:T7"/>
    <mergeCell ref="S6:S7"/>
    <mergeCell ref="AJ6:AJ7"/>
    <mergeCell ref="AN6:AN7"/>
    <mergeCell ref="AI6:AI7"/>
    <mergeCell ref="W6:W7"/>
    <mergeCell ref="X6:X7"/>
    <mergeCell ref="Y6:Y7"/>
    <mergeCell ref="Z6:Z7"/>
    <mergeCell ref="V6:V7"/>
    <mergeCell ref="U6:U7"/>
    <mergeCell ref="AK6:AK7"/>
    <mergeCell ref="AL6:AL7"/>
    <mergeCell ref="AM6:AM7"/>
    <mergeCell ref="AF6:AF7"/>
    <mergeCell ref="AE6:AE7"/>
  </mergeCells>
  <pageMargins left="0.7" right="0.7" top="0.75" bottom="0.75" header="0.3" footer="0.3"/>
  <pageSetup orientation="portrait" r:id="rId1"/>
  <ignoredErrors>
    <ignoredError sqref="AQ8"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2A6BB-730A-4750-A133-720687F0F8CC}">
  <sheetPr>
    <tabColor theme="9" tint="0.79998168889431442"/>
  </sheetPr>
  <dimension ref="A1:Y150"/>
  <sheetViews>
    <sheetView zoomScale="82" workbookViewId="0">
      <pane ySplit="1" topLeftCell="A2" activePane="bottomLeft" state="frozen"/>
      <selection pane="bottomLeft" activeCell="E27" sqref="E27"/>
    </sheetView>
  </sheetViews>
  <sheetFormatPr defaultRowHeight="14.5" x14ac:dyDescent="0.35"/>
  <cols>
    <col min="1" max="1" width="8.7265625" style="1"/>
    <col min="2" max="2" width="12.81640625" style="1" customWidth="1"/>
    <col min="3" max="3" width="17.36328125" style="1" customWidth="1"/>
    <col min="4" max="4" width="11" style="1" customWidth="1"/>
    <col min="5" max="5" width="11.08984375" style="1" customWidth="1"/>
    <col min="6" max="6" width="10.453125" style="1" customWidth="1"/>
    <col min="7" max="7" width="11.26953125" style="1" customWidth="1"/>
    <col min="8" max="8" width="10.08984375" style="1" bestFit="1" customWidth="1"/>
    <col min="9" max="9" width="10.453125" style="1" customWidth="1"/>
    <col min="10" max="10" width="11.81640625" style="1" customWidth="1"/>
    <col min="11" max="11" width="10.54296875" style="1" customWidth="1"/>
    <col min="12" max="12" width="10.26953125" style="1" customWidth="1"/>
    <col min="13" max="13" width="10.08984375" style="1" customWidth="1"/>
    <col min="14" max="14" width="9.6328125" style="1" customWidth="1"/>
    <col min="15" max="18" width="8.7265625" style="1"/>
    <col min="19" max="19" width="8.7265625" style="1" customWidth="1"/>
    <col min="20" max="24" width="8.7265625" style="1"/>
    <col min="25" max="25" width="10.08984375" style="1" bestFit="1" customWidth="1"/>
    <col min="26" max="16384" width="8.7265625" style="1"/>
  </cols>
  <sheetData>
    <row r="1" spans="1:15" x14ac:dyDescent="0.35">
      <c r="A1" s="56" t="s">
        <v>293</v>
      </c>
    </row>
    <row r="2" spans="1:15" x14ac:dyDescent="0.35">
      <c r="A2" s="56"/>
    </row>
    <row r="3" spans="1:15" x14ac:dyDescent="0.35">
      <c r="B3" s="576" t="s">
        <v>154</v>
      </c>
      <c r="C3" s="577"/>
      <c r="D3" s="577"/>
      <c r="E3" s="577"/>
      <c r="F3" s="578"/>
      <c r="H3" s="151" t="s">
        <v>258</v>
      </c>
    </row>
    <row r="4" spans="1:15" x14ac:dyDescent="0.35">
      <c r="B4" s="233" t="s">
        <v>254</v>
      </c>
      <c r="C4" s="234"/>
      <c r="D4" s="255">
        <v>0.03</v>
      </c>
      <c r="E4" s="234" t="s">
        <v>123</v>
      </c>
      <c r="F4" s="243">
        <f>ss_calc!N5</f>
        <v>3085.6984439999997</v>
      </c>
      <c r="H4" s="1" t="s">
        <v>296</v>
      </c>
    </row>
    <row r="5" spans="1:15" x14ac:dyDescent="0.35">
      <c r="B5" s="239" t="s">
        <v>360</v>
      </c>
      <c r="C5" s="256"/>
      <c r="D5" s="256">
        <f>VLOOKUP(2022,COLA_table,2,1)</f>
        <v>8.6999999999999993</v>
      </c>
      <c r="E5" s="256" t="s">
        <v>292</v>
      </c>
      <c r="F5" s="244">
        <f>ss_calc!N6</f>
        <v>3577.1702072370495</v>
      </c>
      <c r="H5" s="1" t="s">
        <v>349</v>
      </c>
    </row>
    <row r="6" spans="1:15" x14ac:dyDescent="0.35">
      <c r="B6" s="241" t="s">
        <v>462</v>
      </c>
      <c r="C6" s="257"/>
      <c r="D6" s="258">
        <f>20/3/100</f>
        <v>6.6666666666666666E-2</v>
      </c>
      <c r="E6" s="257" t="s">
        <v>294</v>
      </c>
      <c r="F6" s="259"/>
      <c r="H6" s="1" t="s">
        <v>295</v>
      </c>
      <c r="L6" s="184" t="s">
        <v>463</v>
      </c>
    </row>
    <row r="8" spans="1:15" x14ac:dyDescent="0.35">
      <c r="B8" s="573" t="s">
        <v>433</v>
      </c>
      <c r="C8" s="574"/>
      <c r="D8" s="574"/>
      <c r="E8" s="574"/>
      <c r="F8" s="574"/>
      <c r="G8" s="574"/>
      <c r="H8" s="574"/>
      <c r="I8" s="574"/>
      <c r="J8" s="575"/>
    </row>
    <row r="10" spans="1:15" s="89" customFormat="1" x14ac:dyDescent="0.35">
      <c r="A10" s="207" t="s">
        <v>183</v>
      </c>
      <c r="B10" s="209"/>
    </row>
    <row r="12" spans="1:15" x14ac:dyDescent="0.35">
      <c r="B12" s="249" t="s">
        <v>24</v>
      </c>
      <c r="C12" s="213">
        <v>0.01</v>
      </c>
      <c r="D12" s="260">
        <f>C12+0.01</f>
        <v>0.02</v>
      </c>
      <c r="E12" s="260">
        <f t="shared" ref="E12:L12" si="0">D12+0.01</f>
        <v>0.03</v>
      </c>
      <c r="F12" s="260">
        <f t="shared" si="0"/>
        <v>0.04</v>
      </c>
      <c r="G12" s="260">
        <f t="shared" si="0"/>
        <v>0.05</v>
      </c>
      <c r="H12" s="260">
        <f t="shared" si="0"/>
        <v>6.0000000000000005E-2</v>
      </c>
      <c r="I12" s="260">
        <f t="shared" si="0"/>
        <v>7.0000000000000007E-2</v>
      </c>
      <c r="J12" s="260">
        <f t="shared" si="0"/>
        <v>0.08</v>
      </c>
      <c r="K12" s="260">
        <f t="shared" si="0"/>
        <v>0.09</v>
      </c>
      <c r="L12" s="261">
        <f t="shared" si="0"/>
        <v>9.9999999999999992E-2</v>
      </c>
    </row>
    <row r="13" spans="1:15" x14ac:dyDescent="0.35">
      <c r="B13" s="250" t="s">
        <v>297</v>
      </c>
      <c r="C13" s="216">
        <f>ABS(C12-$D$4)</f>
        <v>1.9999999999999997E-2</v>
      </c>
      <c r="D13" s="245">
        <f t="shared" ref="D13:L13" si="1">ABS(D12-$D$4)</f>
        <v>9.9999999999999985E-3</v>
      </c>
      <c r="E13" s="245">
        <f t="shared" si="1"/>
        <v>0</v>
      </c>
      <c r="F13" s="245">
        <f t="shared" si="1"/>
        <v>1.0000000000000002E-2</v>
      </c>
      <c r="G13" s="245">
        <f t="shared" si="1"/>
        <v>2.0000000000000004E-2</v>
      </c>
      <c r="H13" s="245">
        <f t="shared" si="1"/>
        <v>3.0000000000000006E-2</v>
      </c>
      <c r="I13" s="245">
        <f t="shared" si="1"/>
        <v>4.0000000000000008E-2</v>
      </c>
      <c r="J13" s="245">
        <f t="shared" si="1"/>
        <v>0.05</v>
      </c>
      <c r="K13" s="245">
        <f t="shared" si="1"/>
        <v>0.06</v>
      </c>
      <c r="L13" s="262">
        <f t="shared" si="1"/>
        <v>6.9999999999999993E-2</v>
      </c>
    </row>
    <row r="14" spans="1:15" x14ac:dyDescent="0.35">
      <c r="B14" s="250" t="s">
        <v>123</v>
      </c>
      <c r="C14" s="266">
        <f t="shared" ref="C14:L14" si="2">$F$4*(1+C12)^(67-62)</f>
        <v>3243.1000762219314</v>
      </c>
      <c r="D14" s="252">
        <f t="shared" si="2"/>
        <v>3406.8604164845101</v>
      </c>
      <c r="E14" s="252">
        <f t="shared" si="2"/>
        <v>3577.1702072370495</v>
      </c>
      <c r="F14" s="252">
        <f t="shared" si="2"/>
        <v>3754.2239678237647</v>
      </c>
      <c r="G14" s="252">
        <f t="shared" si="2"/>
        <v>3938.2200315121386</v>
      </c>
      <c r="H14" s="252">
        <f t="shared" si="2"/>
        <v>4129.3605825213226</v>
      </c>
      <c r="I14" s="252">
        <f t="shared" si="2"/>
        <v>4327.8516930504975</v>
      </c>
      <c r="J14" s="252">
        <f t="shared" si="2"/>
        <v>4533.903360307273</v>
      </c>
      <c r="K14" s="252">
        <f t="shared" si="2"/>
        <v>4747.7295435360575</v>
      </c>
      <c r="L14" s="244">
        <f t="shared" si="2"/>
        <v>4969.5482010464411</v>
      </c>
      <c r="M14" s="54"/>
    </row>
    <row r="15" spans="1:15" x14ac:dyDescent="0.35">
      <c r="B15" s="251" t="s">
        <v>213</v>
      </c>
      <c r="C15" s="267">
        <f t="shared" ref="C15:L15" si="3">(C14-$F$5)/$F$5</f>
        <v>-9.3389498307699645E-2</v>
      </c>
      <c r="D15" s="253">
        <f t="shared" si="3"/>
        <v>-4.7610200489756394E-2</v>
      </c>
      <c r="E15" s="253">
        <f t="shared" si="3"/>
        <v>0</v>
      </c>
      <c r="F15" s="253">
        <f t="shared" si="3"/>
        <v>4.9495481156729422E-2</v>
      </c>
      <c r="G15" s="253">
        <f t="shared" si="3"/>
        <v>0.10093168716004665</v>
      </c>
      <c r="H15" s="253">
        <f t="shared" si="3"/>
        <v>0.15436513872533239</v>
      </c>
      <c r="I15" s="253">
        <f t="shared" si="3"/>
        <v>0.20985344345503279</v>
      </c>
      <c r="J15" s="253">
        <f t="shared" si="3"/>
        <v>0.26745530618997004</v>
      </c>
      <c r="K15" s="253">
        <f t="shared" si="3"/>
        <v>0.32723053936064445</v>
      </c>
      <c r="L15" s="219">
        <f t="shared" si="3"/>
        <v>0.3892400733385406</v>
      </c>
      <c r="N15" s="220" t="s">
        <v>232</v>
      </c>
      <c r="O15" s="254" cm="1">
        <f t="array" ref="O15">AVERAGE(ABS(C15:D15),F15:L15)</f>
        <v>0.18217459646486137</v>
      </c>
    </row>
    <row r="17" spans="1:11" s="89" customFormat="1" x14ac:dyDescent="0.35">
      <c r="A17" s="207" t="s">
        <v>184</v>
      </c>
      <c r="B17" s="209"/>
    </row>
    <row r="19" spans="1:11" x14ac:dyDescent="0.35">
      <c r="B19" s="249" t="s">
        <v>311</v>
      </c>
      <c r="C19" s="271" t="s">
        <v>207</v>
      </c>
      <c r="D19" s="272" t="s">
        <v>8</v>
      </c>
      <c r="E19" s="271" t="s">
        <v>208</v>
      </c>
      <c r="F19" s="272" t="s">
        <v>209</v>
      </c>
      <c r="G19" s="273" t="s">
        <v>210</v>
      </c>
      <c r="H19" s="272" t="s">
        <v>211</v>
      </c>
      <c r="I19" s="1" t="s">
        <v>316</v>
      </c>
    </row>
    <row r="20" spans="1:11" x14ac:dyDescent="0.35">
      <c r="B20" s="251" t="s">
        <v>24</v>
      </c>
      <c r="C20" s="274" t="s">
        <v>309</v>
      </c>
      <c r="D20" s="275" t="s">
        <v>310</v>
      </c>
      <c r="E20" s="274" t="s">
        <v>312</v>
      </c>
      <c r="F20" s="275" t="s">
        <v>313</v>
      </c>
      <c r="G20" s="276" t="s">
        <v>315</v>
      </c>
      <c r="H20" s="275" t="s">
        <v>348</v>
      </c>
      <c r="I20" s="1" t="s">
        <v>416</v>
      </c>
    </row>
    <row r="21" spans="1:11" x14ac:dyDescent="0.35">
      <c r="B21" s="250" t="s">
        <v>304</v>
      </c>
      <c r="C21" s="256">
        <v>0.01</v>
      </c>
      <c r="D21" s="270">
        <v>0.02</v>
      </c>
      <c r="E21" s="256">
        <v>0</v>
      </c>
      <c r="F21" s="270">
        <v>0.03</v>
      </c>
      <c r="G21" s="277">
        <v>0.08</v>
      </c>
      <c r="H21" s="268">
        <v>0.02</v>
      </c>
    </row>
    <row r="22" spans="1:11" x14ac:dyDescent="0.35">
      <c r="B22" s="250" t="s">
        <v>305</v>
      </c>
      <c r="C22" s="256">
        <f>C21+0.01</f>
        <v>0.02</v>
      </c>
      <c r="D22" s="270">
        <f>D21+0.02</f>
        <v>0.04</v>
      </c>
      <c r="E22" s="256">
        <v>0</v>
      </c>
      <c r="F22" s="270">
        <v>0.04</v>
      </c>
      <c r="G22" s="277">
        <v>0.09</v>
      </c>
      <c r="H22" s="270">
        <v>0.02</v>
      </c>
    </row>
    <row r="23" spans="1:11" x14ac:dyDescent="0.35">
      <c r="B23" s="250" t="s">
        <v>306</v>
      </c>
      <c r="C23" s="256">
        <f t="shared" ref="C23:C25" si="4">C22+0.01</f>
        <v>0.03</v>
      </c>
      <c r="D23" s="270">
        <f t="shared" ref="D23:D25" si="5">D22+0.02</f>
        <v>0.06</v>
      </c>
      <c r="E23" s="256">
        <v>0</v>
      </c>
      <c r="F23" s="270">
        <v>0.05</v>
      </c>
      <c r="G23" s="278">
        <v>0.1</v>
      </c>
      <c r="H23" s="270">
        <v>0.05</v>
      </c>
    </row>
    <row r="24" spans="1:11" x14ac:dyDescent="0.35">
      <c r="B24" s="250" t="s">
        <v>307</v>
      </c>
      <c r="C24" s="256">
        <f t="shared" si="4"/>
        <v>0.04</v>
      </c>
      <c r="D24" s="270">
        <f t="shared" si="5"/>
        <v>0.08</v>
      </c>
      <c r="E24" s="256">
        <v>0.01</v>
      </c>
      <c r="F24" s="270">
        <v>0.06</v>
      </c>
      <c r="G24" s="277">
        <v>0.02</v>
      </c>
      <c r="H24" s="270">
        <v>0.06</v>
      </c>
    </row>
    <row r="25" spans="1:11" x14ac:dyDescent="0.35">
      <c r="B25" s="250" t="s">
        <v>308</v>
      </c>
      <c r="C25" s="256">
        <f t="shared" si="4"/>
        <v>0.05</v>
      </c>
      <c r="D25" s="279">
        <f t="shared" si="5"/>
        <v>0.1</v>
      </c>
      <c r="E25" s="256">
        <v>0.02</v>
      </c>
      <c r="F25" s="270">
        <v>7.0000000000000007E-2</v>
      </c>
      <c r="G25" s="277">
        <v>0.01</v>
      </c>
      <c r="H25" s="269">
        <v>7.0000000000000007E-2</v>
      </c>
    </row>
    <row r="26" spans="1:11" x14ac:dyDescent="0.35">
      <c r="B26" s="249" t="s">
        <v>123</v>
      </c>
      <c r="C26" s="281">
        <f>$F$4*(1+C21)*(1+C22)*(1+C23)*(1+C24)*(1+C25)</f>
        <v>3575.4844213660181</v>
      </c>
      <c r="D26" s="214">
        <f>$F$4*(1+D21)*(1+D22)*(1+D23)*(1+D24)*(1+D25)</f>
        <v>4122.0124434231875</v>
      </c>
      <c r="E26" s="281">
        <f t="shared" ref="E26:H26" si="6">$F$4*(1+E21)*(1+E22)*(1+E23)*(1+E24)*(1+E25)</f>
        <v>3178.8865370087997</v>
      </c>
      <c r="F26" s="214">
        <f t="shared" si="6"/>
        <v>3936.434120280856</v>
      </c>
      <c r="G26" s="243">
        <f t="shared" si="6"/>
        <v>4116.4037545034362</v>
      </c>
      <c r="H26" s="243">
        <f t="shared" si="6"/>
        <v>3823.2506149553797</v>
      </c>
    </row>
    <row r="27" spans="1:11" x14ac:dyDescent="0.35">
      <c r="B27" s="251" t="s">
        <v>213</v>
      </c>
      <c r="C27" s="253">
        <f>(C26-$F$14)/$F$14</f>
        <v>-4.7610251276872476E-2</v>
      </c>
      <c r="D27" s="280">
        <f>(D26-$F$14)/$F$14</f>
        <v>9.7966578113511199E-2</v>
      </c>
      <c r="E27" s="253">
        <f t="shared" ref="E27:H27" si="7">(E26-$F$14)/$F$14</f>
        <v>-0.15325069461651608</v>
      </c>
      <c r="F27" s="280">
        <f t="shared" si="7"/>
        <v>4.8534704913386975E-2</v>
      </c>
      <c r="G27" s="219">
        <f t="shared" si="7"/>
        <v>9.6472610527181341E-2</v>
      </c>
      <c r="H27" s="219">
        <f t="shared" si="7"/>
        <v>1.8386395623495009E-2</v>
      </c>
      <c r="J27" s="220" t="s">
        <v>232</v>
      </c>
      <c r="K27" s="221">
        <f>AVERAGE(ABS(C27),ABS(E27),D27,F27:G27)</f>
        <v>8.8766967889493606E-2</v>
      </c>
    </row>
    <row r="30" spans="1:11" s="89" customFormat="1" x14ac:dyDescent="0.35">
      <c r="A30" s="207" t="s">
        <v>253</v>
      </c>
      <c r="B30" s="208"/>
      <c r="C30" s="209"/>
    </row>
    <row r="31" spans="1:11" x14ac:dyDescent="0.35">
      <c r="C31" s="222"/>
    </row>
    <row r="32" spans="1:11" x14ac:dyDescent="0.35">
      <c r="B32" s="576" t="s">
        <v>257</v>
      </c>
      <c r="C32" s="577"/>
      <c r="D32" s="577"/>
      <c r="E32" s="577"/>
      <c r="F32" s="577"/>
      <c r="G32" s="577"/>
      <c r="H32" s="578"/>
    </row>
    <row r="33" spans="2:25" x14ac:dyDescent="0.35">
      <c r="B33" s="230" t="s">
        <v>3</v>
      </c>
      <c r="C33" s="233">
        <v>62</v>
      </c>
      <c r="D33" s="234">
        <f>C33+1</f>
        <v>63</v>
      </c>
      <c r="E33" s="234">
        <f t="shared" ref="E33:H33" si="8">D33+1</f>
        <v>64</v>
      </c>
      <c r="F33" s="234">
        <f t="shared" si="8"/>
        <v>65</v>
      </c>
      <c r="G33" s="234">
        <f t="shared" si="8"/>
        <v>66</v>
      </c>
      <c r="H33" s="235">
        <f t="shared" si="8"/>
        <v>67</v>
      </c>
    </row>
    <row r="34" spans="2:25" x14ac:dyDescent="0.35">
      <c r="B34" s="231" t="s">
        <v>255</v>
      </c>
      <c r="C34" s="236">
        <f t="shared" ref="C34:H34" si="9">$F$4*(1+$D$4)^(C33-$C$33)*(1-$D$6*($H$33-C33))</f>
        <v>2057.1322960000002</v>
      </c>
      <c r="D34" s="237">
        <f t="shared" si="9"/>
        <v>2330.7308913679999</v>
      </c>
      <c r="E34" s="237">
        <f t="shared" si="9"/>
        <v>2618.8939833916797</v>
      </c>
      <c r="F34" s="237">
        <f t="shared" si="9"/>
        <v>2922.2492031345491</v>
      </c>
      <c r="G34" s="237">
        <f t="shared" si="9"/>
        <v>3241.4487314769385</v>
      </c>
      <c r="H34" s="238">
        <f t="shared" si="9"/>
        <v>3577.1702072370495</v>
      </c>
      <c r="X34" s="528">
        <v>-0.02</v>
      </c>
      <c r="Y34" s="529">
        <v>3243.1000762219314</v>
      </c>
    </row>
    <row r="35" spans="2:25" x14ac:dyDescent="0.35">
      <c r="X35" s="528">
        <v>-0.01</v>
      </c>
      <c r="Y35" s="529">
        <v>3406.8604164845101</v>
      </c>
    </row>
    <row r="36" spans="2:25" x14ac:dyDescent="0.35">
      <c r="B36" s="210" t="s">
        <v>156</v>
      </c>
      <c r="C36" s="210" t="s">
        <v>256</v>
      </c>
      <c r="D36" s="211" t="s">
        <v>255</v>
      </c>
      <c r="E36" s="212" t="s">
        <v>213</v>
      </c>
      <c r="G36" s="220" t="s">
        <v>3</v>
      </c>
      <c r="H36" s="229" t="s">
        <v>232</v>
      </c>
      <c r="X36" s="528">
        <v>0</v>
      </c>
      <c r="Y36" s="529">
        <v>3577.1702072370495</v>
      </c>
    </row>
    <row r="37" spans="2:25" x14ac:dyDescent="0.35">
      <c r="B37" s="232">
        <v>62</v>
      </c>
      <c r="C37" s="216">
        <f>0.01</f>
        <v>0.01</v>
      </c>
      <c r="D37" s="217">
        <f t="shared" ref="D37:D55" si="10">$F$4*(1+$D$4)^($B$37-$C$33)*(1-C37*($H$33-$B$37))</f>
        <v>2931.4135217999997</v>
      </c>
      <c r="E37" s="218">
        <f t="shared" ref="E37:E55" si="11">(D37-$C$34)/$C$34</f>
        <v>0.42499999999999971</v>
      </c>
      <c r="G37" s="239">
        <v>62</v>
      </c>
      <c r="H37" s="240" cm="1">
        <f t="array" ref="H37">AVERAGE(E37:E48,ABS(E49:E55))</f>
        <v>0.18881578947368413</v>
      </c>
      <c r="I37" s="1" t="s">
        <v>290</v>
      </c>
      <c r="X37" s="528">
        <v>1.0000000000000002E-2</v>
      </c>
      <c r="Y37" s="529">
        <v>3754.2239678237647</v>
      </c>
    </row>
    <row r="38" spans="2:25" x14ac:dyDescent="0.35">
      <c r="B38" s="232"/>
      <c r="C38" s="216">
        <f>C37+0.005</f>
        <v>1.4999999999999999E-2</v>
      </c>
      <c r="D38" s="217">
        <f t="shared" si="10"/>
        <v>2854.2710606999999</v>
      </c>
      <c r="E38" s="218">
        <f t="shared" si="11"/>
        <v>0.38749999999999979</v>
      </c>
      <c r="G38" s="239">
        <f>G37+1</f>
        <v>63</v>
      </c>
      <c r="H38" s="240" cm="1">
        <f t="array" ref="H38">AVERAGE(E56:E67,ABS(E68:E74))</f>
        <v>0.13732057416267945</v>
      </c>
      <c r="X38" s="528">
        <v>2.0000000000000004E-2</v>
      </c>
      <c r="Y38" s="529">
        <v>3938.2200315121386</v>
      </c>
    </row>
    <row r="39" spans="2:25" x14ac:dyDescent="0.35">
      <c r="B39" s="232"/>
      <c r="C39" s="216">
        <f t="shared" ref="C39:C55" si="12">C38+0.005</f>
        <v>0.02</v>
      </c>
      <c r="D39" s="217">
        <f t="shared" si="10"/>
        <v>2777.1285995999997</v>
      </c>
      <c r="E39" s="218">
        <f t="shared" si="11"/>
        <v>0.3499999999999997</v>
      </c>
      <c r="G39" s="239">
        <f t="shared" ref="G39:G42" si="13">G38+1</f>
        <v>64</v>
      </c>
      <c r="H39" s="240" cm="1">
        <f t="array" ref="H39">AVERAGE(E75:E86,ABS(E87:E93))</f>
        <v>9.4407894736842093E-2</v>
      </c>
      <c r="X39" s="528">
        <v>3.0000000000000006E-2</v>
      </c>
      <c r="Y39" s="529">
        <v>4129.3605825213226</v>
      </c>
    </row>
    <row r="40" spans="2:25" x14ac:dyDescent="0.35">
      <c r="B40" s="232"/>
      <c r="C40" s="216">
        <f t="shared" si="12"/>
        <v>2.5000000000000001E-2</v>
      </c>
      <c r="D40" s="217">
        <f t="shared" si="10"/>
        <v>2699.9861384999995</v>
      </c>
      <c r="E40" s="218">
        <f t="shared" si="11"/>
        <v>0.31249999999999961</v>
      </c>
      <c r="G40" s="239">
        <f t="shared" si="13"/>
        <v>65</v>
      </c>
      <c r="H40" s="240" cm="1">
        <f t="array" ref="H40">AVERAGE(E94:E105,ABS(E106:E112))</f>
        <v>5.8097165991902851E-2</v>
      </c>
      <c r="X40" s="528">
        <v>4.0000000000000008E-2</v>
      </c>
      <c r="Y40" s="529">
        <v>4327.8516930504975</v>
      </c>
    </row>
    <row r="41" spans="2:25" x14ac:dyDescent="0.35">
      <c r="B41" s="232"/>
      <c r="C41" s="216">
        <f t="shared" si="12"/>
        <v>3.0000000000000002E-2</v>
      </c>
      <c r="D41" s="217">
        <f t="shared" si="10"/>
        <v>2622.8436773999997</v>
      </c>
      <c r="E41" s="218">
        <f t="shared" si="11"/>
        <v>0.27499999999999974</v>
      </c>
      <c r="G41" s="239">
        <f t="shared" si="13"/>
        <v>66</v>
      </c>
      <c r="H41" s="240" cm="1">
        <f t="array" ref="H41">AVERAGE(E113:E124,ABS(E125:E131))</f>
        <v>2.6973684210526271E-2</v>
      </c>
      <c r="X41" s="528">
        <v>0.05</v>
      </c>
      <c r="Y41" s="529">
        <v>4533.903360307273</v>
      </c>
    </row>
    <row r="42" spans="2:25" x14ac:dyDescent="0.35">
      <c r="B42" s="232"/>
      <c r="C42" s="216">
        <f t="shared" si="12"/>
        <v>3.5000000000000003E-2</v>
      </c>
      <c r="D42" s="217">
        <f t="shared" si="10"/>
        <v>2545.7012162999995</v>
      </c>
      <c r="E42" s="218">
        <f t="shared" si="11"/>
        <v>0.23749999999999963</v>
      </c>
      <c r="G42" s="241">
        <f t="shared" si="13"/>
        <v>67</v>
      </c>
      <c r="H42" s="242">
        <f>AVERAGE(E132:E150)</f>
        <v>0</v>
      </c>
      <c r="I42" s="1" t="s">
        <v>291</v>
      </c>
      <c r="X42" s="528">
        <v>0.06</v>
      </c>
      <c r="Y42" s="529">
        <v>4747.7295435360575</v>
      </c>
    </row>
    <row r="43" spans="2:25" x14ac:dyDescent="0.35">
      <c r="B43" s="232"/>
      <c r="C43" s="216">
        <f t="shared" si="12"/>
        <v>0.04</v>
      </c>
      <c r="D43" s="217">
        <f t="shared" si="10"/>
        <v>2468.5587551999997</v>
      </c>
      <c r="E43" s="218">
        <f t="shared" si="11"/>
        <v>0.19999999999999973</v>
      </c>
      <c r="G43" s="1" t="s">
        <v>350</v>
      </c>
      <c r="H43" s="224">
        <f>AVERAGE(H37:H41)</f>
        <v>0.10112302171512695</v>
      </c>
      <c r="X43" s="528">
        <v>6.9999999999999993E-2</v>
      </c>
      <c r="Y43" s="529">
        <v>4969.5482010464411</v>
      </c>
    </row>
    <row r="44" spans="2:25" x14ac:dyDescent="0.35">
      <c r="B44" s="232"/>
      <c r="C44" s="216">
        <f t="shared" si="12"/>
        <v>4.4999999999999998E-2</v>
      </c>
      <c r="D44" s="217">
        <f t="shared" si="10"/>
        <v>2391.4162941</v>
      </c>
      <c r="E44" s="218">
        <f t="shared" si="11"/>
        <v>0.16249999999999987</v>
      </c>
    </row>
    <row r="45" spans="2:25" x14ac:dyDescent="0.35">
      <c r="B45" s="232"/>
      <c r="C45" s="216">
        <f t="shared" si="12"/>
        <v>4.9999999999999996E-2</v>
      </c>
      <c r="D45" s="217">
        <f t="shared" si="10"/>
        <v>2314.2738329999997</v>
      </c>
      <c r="E45" s="218">
        <f t="shared" si="11"/>
        <v>0.12499999999999975</v>
      </c>
      <c r="G45" s="1" t="s">
        <v>418</v>
      </c>
    </row>
    <row r="46" spans="2:25" x14ac:dyDescent="0.35">
      <c r="B46" s="232"/>
      <c r="C46" s="216">
        <f t="shared" si="12"/>
        <v>5.4999999999999993E-2</v>
      </c>
      <c r="D46" s="217">
        <f t="shared" si="10"/>
        <v>2237.1313719</v>
      </c>
      <c r="E46" s="218">
        <f t="shared" si="11"/>
        <v>8.749999999999987E-2</v>
      </c>
      <c r="G46" s="1" t="s">
        <v>417</v>
      </c>
    </row>
    <row r="47" spans="2:25" x14ac:dyDescent="0.35">
      <c r="B47" s="232"/>
      <c r="C47" s="216">
        <f t="shared" si="12"/>
        <v>5.9999999999999991E-2</v>
      </c>
      <c r="D47" s="217">
        <f t="shared" si="10"/>
        <v>2159.9889107999998</v>
      </c>
      <c r="E47" s="218">
        <f t="shared" si="11"/>
        <v>4.9999999999999767E-2</v>
      </c>
    </row>
    <row r="48" spans="2:25" x14ac:dyDescent="0.35">
      <c r="B48" s="232"/>
      <c r="C48" s="216">
        <f t="shared" si="12"/>
        <v>6.4999999999999988E-2</v>
      </c>
      <c r="D48" s="217">
        <f t="shared" si="10"/>
        <v>2082.8464497</v>
      </c>
      <c r="E48" s="218">
        <f t="shared" si="11"/>
        <v>1.2499999999999886E-2</v>
      </c>
    </row>
    <row r="49" spans="2:7" x14ac:dyDescent="0.35">
      <c r="B49" s="232"/>
      <c r="C49" s="216">
        <f t="shared" si="12"/>
        <v>6.9999999999999993E-2</v>
      </c>
      <c r="D49" s="217">
        <f t="shared" si="10"/>
        <v>2005.7039885999998</v>
      </c>
      <c r="E49" s="218">
        <f t="shared" si="11"/>
        <v>-2.5000000000000216E-2</v>
      </c>
      <c r="G49" s="1" t="s">
        <v>419</v>
      </c>
    </row>
    <row r="50" spans="2:7" x14ac:dyDescent="0.35">
      <c r="B50" s="232"/>
      <c r="C50" s="216">
        <f t="shared" si="12"/>
        <v>7.4999999999999997E-2</v>
      </c>
      <c r="D50" s="217">
        <f t="shared" si="10"/>
        <v>1928.5615274999998</v>
      </c>
      <c r="E50" s="218">
        <f t="shared" si="11"/>
        <v>-6.2500000000000208E-2</v>
      </c>
    </row>
    <row r="51" spans="2:7" x14ac:dyDescent="0.35">
      <c r="B51" s="232"/>
      <c r="C51" s="216">
        <f t="shared" si="12"/>
        <v>0.08</v>
      </c>
      <c r="D51" s="217">
        <f t="shared" si="10"/>
        <v>1851.4190663999998</v>
      </c>
      <c r="E51" s="218">
        <f t="shared" si="11"/>
        <v>-0.1000000000000002</v>
      </c>
    </row>
    <row r="52" spans="2:7" x14ac:dyDescent="0.35">
      <c r="B52" s="232"/>
      <c r="C52" s="216">
        <f t="shared" si="12"/>
        <v>8.5000000000000006E-2</v>
      </c>
      <c r="D52" s="217">
        <f t="shared" si="10"/>
        <v>1774.2766052999996</v>
      </c>
      <c r="E52" s="218">
        <f t="shared" si="11"/>
        <v>-0.13750000000000029</v>
      </c>
    </row>
    <row r="53" spans="2:7" x14ac:dyDescent="0.35">
      <c r="B53" s="232"/>
      <c r="C53" s="216">
        <f t="shared" si="12"/>
        <v>9.0000000000000011E-2</v>
      </c>
      <c r="D53" s="217">
        <f t="shared" si="10"/>
        <v>1697.1341441999996</v>
      </c>
      <c r="E53" s="218">
        <f t="shared" si="11"/>
        <v>-0.17500000000000029</v>
      </c>
    </row>
    <row r="54" spans="2:7" x14ac:dyDescent="0.35">
      <c r="B54" s="232"/>
      <c r="C54" s="216">
        <f t="shared" si="12"/>
        <v>9.5000000000000015E-2</v>
      </c>
      <c r="D54" s="217">
        <f t="shared" si="10"/>
        <v>1619.9916830999996</v>
      </c>
      <c r="E54" s="218">
        <f t="shared" si="11"/>
        <v>-0.21250000000000027</v>
      </c>
    </row>
    <row r="55" spans="2:7" x14ac:dyDescent="0.35">
      <c r="B55" s="232"/>
      <c r="C55" s="216">
        <f t="shared" si="12"/>
        <v>0.10000000000000002</v>
      </c>
      <c r="D55" s="217">
        <f t="shared" si="10"/>
        <v>1542.8492219999994</v>
      </c>
      <c r="E55" s="218">
        <f t="shared" si="11"/>
        <v>-0.25000000000000039</v>
      </c>
    </row>
    <row r="56" spans="2:7" x14ac:dyDescent="0.35">
      <c r="B56" s="230">
        <v>63</v>
      </c>
      <c r="C56" s="246">
        <f>C37</f>
        <v>0.01</v>
      </c>
      <c r="D56" s="243">
        <f t="shared" ref="D56:D74" si="14">$F$4*(1+$D$4)^($B$56-$C$33)*(1-C56*($H$33-$B$56))</f>
        <v>3051.1386214271997</v>
      </c>
      <c r="E56" s="215">
        <f t="shared" ref="E56:E74" si="15">(D56-$D$34)/$D$34</f>
        <v>0.30909090909090903</v>
      </c>
    </row>
    <row r="57" spans="2:7" x14ac:dyDescent="0.35">
      <c r="B57" s="232"/>
      <c r="C57" s="247">
        <f t="shared" ref="C57:C120" si="16">C38</f>
        <v>1.4999999999999999E-2</v>
      </c>
      <c r="D57" s="244">
        <f t="shared" si="14"/>
        <v>2987.5732334807994</v>
      </c>
      <c r="E57" s="218">
        <f t="shared" si="15"/>
        <v>0.28181818181818163</v>
      </c>
    </row>
    <row r="58" spans="2:7" x14ac:dyDescent="0.35">
      <c r="B58" s="232"/>
      <c r="C58" s="247">
        <f t="shared" si="16"/>
        <v>0.02</v>
      </c>
      <c r="D58" s="244">
        <f t="shared" si="14"/>
        <v>2924.0078455344001</v>
      </c>
      <c r="E58" s="218">
        <f t="shared" si="15"/>
        <v>0.25454545454545463</v>
      </c>
    </row>
    <row r="59" spans="2:7" x14ac:dyDescent="0.35">
      <c r="B59" s="232"/>
      <c r="C59" s="247">
        <f t="shared" si="16"/>
        <v>2.5000000000000001E-2</v>
      </c>
      <c r="D59" s="244">
        <f t="shared" si="14"/>
        <v>2860.4424575879998</v>
      </c>
      <c r="E59" s="218">
        <f t="shared" si="15"/>
        <v>0.22727272727272724</v>
      </c>
    </row>
    <row r="60" spans="2:7" x14ac:dyDescent="0.35">
      <c r="B60" s="232"/>
      <c r="C60" s="247">
        <f t="shared" si="16"/>
        <v>3.0000000000000002E-2</v>
      </c>
      <c r="D60" s="244">
        <f t="shared" si="14"/>
        <v>2796.8770696416</v>
      </c>
      <c r="E60" s="218">
        <f t="shared" si="15"/>
        <v>0.20000000000000004</v>
      </c>
    </row>
    <row r="61" spans="2:7" x14ac:dyDescent="0.35">
      <c r="B61" s="232"/>
      <c r="C61" s="247">
        <f t="shared" si="16"/>
        <v>3.5000000000000003E-2</v>
      </c>
      <c r="D61" s="244">
        <f t="shared" si="14"/>
        <v>2733.3116816951997</v>
      </c>
      <c r="E61" s="218">
        <f t="shared" si="15"/>
        <v>0.17272727272727265</v>
      </c>
    </row>
    <row r="62" spans="2:7" x14ac:dyDescent="0.35">
      <c r="B62" s="232"/>
      <c r="C62" s="247">
        <f t="shared" si="16"/>
        <v>0.04</v>
      </c>
      <c r="D62" s="244">
        <f t="shared" si="14"/>
        <v>2669.7462937487999</v>
      </c>
      <c r="E62" s="218">
        <f t="shared" si="15"/>
        <v>0.14545454545454545</v>
      </c>
    </row>
    <row r="63" spans="2:7" x14ac:dyDescent="0.35">
      <c r="B63" s="232"/>
      <c r="C63" s="247">
        <f t="shared" si="16"/>
        <v>4.4999999999999998E-2</v>
      </c>
      <c r="D63" s="244">
        <f t="shared" si="14"/>
        <v>2606.1809058024</v>
      </c>
      <c r="E63" s="218">
        <f t="shared" si="15"/>
        <v>0.11818181818181825</v>
      </c>
    </row>
    <row r="64" spans="2:7" x14ac:dyDescent="0.35">
      <c r="B64" s="232"/>
      <c r="C64" s="247">
        <f t="shared" si="16"/>
        <v>4.9999999999999996E-2</v>
      </c>
      <c r="D64" s="244">
        <f t="shared" si="14"/>
        <v>2542.6155178560002</v>
      </c>
      <c r="E64" s="218">
        <f t="shared" si="15"/>
        <v>9.090909090909105E-2</v>
      </c>
    </row>
    <row r="65" spans="2:5" x14ac:dyDescent="0.35">
      <c r="B65" s="232"/>
      <c r="C65" s="247">
        <f t="shared" si="16"/>
        <v>5.4999999999999993E-2</v>
      </c>
      <c r="D65" s="244">
        <f t="shared" si="14"/>
        <v>2479.0501299095999</v>
      </c>
      <c r="E65" s="218">
        <f t="shared" si="15"/>
        <v>6.3636363636363658E-2</v>
      </c>
    </row>
    <row r="66" spans="2:5" x14ac:dyDescent="0.35">
      <c r="B66" s="232"/>
      <c r="C66" s="247">
        <f t="shared" si="16"/>
        <v>5.9999999999999991E-2</v>
      </c>
      <c r="D66" s="244">
        <f t="shared" si="14"/>
        <v>2415.4847419632001</v>
      </c>
      <c r="E66" s="218">
        <f t="shared" si="15"/>
        <v>3.6363636363636459E-2</v>
      </c>
    </row>
    <row r="67" spans="2:5" x14ac:dyDescent="0.35">
      <c r="B67" s="232"/>
      <c r="C67" s="247">
        <f t="shared" si="16"/>
        <v>6.4999999999999988E-2</v>
      </c>
      <c r="D67" s="244">
        <f t="shared" si="14"/>
        <v>2351.9193540167998</v>
      </c>
      <c r="E67" s="218">
        <f t="shared" si="15"/>
        <v>9.0909090909090662E-3</v>
      </c>
    </row>
    <row r="68" spans="2:5" x14ac:dyDescent="0.35">
      <c r="B68" s="232"/>
      <c r="C68" s="247">
        <f t="shared" si="16"/>
        <v>6.9999999999999993E-2</v>
      </c>
      <c r="D68" s="244">
        <f t="shared" si="14"/>
        <v>2288.3539660703996</v>
      </c>
      <c r="E68" s="218">
        <f t="shared" si="15"/>
        <v>-1.8181818181818327E-2</v>
      </c>
    </row>
    <row r="69" spans="2:5" x14ac:dyDescent="0.35">
      <c r="B69" s="232"/>
      <c r="C69" s="247">
        <f t="shared" si="16"/>
        <v>7.4999999999999997E-2</v>
      </c>
      <c r="D69" s="244">
        <f t="shared" si="14"/>
        <v>2224.7885781239997</v>
      </c>
      <c r="E69" s="218">
        <f t="shared" si="15"/>
        <v>-4.5454545454545525E-2</v>
      </c>
    </row>
    <row r="70" spans="2:5" x14ac:dyDescent="0.35">
      <c r="B70" s="232"/>
      <c r="C70" s="247">
        <f t="shared" si="16"/>
        <v>0.08</v>
      </c>
      <c r="D70" s="244">
        <f t="shared" si="14"/>
        <v>2161.2231901775995</v>
      </c>
      <c r="E70" s="218">
        <f t="shared" si="15"/>
        <v>-7.2727272727272918E-2</v>
      </c>
    </row>
    <row r="71" spans="2:5" x14ac:dyDescent="0.35">
      <c r="B71" s="232"/>
      <c r="C71" s="247">
        <f t="shared" si="16"/>
        <v>8.5000000000000006E-2</v>
      </c>
      <c r="D71" s="244">
        <f t="shared" si="14"/>
        <v>2097.6578022311996</v>
      </c>
      <c r="E71" s="218">
        <f t="shared" si="15"/>
        <v>-0.10000000000000012</v>
      </c>
    </row>
    <row r="72" spans="2:5" x14ac:dyDescent="0.35">
      <c r="B72" s="232"/>
      <c r="C72" s="247">
        <f t="shared" si="16"/>
        <v>9.0000000000000011E-2</v>
      </c>
      <c r="D72" s="244">
        <f t="shared" si="14"/>
        <v>2034.0924142847996</v>
      </c>
      <c r="E72" s="218">
        <f t="shared" si="15"/>
        <v>-0.12727272727272743</v>
      </c>
    </row>
    <row r="73" spans="2:5" x14ac:dyDescent="0.35">
      <c r="B73" s="232"/>
      <c r="C73" s="247">
        <f t="shared" si="16"/>
        <v>9.5000000000000015E-2</v>
      </c>
      <c r="D73" s="244">
        <f t="shared" si="14"/>
        <v>1970.5270263383995</v>
      </c>
      <c r="E73" s="218">
        <f t="shared" si="15"/>
        <v>-0.15454545454545471</v>
      </c>
    </row>
    <row r="74" spans="2:5" x14ac:dyDescent="0.35">
      <c r="B74" s="232"/>
      <c r="C74" s="248">
        <f t="shared" si="16"/>
        <v>0.10000000000000002</v>
      </c>
      <c r="D74" s="244">
        <f t="shared" si="14"/>
        <v>1906.9616383919995</v>
      </c>
      <c r="E74" s="218">
        <f t="shared" si="15"/>
        <v>-0.18181818181818202</v>
      </c>
    </row>
    <row r="75" spans="2:5" x14ac:dyDescent="0.35">
      <c r="B75" s="230">
        <v>64</v>
      </c>
      <c r="C75" s="247">
        <f t="shared" si="16"/>
        <v>0.01</v>
      </c>
      <c r="D75" s="243">
        <f t="shared" ref="D75:D93" si="17">$F$4*(1+$D$4)^($B$75-$C$33)*(1-C75*($H$33-$B$75))</f>
        <v>3175.4089548624115</v>
      </c>
      <c r="E75" s="215">
        <f t="shared" ref="E75:E93" si="18">(D75-$E$34)/$E$34</f>
        <v>0.21249999999999994</v>
      </c>
    </row>
    <row r="76" spans="2:5" x14ac:dyDescent="0.35">
      <c r="B76" s="232"/>
      <c r="C76" s="247">
        <f t="shared" si="16"/>
        <v>1.4999999999999999E-2</v>
      </c>
      <c r="D76" s="244">
        <f t="shared" si="17"/>
        <v>3126.3046926738175</v>
      </c>
      <c r="E76" s="218">
        <f t="shared" si="18"/>
        <v>0.19374999999999992</v>
      </c>
    </row>
    <row r="77" spans="2:5" x14ac:dyDescent="0.35">
      <c r="B77" s="232"/>
      <c r="C77" s="247">
        <f t="shared" si="16"/>
        <v>0.02</v>
      </c>
      <c r="D77" s="244">
        <f t="shared" si="17"/>
        <v>3077.2004304852235</v>
      </c>
      <c r="E77" s="218">
        <f t="shared" si="18"/>
        <v>0.17499999999999991</v>
      </c>
    </row>
    <row r="78" spans="2:5" x14ac:dyDescent="0.35">
      <c r="B78" s="232"/>
      <c r="C78" s="247">
        <f t="shared" si="16"/>
        <v>2.5000000000000001E-2</v>
      </c>
      <c r="D78" s="244">
        <f t="shared" si="17"/>
        <v>3028.0961682966299</v>
      </c>
      <c r="E78" s="218">
        <f t="shared" si="18"/>
        <v>0.15625000000000008</v>
      </c>
    </row>
    <row r="79" spans="2:5" x14ac:dyDescent="0.35">
      <c r="B79" s="232"/>
      <c r="C79" s="247">
        <f t="shared" si="16"/>
        <v>3.0000000000000002E-2</v>
      </c>
      <c r="D79" s="244">
        <f t="shared" si="17"/>
        <v>2978.9919061080359</v>
      </c>
      <c r="E79" s="218">
        <f t="shared" si="18"/>
        <v>0.13750000000000007</v>
      </c>
    </row>
    <row r="80" spans="2:5" x14ac:dyDescent="0.35">
      <c r="B80" s="232"/>
      <c r="C80" s="247">
        <f t="shared" si="16"/>
        <v>3.5000000000000003E-2</v>
      </c>
      <c r="D80" s="244">
        <f t="shared" si="17"/>
        <v>2929.8876439194419</v>
      </c>
      <c r="E80" s="218">
        <f t="shared" si="18"/>
        <v>0.11875000000000006</v>
      </c>
    </row>
    <row r="81" spans="2:5" x14ac:dyDescent="0.35">
      <c r="B81" s="232"/>
      <c r="C81" s="247">
        <f t="shared" si="16"/>
        <v>0.04</v>
      </c>
      <c r="D81" s="244">
        <f t="shared" si="17"/>
        <v>2880.7833817308479</v>
      </c>
      <c r="E81" s="218">
        <f t="shared" si="18"/>
        <v>0.10000000000000005</v>
      </c>
    </row>
    <row r="82" spans="2:5" x14ac:dyDescent="0.35">
      <c r="B82" s="232"/>
      <c r="C82" s="247">
        <f t="shared" si="16"/>
        <v>4.4999999999999998E-2</v>
      </c>
      <c r="D82" s="244">
        <f t="shared" si="17"/>
        <v>2831.6791195422534</v>
      </c>
      <c r="E82" s="218">
        <f t="shared" si="18"/>
        <v>8.1249999999999864E-2</v>
      </c>
    </row>
    <row r="83" spans="2:5" x14ac:dyDescent="0.35">
      <c r="B83" s="232"/>
      <c r="C83" s="247">
        <f t="shared" si="16"/>
        <v>4.9999999999999996E-2</v>
      </c>
      <c r="D83" s="244">
        <f t="shared" si="17"/>
        <v>2782.5748573536594</v>
      </c>
      <c r="E83" s="218">
        <f t="shared" si="18"/>
        <v>6.2499999999999861E-2</v>
      </c>
    </row>
    <row r="84" spans="2:5" x14ac:dyDescent="0.35">
      <c r="B84" s="232"/>
      <c r="C84" s="247">
        <f t="shared" si="16"/>
        <v>5.4999999999999993E-2</v>
      </c>
      <c r="D84" s="244">
        <f t="shared" si="17"/>
        <v>2733.4705951650653</v>
      </c>
      <c r="E84" s="218">
        <f t="shared" si="18"/>
        <v>4.3749999999999852E-2</v>
      </c>
    </row>
    <row r="85" spans="2:5" x14ac:dyDescent="0.35">
      <c r="B85" s="232"/>
      <c r="C85" s="247">
        <f t="shared" si="16"/>
        <v>5.9999999999999991E-2</v>
      </c>
      <c r="D85" s="244">
        <f t="shared" si="17"/>
        <v>2684.3663329764718</v>
      </c>
      <c r="E85" s="218">
        <f t="shared" si="18"/>
        <v>2.5000000000000012E-2</v>
      </c>
    </row>
    <row r="86" spans="2:5" x14ac:dyDescent="0.35">
      <c r="B86" s="232"/>
      <c r="C86" s="247">
        <f t="shared" si="16"/>
        <v>6.4999999999999988E-2</v>
      </c>
      <c r="D86" s="244">
        <f t="shared" si="17"/>
        <v>2635.2620707878777</v>
      </c>
      <c r="E86" s="218">
        <f t="shared" si="18"/>
        <v>6.2500000000000029E-3</v>
      </c>
    </row>
    <row r="87" spans="2:5" x14ac:dyDescent="0.35">
      <c r="B87" s="232"/>
      <c r="C87" s="247">
        <f t="shared" si="16"/>
        <v>6.9999999999999993E-2</v>
      </c>
      <c r="D87" s="244">
        <f t="shared" si="17"/>
        <v>2586.1578085992837</v>
      </c>
      <c r="E87" s="218">
        <f t="shared" si="18"/>
        <v>-1.2500000000000006E-2</v>
      </c>
    </row>
    <row r="88" spans="2:5" x14ac:dyDescent="0.35">
      <c r="B88" s="232"/>
      <c r="C88" s="247">
        <f t="shared" si="16"/>
        <v>7.4999999999999997E-2</v>
      </c>
      <c r="D88" s="244">
        <f t="shared" si="17"/>
        <v>2537.0535464106897</v>
      </c>
      <c r="E88" s="218">
        <f t="shared" si="18"/>
        <v>-3.1250000000000014E-2</v>
      </c>
    </row>
    <row r="89" spans="2:5" x14ac:dyDescent="0.35">
      <c r="B89" s="232"/>
      <c r="C89" s="247">
        <f t="shared" si="16"/>
        <v>0.08</v>
      </c>
      <c r="D89" s="244">
        <f t="shared" si="17"/>
        <v>2487.9492842220957</v>
      </c>
      <c r="E89" s="218">
        <f t="shared" si="18"/>
        <v>-5.0000000000000024E-2</v>
      </c>
    </row>
    <row r="90" spans="2:5" x14ac:dyDescent="0.35">
      <c r="B90" s="232"/>
      <c r="C90" s="247">
        <f t="shared" si="16"/>
        <v>8.5000000000000006E-2</v>
      </c>
      <c r="D90" s="244">
        <f t="shared" si="17"/>
        <v>2438.8450220335017</v>
      </c>
      <c r="E90" s="218">
        <f t="shared" si="18"/>
        <v>-6.8750000000000033E-2</v>
      </c>
    </row>
    <row r="91" spans="2:5" x14ac:dyDescent="0.35">
      <c r="B91" s="232"/>
      <c r="C91" s="247">
        <f t="shared" si="16"/>
        <v>9.0000000000000011E-2</v>
      </c>
      <c r="D91" s="244">
        <f t="shared" si="17"/>
        <v>2389.7407598449076</v>
      </c>
      <c r="E91" s="218">
        <f t="shared" si="18"/>
        <v>-8.750000000000005E-2</v>
      </c>
    </row>
    <row r="92" spans="2:5" x14ac:dyDescent="0.35">
      <c r="B92" s="232"/>
      <c r="C92" s="247">
        <f t="shared" si="16"/>
        <v>9.5000000000000015E-2</v>
      </c>
      <c r="D92" s="244">
        <f t="shared" si="17"/>
        <v>2340.6364976563136</v>
      </c>
      <c r="E92" s="218">
        <f t="shared" si="18"/>
        <v>-0.10625000000000005</v>
      </c>
    </row>
    <row r="93" spans="2:5" x14ac:dyDescent="0.35">
      <c r="B93" s="232"/>
      <c r="C93" s="248">
        <f t="shared" si="16"/>
        <v>0.10000000000000002</v>
      </c>
      <c r="D93" s="244">
        <f t="shared" si="17"/>
        <v>2291.5322354677196</v>
      </c>
      <c r="E93" s="218">
        <f t="shared" si="18"/>
        <v>-0.12500000000000006</v>
      </c>
    </row>
    <row r="94" spans="2:5" x14ac:dyDescent="0.35">
      <c r="B94" s="230">
        <v>65</v>
      </c>
      <c r="C94" s="247">
        <f t="shared" si="16"/>
        <v>0.01</v>
      </c>
      <c r="D94" s="243">
        <f t="shared" ref="D94:D112" si="19">$F$4*(1+$D$4)^($B$94-$C$33)*(1-C94*($H$33-$B$94))</f>
        <v>3304.3894835444517</v>
      </c>
      <c r="E94" s="215">
        <f t="shared" ref="E94:E112" si="20">(D94-$F$34)/$F$34</f>
        <v>0.13076923076923075</v>
      </c>
    </row>
    <row r="95" spans="2:5" x14ac:dyDescent="0.35">
      <c r="B95" s="232"/>
      <c r="C95" s="247">
        <f t="shared" si="16"/>
        <v>1.4999999999999999E-2</v>
      </c>
      <c r="D95" s="244">
        <f t="shared" si="19"/>
        <v>3270.6712235082837</v>
      </c>
      <c r="E95" s="218">
        <f t="shared" si="20"/>
        <v>0.11923076923076917</v>
      </c>
    </row>
    <row r="96" spans="2:5" x14ac:dyDescent="0.35">
      <c r="B96" s="232"/>
      <c r="C96" s="247">
        <f t="shared" si="16"/>
        <v>0.02</v>
      </c>
      <c r="D96" s="244">
        <f t="shared" si="19"/>
        <v>3236.9529634721162</v>
      </c>
      <c r="E96" s="218">
        <f t="shared" si="20"/>
        <v>0.10769230769230775</v>
      </c>
    </row>
    <row r="97" spans="2:5" x14ac:dyDescent="0.35">
      <c r="B97" s="232"/>
      <c r="C97" s="247">
        <f t="shared" si="16"/>
        <v>2.5000000000000001E-2</v>
      </c>
      <c r="D97" s="244">
        <f t="shared" si="19"/>
        <v>3203.2347034359482</v>
      </c>
      <c r="E97" s="218">
        <f t="shared" si="20"/>
        <v>9.6153846153846187E-2</v>
      </c>
    </row>
    <row r="98" spans="2:5" x14ac:dyDescent="0.35">
      <c r="B98" s="232"/>
      <c r="C98" s="247">
        <f t="shared" si="16"/>
        <v>3.0000000000000002E-2</v>
      </c>
      <c r="D98" s="244">
        <f t="shared" si="19"/>
        <v>3169.5164433997802</v>
      </c>
      <c r="E98" s="218">
        <f t="shared" si="20"/>
        <v>8.4615384615384606E-2</v>
      </c>
    </row>
    <row r="99" spans="2:5" x14ac:dyDescent="0.35">
      <c r="B99" s="232"/>
      <c r="C99" s="247">
        <f t="shared" si="16"/>
        <v>3.5000000000000003E-2</v>
      </c>
      <c r="D99" s="244">
        <f t="shared" si="19"/>
        <v>3135.7981833636122</v>
      </c>
      <c r="E99" s="218">
        <f t="shared" si="20"/>
        <v>7.3076923076923039E-2</v>
      </c>
    </row>
    <row r="100" spans="2:5" x14ac:dyDescent="0.35">
      <c r="B100" s="232"/>
      <c r="C100" s="247">
        <f t="shared" si="16"/>
        <v>0.04</v>
      </c>
      <c r="D100" s="244">
        <f t="shared" si="19"/>
        <v>3102.0799233274447</v>
      </c>
      <c r="E100" s="218">
        <f t="shared" si="20"/>
        <v>6.1538461538461618E-2</v>
      </c>
    </row>
    <row r="101" spans="2:5" x14ac:dyDescent="0.35">
      <c r="B101" s="232"/>
      <c r="C101" s="247">
        <f t="shared" si="16"/>
        <v>4.4999999999999998E-2</v>
      </c>
      <c r="D101" s="244">
        <f t="shared" si="19"/>
        <v>3068.3616632912767</v>
      </c>
      <c r="E101" s="218">
        <f t="shared" si="20"/>
        <v>5.0000000000000044E-2</v>
      </c>
    </row>
    <row r="102" spans="2:5" x14ac:dyDescent="0.35">
      <c r="B102" s="232"/>
      <c r="C102" s="247">
        <f t="shared" si="16"/>
        <v>4.9999999999999996E-2</v>
      </c>
      <c r="D102" s="244">
        <f t="shared" si="19"/>
        <v>3034.6434032551088</v>
      </c>
      <c r="E102" s="218">
        <f t="shared" si="20"/>
        <v>3.8461538461538471E-2</v>
      </c>
    </row>
    <row r="103" spans="2:5" x14ac:dyDescent="0.35">
      <c r="B103" s="232"/>
      <c r="C103" s="247">
        <f t="shared" si="16"/>
        <v>5.4999999999999993E-2</v>
      </c>
      <c r="D103" s="244">
        <f t="shared" si="19"/>
        <v>3000.9251432189412</v>
      </c>
      <c r="E103" s="218">
        <f t="shared" si="20"/>
        <v>2.6923076923077056E-2</v>
      </c>
    </row>
    <row r="104" spans="2:5" x14ac:dyDescent="0.35">
      <c r="B104" s="232"/>
      <c r="C104" s="247">
        <f t="shared" si="16"/>
        <v>5.9999999999999991E-2</v>
      </c>
      <c r="D104" s="244">
        <f t="shared" si="19"/>
        <v>2967.2068831827733</v>
      </c>
      <c r="E104" s="218">
        <f t="shared" si="20"/>
        <v>1.5384615384615483E-2</v>
      </c>
    </row>
    <row r="105" spans="2:5" x14ac:dyDescent="0.35">
      <c r="B105" s="232"/>
      <c r="C105" s="247">
        <f t="shared" si="16"/>
        <v>6.4999999999999988E-2</v>
      </c>
      <c r="D105" s="244">
        <f t="shared" si="19"/>
        <v>2933.4886231466053</v>
      </c>
      <c r="E105" s="218">
        <f t="shared" si="20"/>
        <v>3.8461538461539097E-3</v>
      </c>
    </row>
    <row r="106" spans="2:5" x14ac:dyDescent="0.35">
      <c r="B106" s="232"/>
      <c r="C106" s="247">
        <f t="shared" si="16"/>
        <v>6.9999999999999993E-2</v>
      </c>
      <c r="D106" s="244">
        <f t="shared" si="19"/>
        <v>2899.7703631104373</v>
      </c>
      <c r="E106" s="218">
        <f t="shared" si="20"/>
        <v>-7.6923076923076632E-3</v>
      </c>
    </row>
    <row r="107" spans="2:5" x14ac:dyDescent="0.35">
      <c r="B107" s="232"/>
      <c r="C107" s="247">
        <f t="shared" si="16"/>
        <v>7.4999999999999997E-2</v>
      </c>
      <c r="D107" s="244">
        <f t="shared" si="19"/>
        <v>2866.0521030742693</v>
      </c>
      <c r="E107" s="218">
        <f t="shared" si="20"/>
        <v>-1.9230769230769235E-2</v>
      </c>
    </row>
    <row r="108" spans="2:5" x14ac:dyDescent="0.35">
      <c r="B108" s="232"/>
      <c r="C108" s="247">
        <f t="shared" si="16"/>
        <v>0.08</v>
      </c>
      <c r="D108" s="244">
        <f t="shared" si="19"/>
        <v>2832.3338430381013</v>
      </c>
      <c r="E108" s="218">
        <f t="shared" si="20"/>
        <v>-3.0769230769230809E-2</v>
      </c>
    </row>
    <row r="109" spans="2:5" x14ac:dyDescent="0.35">
      <c r="B109" s="232"/>
      <c r="C109" s="247">
        <f t="shared" si="16"/>
        <v>8.5000000000000006E-2</v>
      </c>
      <c r="D109" s="244">
        <f t="shared" si="19"/>
        <v>2798.6155830019334</v>
      </c>
      <c r="E109" s="218">
        <f t="shared" si="20"/>
        <v>-4.2307692307692386E-2</v>
      </c>
    </row>
    <row r="110" spans="2:5" x14ac:dyDescent="0.35">
      <c r="B110" s="232"/>
      <c r="C110" s="247">
        <f t="shared" si="16"/>
        <v>9.0000000000000011E-2</v>
      </c>
      <c r="D110" s="244">
        <f t="shared" si="19"/>
        <v>2764.8973229657659</v>
      </c>
      <c r="E110" s="218">
        <f t="shared" si="20"/>
        <v>-5.3846153846153801E-2</v>
      </c>
    </row>
    <row r="111" spans="2:5" x14ac:dyDescent="0.35">
      <c r="B111" s="232"/>
      <c r="C111" s="247">
        <f t="shared" si="16"/>
        <v>9.5000000000000015E-2</v>
      </c>
      <c r="D111" s="244">
        <f t="shared" si="19"/>
        <v>2731.1790629295979</v>
      </c>
      <c r="E111" s="218">
        <f t="shared" si="20"/>
        <v>-6.5384615384615374E-2</v>
      </c>
    </row>
    <row r="112" spans="2:5" x14ac:dyDescent="0.35">
      <c r="B112" s="232"/>
      <c r="C112" s="248">
        <f t="shared" si="16"/>
        <v>0.10000000000000002</v>
      </c>
      <c r="D112" s="238">
        <f t="shared" si="19"/>
        <v>2697.4608028934299</v>
      </c>
      <c r="E112" s="218">
        <f t="shared" si="20"/>
        <v>-7.6923076923076941E-2</v>
      </c>
    </row>
    <row r="113" spans="2:5" x14ac:dyDescent="0.35">
      <c r="B113" s="230">
        <v>66</v>
      </c>
      <c r="C113" s="247">
        <f t="shared" si="16"/>
        <v>0.01</v>
      </c>
      <c r="D113" s="243">
        <f t="shared" ref="D113:D131" si="21">$F$4*(1+$D$4)^($B$113-$C$33)*(1-C113*($H$33-$B$113))</f>
        <v>3438.2509758880383</v>
      </c>
      <c r="E113" s="215">
        <f t="shared" ref="E113:E131" si="22">(D113-$G$34)/$G$34</f>
        <v>6.0714285714285693E-2</v>
      </c>
    </row>
    <row r="114" spans="2:5" x14ac:dyDescent="0.35">
      <c r="B114" s="232"/>
      <c r="C114" s="247">
        <f t="shared" si="16"/>
        <v>1.4999999999999999E-2</v>
      </c>
      <c r="D114" s="244">
        <f t="shared" si="21"/>
        <v>3420.8860719694117</v>
      </c>
      <c r="E114" s="218">
        <f t="shared" si="22"/>
        <v>5.5357142857142785E-2</v>
      </c>
    </row>
    <row r="115" spans="2:5" x14ac:dyDescent="0.35">
      <c r="B115" s="232"/>
      <c r="C115" s="247">
        <f t="shared" si="16"/>
        <v>0.02</v>
      </c>
      <c r="D115" s="244">
        <f t="shared" si="21"/>
        <v>3403.521168050785</v>
      </c>
      <c r="E115" s="218">
        <f t="shared" si="22"/>
        <v>4.9999999999999871E-2</v>
      </c>
    </row>
    <row r="116" spans="2:5" x14ac:dyDescent="0.35">
      <c r="B116" s="232"/>
      <c r="C116" s="247">
        <f t="shared" si="16"/>
        <v>2.5000000000000001E-2</v>
      </c>
      <c r="D116" s="244">
        <f t="shared" si="21"/>
        <v>3386.1562641321589</v>
      </c>
      <c r="E116" s="218">
        <f t="shared" si="22"/>
        <v>4.4642857142857102E-2</v>
      </c>
    </row>
    <row r="117" spans="2:5" x14ac:dyDescent="0.35">
      <c r="B117" s="232"/>
      <c r="C117" s="247">
        <f t="shared" si="16"/>
        <v>3.0000000000000002E-2</v>
      </c>
      <c r="D117" s="244">
        <f t="shared" si="21"/>
        <v>3368.7913602135322</v>
      </c>
      <c r="E117" s="218">
        <f t="shared" si="22"/>
        <v>3.9285714285714195E-2</v>
      </c>
    </row>
    <row r="118" spans="2:5" x14ac:dyDescent="0.35">
      <c r="B118" s="232"/>
      <c r="C118" s="247">
        <f t="shared" si="16"/>
        <v>3.5000000000000003E-2</v>
      </c>
      <c r="D118" s="244">
        <f t="shared" si="21"/>
        <v>3351.4264562949056</v>
      </c>
      <c r="E118" s="218">
        <f t="shared" si="22"/>
        <v>3.3928571428571287E-2</v>
      </c>
    </row>
    <row r="119" spans="2:5" x14ac:dyDescent="0.35">
      <c r="B119" s="232"/>
      <c r="C119" s="247">
        <f t="shared" si="16"/>
        <v>0.04</v>
      </c>
      <c r="D119" s="244">
        <f t="shared" si="21"/>
        <v>3334.0615523762795</v>
      </c>
      <c r="E119" s="218">
        <f t="shared" si="22"/>
        <v>2.8571428571428518E-2</v>
      </c>
    </row>
    <row r="120" spans="2:5" x14ac:dyDescent="0.35">
      <c r="B120" s="232"/>
      <c r="C120" s="247">
        <f t="shared" si="16"/>
        <v>4.4999999999999998E-2</v>
      </c>
      <c r="D120" s="244">
        <f t="shared" si="21"/>
        <v>3316.6966484576528</v>
      </c>
      <c r="E120" s="218">
        <f t="shared" si="22"/>
        <v>2.3214285714285611E-2</v>
      </c>
    </row>
    <row r="121" spans="2:5" x14ac:dyDescent="0.35">
      <c r="B121" s="232"/>
      <c r="C121" s="247">
        <f t="shared" ref="C121:C150" si="23">C102</f>
        <v>4.9999999999999996E-2</v>
      </c>
      <c r="D121" s="244">
        <f t="shared" si="21"/>
        <v>3299.3317445390262</v>
      </c>
      <c r="E121" s="218">
        <f t="shared" si="22"/>
        <v>1.7857142857142703E-2</v>
      </c>
    </row>
    <row r="122" spans="2:5" x14ac:dyDescent="0.35">
      <c r="B122" s="232"/>
      <c r="C122" s="247">
        <f t="shared" si="23"/>
        <v>5.4999999999999993E-2</v>
      </c>
      <c r="D122" s="244">
        <f t="shared" si="21"/>
        <v>3281.9668406204005</v>
      </c>
      <c r="E122" s="218">
        <f t="shared" si="22"/>
        <v>1.2500000000000074E-2</v>
      </c>
    </row>
    <row r="123" spans="2:5" x14ac:dyDescent="0.35">
      <c r="B123" s="232"/>
      <c r="C123" s="247">
        <f t="shared" si="23"/>
        <v>5.9999999999999991E-2</v>
      </c>
      <c r="D123" s="244">
        <f t="shared" si="21"/>
        <v>3264.6019367017739</v>
      </c>
      <c r="E123" s="218">
        <f t="shared" si="22"/>
        <v>7.1428571428571652E-3</v>
      </c>
    </row>
    <row r="124" spans="2:5" x14ac:dyDescent="0.35">
      <c r="B124" s="232"/>
      <c r="C124" s="247">
        <f t="shared" si="23"/>
        <v>6.4999999999999988E-2</v>
      </c>
      <c r="D124" s="244">
        <f t="shared" si="21"/>
        <v>3247.2370327831472</v>
      </c>
      <c r="E124" s="218">
        <f t="shared" si="22"/>
        <v>1.7857142857142562E-3</v>
      </c>
    </row>
    <row r="125" spans="2:5" x14ac:dyDescent="0.35">
      <c r="B125" s="232"/>
      <c r="C125" s="247">
        <f t="shared" si="23"/>
        <v>6.9999999999999993E-2</v>
      </c>
      <c r="D125" s="244">
        <f t="shared" si="21"/>
        <v>3229.8721288645211</v>
      </c>
      <c r="E125" s="218">
        <f t="shared" si="22"/>
        <v>-3.5714285714285123E-3</v>
      </c>
    </row>
    <row r="126" spans="2:5" x14ac:dyDescent="0.35">
      <c r="B126" s="232"/>
      <c r="C126" s="247">
        <f t="shared" si="23"/>
        <v>7.4999999999999997E-2</v>
      </c>
      <c r="D126" s="244">
        <f t="shared" si="21"/>
        <v>3212.5072249458944</v>
      </c>
      <c r="E126" s="218">
        <f t="shared" si="22"/>
        <v>-8.9285714285714211E-3</v>
      </c>
    </row>
    <row r="127" spans="2:5" x14ac:dyDescent="0.35">
      <c r="B127" s="232"/>
      <c r="C127" s="247">
        <f t="shared" si="23"/>
        <v>0.08</v>
      </c>
      <c r="D127" s="244">
        <f t="shared" si="21"/>
        <v>3195.1423210272678</v>
      </c>
      <c r="E127" s="218">
        <f t="shared" si="22"/>
        <v>-1.428571428571433E-2</v>
      </c>
    </row>
    <row r="128" spans="2:5" x14ac:dyDescent="0.35">
      <c r="B128" s="232"/>
      <c r="C128" s="247">
        <f t="shared" si="23"/>
        <v>8.5000000000000006E-2</v>
      </c>
      <c r="D128" s="244">
        <f t="shared" si="21"/>
        <v>3177.7774171086417</v>
      </c>
      <c r="E128" s="218">
        <f t="shared" si="22"/>
        <v>-1.9642857142857097E-2</v>
      </c>
    </row>
    <row r="129" spans="2:5" x14ac:dyDescent="0.35">
      <c r="B129" s="232"/>
      <c r="C129" s="247">
        <f t="shared" si="23"/>
        <v>9.0000000000000011E-2</v>
      </c>
      <c r="D129" s="244">
        <f t="shared" si="21"/>
        <v>3160.412513190015</v>
      </c>
      <c r="E129" s="218">
        <f t="shared" si="22"/>
        <v>-2.5000000000000008E-2</v>
      </c>
    </row>
    <row r="130" spans="2:5" x14ac:dyDescent="0.35">
      <c r="B130" s="232"/>
      <c r="C130" s="247">
        <f t="shared" si="23"/>
        <v>9.5000000000000015E-2</v>
      </c>
      <c r="D130" s="244">
        <f t="shared" si="21"/>
        <v>3143.0476092713884</v>
      </c>
      <c r="E130" s="218">
        <f t="shared" si="22"/>
        <v>-3.0357142857142916E-2</v>
      </c>
    </row>
    <row r="131" spans="2:5" x14ac:dyDescent="0.35">
      <c r="B131" s="232"/>
      <c r="C131" s="248">
        <f t="shared" si="23"/>
        <v>0.10000000000000002</v>
      </c>
      <c r="D131" s="244">
        <f t="shared" si="21"/>
        <v>3125.6827053527622</v>
      </c>
      <c r="E131" s="218">
        <f t="shared" si="22"/>
        <v>-3.5714285714285685E-2</v>
      </c>
    </row>
    <row r="132" spans="2:5" x14ac:dyDescent="0.35">
      <c r="B132" s="230">
        <v>67</v>
      </c>
      <c r="C132" s="247">
        <f t="shared" si="23"/>
        <v>0.01</v>
      </c>
      <c r="D132" s="243">
        <f t="shared" ref="D132:D150" si="24">$F$4*(1+$D$4)^($B$132-$C$33)*(1-C132*($H$33-$B$132))</f>
        <v>3577.1702072370495</v>
      </c>
      <c r="E132" s="215">
        <f t="shared" ref="E132:E150" si="25">(D132-$H$34)/$H$34</f>
        <v>0</v>
      </c>
    </row>
    <row r="133" spans="2:5" x14ac:dyDescent="0.35">
      <c r="B133" s="232"/>
      <c r="C133" s="247">
        <f t="shared" si="23"/>
        <v>1.4999999999999999E-2</v>
      </c>
      <c r="D133" s="244">
        <f t="shared" si="24"/>
        <v>3577.1702072370495</v>
      </c>
      <c r="E133" s="218">
        <f t="shared" si="25"/>
        <v>0</v>
      </c>
    </row>
    <row r="134" spans="2:5" x14ac:dyDescent="0.35">
      <c r="B134" s="232"/>
      <c r="C134" s="247">
        <f t="shared" si="23"/>
        <v>0.02</v>
      </c>
      <c r="D134" s="244">
        <f t="shared" si="24"/>
        <v>3577.1702072370495</v>
      </c>
      <c r="E134" s="218">
        <f t="shared" si="25"/>
        <v>0</v>
      </c>
    </row>
    <row r="135" spans="2:5" x14ac:dyDescent="0.35">
      <c r="B135" s="232"/>
      <c r="C135" s="247">
        <f t="shared" si="23"/>
        <v>2.5000000000000001E-2</v>
      </c>
      <c r="D135" s="244">
        <f t="shared" si="24"/>
        <v>3577.1702072370495</v>
      </c>
      <c r="E135" s="218">
        <f t="shared" si="25"/>
        <v>0</v>
      </c>
    </row>
    <row r="136" spans="2:5" x14ac:dyDescent="0.35">
      <c r="B136" s="232"/>
      <c r="C136" s="247">
        <f t="shared" si="23"/>
        <v>3.0000000000000002E-2</v>
      </c>
      <c r="D136" s="244">
        <f t="shared" si="24"/>
        <v>3577.1702072370495</v>
      </c>
      <c r="E136" s="218">
        <f t="shared" si="25"/>
        <v>0</v>
      </c>
    </row>
    <row r="137" spans="2:5" x14ac:dyDescent="0.35">
      <c r="B137" s="232"/>
      <c r="C137" s="247">
        <f t="shared" si="23"/>
        <v>3.5000000000000003E-2</v>
      </c>
      <c r="D137" s="244">
        <f t="shared" si="24"/>
        <v>3577.1702072370495</v>
      </c>
      <c r="E137" s="218">
        <f t="shared" si="25"/>
        <v>0</v>
      </c>
    </row>
    <row r="138" spans="2:5" x14ac:dyDescent="0.35">
      <c r="B138" s="232"/>
      <c r="C138" s="247">
        <f t="shared" si="23"/>
        <v>0.04</v>
      </c>
      <c r="D138" s="244">
        <f t="shared" si="24"/>
        <v>3577.1702072370495</v>
      </c>
      <c r="E138" s="218">
        <f t="shared" si="25"/>
        <v>0</v>
      </c>
    </row>
    <row r="139" spans="2:5" x14ac:dyDescent="0.35">
      <c r="B139" s="232"/>
      <c r="C139" s="247">
        <f t="shared" si="23"/>
        <v>4.4999999999999998E-2</v>
      </c>
      <c r="D139" s="244">
        <f t="shared" si="24"/>
        <v>3577.1702072370495</v>
      </c>
      <c r="E139" s="218">
        <f t="shared" si="25"/>
        <v>0</v>
      </c>
    </row>
    <row r="140" spans="2:5" x14ac:dyDescent="0.35">
      <c r="B140" s="232"/>
      <c r="C140" s="247">
        <f t="shared" si="23"/>
        <v>4.9999999999999996E-2</v>
      </c>
      <c r="D140" s="244">
        <f t="shared" si="24"/>
        <v>3577.1702072370495</v>
      </c>
      <c r="E140" s="218">
        <f t="shared" si="25"/>
        <v>0</v>
      </c>
    </row>
    <row r="141" spans="2:5" x14ac:dyDescent="0.35">
      <c r="B141" s="232"/>
      <c r="C141" s="247">
        <f t="shared" si="23"/>
        <v>5.4999999999999993E-2</v>
      </c>
      <c r="D141" s="244">
        <f t="shared" si="24"/>
        <v>3577.1702072370495</v>
      </c>
      <c r="E141" s="218">
        <f t="shared" si="25"/>
        <v>0</v>
      </c>
    </row>
    <row r="142" spans="2:5" x14ac:dyDescent="0.35">
      <c r="B142" s="232"/>
      <c r="C142" s="247">
        <f t="shared" si="23"/>
        <v>5.9999999999999991E-2</v>
      </c>
      <c r="D142" s="244">
        <f t="shared" si="24"/>
        <v>3577.1702072370495</v>
      </c>
      <c r="E142" s="218">
        <f t="shared" si="25"/>
        <v>0</v>
      </c>
    </row>
    <row r="143" spans="2:5" x14ac:dyDescent="0.35">
      <c r="B143" s="232"/>
      <c r="C143" s="247">
        <f t="shared" si="23"/>
        <v>6.4999999999999988E-2</v>
      </c>
      <c r="D143" s="244">
        <f t="shared" si="24"/>
        <v>3577.1702072370495</v>
      </c>
      <c r="E143" s="218">
        <f t="shared" si="25"/>
        <v>0</v>
      </c>
    </row>
    <row r="144" spans="2:5" x14ac:dyDescent="0.35">
      <c r="B144" s="232"/>
      <c r="C144" s="247">
        <f t="shared" si="23"/>
        <v>6.9999999999999993E-2</v>
      </c>
      <c r="D144" s="244">
        <f t="shared" si="24"/>
        <v>3577.1702072370495</v>
      </c>
      <c r="E144" s="218">
        <f t="shared" si="25"/>
        <v>0</v>
      </c>
    </row>
    <row r="145" spans="2:5" x14ac:dyDescent="0.35">
      <c r="B145" s="232"/>
      <c r="C145" s="247">
        <f t="shared" si="23"/>
        <v>7.4999999999999997E-2</v>
      </c>
      <c r="D145" s="244">
        <f t="shared" si="24"/>
        <v>3577.1702072370495</v>
      </c>
      <c r="E145" s="218">
        <f t="shared" si="25"/>
        <v>0</v>
      </c>
    </row>
    <row r="146" spans="2:5" x14ac:dyDescent="0.35">
      <c r="B146" s="232"/>
      <c r="C146" s="247">
        <f t="shared" si="23"/>
        <v>0.08</v>
      </c>
      <c r="D146" s="244">
        <f t="shared" si="24"/>
        <v>3577.1702072370495</v>
      </c>
      <c r="E146" s="218">
        <f t="shared" si="25"/>
        <v>0</v>
      </c>
    </row>
    <row r="147" spans="2:5" x14ac:dyDescent="0.35">
      <c r="B147" s="232"/>
      <c r="C147" s="247">
        <f t="shared" si="23"/>
        <v>8.5000000000000006E-2</v>
      </c>
      <c r="D147" s="244">
        <f t="shared" si="24"/>
        <v>3577.1702072370495</v>
      </c>
      <c r="E147" s="218">
        <f t="shared" si="25"/>
        <v>0</v>
      </c>
    </row>
    <row r="148" spans="2:5" x14ac:dyDescent="0.35">
      <c r="B148" s="232"/>
      <c r="C148" s="247">
        <f t="shared" si="23"/>
        <v>9.0000000000000011E-2</v>
      </c>
      <c r="D148" s="244">
        <f t="shared" si="24"/>
        <v>3577.1702072370495</v>
      </c>
      <c r="E148" s="218">
        <f t="shared" si="25"/>
        <v>0</v>
      </c>
    </row>
    <row r="149" spans="2:5" x14ac:dyDescent="0.35">
      <c r="B149" s="232"/>
      <c r="C149" s="247">
        <f t="shared" si="23"/>
        <v>9.5000000000000015E-2</v>
      </c>
      <c r="D149" s="244">
        <f t="shared" si="24"/>
        <v>3577.1702072370495</v>
      </c>
      <c r="E149" s="218">
        <f t="shared" si="25"/>
        <v>0</v>
      </c>
    </row>
    <row r="150" spans="2:5" x14ac:dyDescent="0.35">
      <c r="B150" s="231"/>
      <c r="C150" s="248">
        <f t="shared" si="23"/>
        <v>0.10000000000000002</v>
      </c>
      <c r="D150" s="238">
        <f t="shared" si="24"/>
        <v>3577.1702072370495</v>
      </c>
      <c r="E150" s="219">
        <f t="shared" si="25"/>
        <v>0</v>
      </c>
    </row>
  </sheetData>
  <autoFilter ref="B36:H150" xr:uid="{F802A6BB-730A-4750-A133-720687F0F8CC}"/>
  <mergeCells count="3">
    <mergeCell ref="B8:J8"/>
    <mergeCell ref="B32:H32"/>
    <mergeCell ref="B3:F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C3306-D8E6-4F38-BA70-A2157CED139E}">
  <sheetPr>
    <tabColor theme="9" tint="0.79998168889431442"/>
  </sheetPr>
  <dimension ref="A1:BG53"/>
  <sheetViews>
    <sheetView zoomScale="75" workbookViewId="0">
      <pane ySplit="1" topLeftCell="A2" activePane="bottomLeft" state="frozen"/>
      <selection pane="bottomLeft" activeCell="U7" sqref="U7"/>
    </sheetView>
  </sheetViews>
  <sheetFormatPr defaultRowHeight="14.5" x14ac:dyDescent="0.35"/>
  <cols>
    <col min="1" max="1" width="8.7265625" style="1"/>
    <col min="2" max="9" width="14.1796875" style="1" customWidth="1"/>
    <col min="10" max="10" width="14.1796875" style="90" customWidth="1"/>
    <col min="11" max="16" width="14.1796875" style="1" customWidth="1"/>
    <col min="17" max="17" width="14.1796875" style="90" customWidth="1"/>
    <col min="18" max="25" width="14.1796875" style="1" customWidth="1"/>
    <col min="26" max="26" width="14.1796875" style="90" customWidth="1"/>
    <col min="27" max="31" width="14.1796875" style="1" customWidth="1"/>
    <col min="32" max="32" width="15.7265625" style="1" customWidth="1"/>
    <col min="33" max="33" width="14.1796875" style="90" customWidth="1"/>
    <col min="34" max="47" width="14.1796875" style="1" customWidth="1"/>
    <col min="48" max="48" width="14.1796875" style="90" customWidth="1"/>
    <col min="49" max="57" width="14.1796875" style="1" customWidth="1"/>
    <col min="58" max="58" width="16.6328125" style="1" customWidth="1"/>
    <col min="59" max="59" width="14.1796875" style="90" customWidth="1"/>
    <col min="60" max="16384" width="8.7265625" style="1"/>
  </cols>
  <sheetData>
    <row r="1" spans="1:57" x14ac:dyDescent="0.35">
      <c r="A1" s="56" t="s">
        <v>330</v>
      </c>
      <c r="D1" s="185"/>
    </row>
    <row r="2" spans="1:57" x14ac:dyDescent="0.35">
      <c r="A2" s="1" t="s">
        <v>453</v>
      </c>
      <c r="F2" s="353" t="s">
        <v>322</v>
      </c>
      <c r="G2" s="357">
        <f>1962+62</f>
        <v>2024</v>
      </c>
      <c r="H2" s="358"/>
    </row>
    <row r="3" spans="1:57" x14ac:dyDescent="0.35">
      <c r="A3" s="90" t="s">
        <v>353</v>
      </c>
      <c r="F3" s="336" t="s">
        <v>324</v>
      </c>
      <c r="G3" s="359">
        <f>VLOOKUP(G2,BP_table,2,1)</f>
        <v>1086.3616</v>
      </c>
      <c r="H3" s="338">
        <f>VLOOKUP(G2,BP_table,3,1)</f>
        <v>6547.8747999999996</v>
      </c>
      <c r="J3" s="90" t="s">
        <v>354</v>
      </c>
      <c r="Q3" s="90" t="s">
        <v>355</v>
      </c>
      <c r="Z3" s="90" t="s">
        <v>458</v>
      </c>
      <c r="AG3" s="90" t="s">
        <v>460</v>
      </c>
      <c r="AV3" s="90" t="s">
        <v>457</v>
      </c>
    </row>
    <row r="4" spans="1:57" x14ac:dyDescent="0.35">
      <c r="M4" s="353" t="s">
        <v>122</v>
      </c>
      <c r="N4" s="360">
        <f>ROUNDDOWN(AVERAGE(O11:O45)/12,1)</f>
        <v>4998.8</v>
      </c>
      <c r="T4" s="353" t="s">
        <v>122</v>
      </c>
      <c r="U4" s="360">
        <f>ROUNDDOWN(AVERAGE(X11:X45)/12,1)</f>
        <v>9051.5</v>
      </c>
      <c r="BD4" s="353" t="s">
        <v>410</v>
      </c>
      <c r="BE4" s="358"/>
    </row>
    <row r="5" spans="1:57" x14ac:dyDescent="0.35">
      <c r="F5" s="353" t="s">
        <v>122</v>
      </c>
      <c r="G5" s="354">
        <f>ROUNDDOWN(AVERAGE(H11:H45)/12,1)</f>
        <v>8949.7999999999993</v>
      </c>
      <c r="M5" s="333" t="s">
        <v>123</v>
      </c>
      <c r="N5" s="335">
        <f>0.9*G3+0.32*(H3-G3)+0.15*MAX(0,N4-H3)</f>
        <v>2725.4096639999998</v>
      </c>
      <c r="T5" s="333" t="s">
        <v>123</v>
      </c>
      <c r="U5" s="335">
        <f>0.9*G3+0.32*(H3-G3)+0.15*MAX(0,U4-H3)</f>
        <v>3100.9534439999998</v>
      </c>
      <c r="AC5" s="353" t="s">
        <v>122</v>
      </c>
      <c r="AD5" s="360" cm="1">
        <f t="array" ref="AD5">ROUNDDOWN(AVERAGE((AC11:AC45)/12),1)</f>
        <v>4998.8</v>
      </c>
      <c r="AE5" s="56" t="s">
        <v>454</v>
      </c>
      <c r="AM5" s="353" t="s">
        <v>122</v>
      </c>
      <c r="AN5" s="484">
        <f>ROUNDDOWN(AVERAGE(AO11:AO45)/12,1)</f>
        <v>8966.7999999999993</v>
      </c>
      <c r="AQ5" s="353" t="s">
        <v>398</v>
      </c>
      <c r="AR5" s="357"/>
      <c r="AS5" s="357" t="s">
        <v>255</v>
      </c>
      <c r="AT5" s="358" t="s">
        <v>401</v>
      </c>
      <c r="BA5" s="353" t="s">
        <v>122</v>
      </c>
      <c r="BB5" s="484">
        <f>ROUNDDOWN(AVERAGE(BD11:BD45)/12,1)</f>
        <v>8517</v>
      </c>
      <c r="BD5" s="333" t="s">
        <v>372</v>
      </c>
      <c r="BE5" s="355">
        <f>G7*12*appendix!AE72</f>
        <v>619953.77853856655</v>
      </c>
    </row>
    <row r="6" spans="1:57" x14ac:dyDescent="0.35">
      <c r="F6" s="333" t="s">
        <v>123</v>
      </c>
      <c r="G6" s="355">
        <f>0.9*(G3)+0.32*(H3-G3)+0.15*MAX(0,G5-H3)</f>
        <v>3085.6984439999997</v>
      </c>
      <c r="M6" s="336" t="s">
        <v>95</v>
      </c>
      <c r="N6" s="337">
        <f>N5*1.03^5</f>
        <v>3159.4967653218732</v>
      </c>
      <c r="T6" s="336" t="s">
        <v>95</v>
      </c>
      <c r="U6" s="337">
        <f>U5*1.03^5</f>
        <v>3594.8549332404959</v>
      </c>
      <c r="AC6" s="333" t="s">
        <v>123</v>
      </c>
      <c r="AD6" s="335">
        <f>0.9*$G$3+0.32*($H$3-$G$3)+0.15*MAX(0,AD5-$H$3)</f>
        <v>2725.4096639999998</v>
      </c>
      <c r="AE6" s="56" t="s">
        <v>456</v>
      </c>
      <c r="AM6" s="333" t="s">
        <v>394</v>
      </c>
      <c r="AN6" s="335">
        <f>0.9*G3+0.32*($H$3-$G$3)+0.15*MAX(0,AN5-$H$3)</f>
        <v>3088.2484439999998</v>
      </c>
      <c r="AQ6" s="333" t="s">
        <v>400</v>
      </c>
      <c r="AR6" s="492"/>
      <c r="AS6" s="334">
        <f>AN7</f>
        <v>3580.1263561265146</v>
      </c>
      <c r="AT6" s="355">
        <f>AS6*12*VLOOKUP(67,appendix!$X$5:$AE$125,8,1)</f>
        <v>620466.104082998</v>
      </c>
      <c r="BA6" s="333" t="s">
        <v>394</v>
      </c>
      <c r="BB6" s="335">
        <f>0.9*$G$3+0.32*($H$3-$G$3)+0.15*MAX(0,BB5-$H$3)</f>
        <v>3020.778444</v>
      </c>
      <c r="BD6" s="333" t="s">
        <v>377</v>
      </c>
      <c r="BE6" s="355">
        <f>BB7*12*appendix!AE72</f>
        <v>606910.57291327848</v>
      </c>
    </row>
    <row r="7" spans="1:57" x14ac:dyDescent="0.35">
      <c r="F7" s="336" t="s">
        <v>95</v>
      </c>
      <c r="G7" s="356">
        <f>G6*1.03^5</f>
        <v>3577.1702072370495</v>
      </c>
      <c r="M7" s="361" t="s">
        <v>213</v>
      </c>
      <c r="N7" s="362">
        <f>(N6-G7)/G7</f>
        <v>-0.11676085221501961</v>
      </c>
      <c r="T7" s="361" t="s">
        <v>213</v>
      </c>
      <c r="U7" s="362">
        <f>(U6-G7)/G7</f>
        <v>4.943775380793494E-3</v>
      </c>
      <c r="AC7" s="336" t="s">
        <v>95</v>
      </c>
      <c r="AD7" s="337">
        <f>AD6*1.03^5</f>
        <v>3159.4967653218732</v>
      </c>
      <c r="AE7" s="56" t="s">
        <v>455</v>
      </c>
      <c r="AM7" s="333" t="s">
        <v>95</v>
      </c>
      <c r="AN7" s="335">
        <f>AN6*1.03^5</f>
        <v>3580.1263561265146</v>
      </c>
      <c r="AQ7" s="333" t="s">
        <v>399</v>
      </c>
      <c r="AR7" s="492"/>
      <c r="AS7" s="334">
        <f>ss_calc!N6</f>
        <v>3577.1702072370495</v>
      </c>
      <c r="AT7" s="355">
        <f>AS7*12*VLOOKUP(67,appendix!$X$5:$AE$125,8,1)</f>
        <v>619953.77853856655</v>
      </c>
      <c r="BA7" s="333" t="s">
        <v>95</v>
      </c>
      <c r="BB7" s="335">
        <f>BB6*1.03^5</f>
        <v>3501.9101343334942</v>
      </c>
      <c r="BD7" s="336"/>
      <c r="BE7" s="527">
        <f>BE5-BE6</f>
        <v>13043.205625288072</v>
      </c>
    </row>
    <row r="8" spans="1:57" x14ac:dyDescent="0.35">
      <c r="A8" s="327" t="s">
        <v>260</v>
      </c>
      <c r="B8" s="328"/>
      <c r="F8" s="1" t="s">
        <v>326</v>
      </c>
      <c r="J8" s="327" t="s">
        <v>327</v>
      </c>
      <c r="K8" s="328"/>
      <c r="L8" s="1" t="s">
        <v>352</v>
      </c>
      <c r="Q8" s="327" t="s">
        <v>329</v>
      </c>
      <c r="R8" s="328"/>
      <c r="Z8" s="327" t="s">
        <v>395</v>
      </c>
      <c r="AA8" s="328"/>
      <c r="AC8" s="361" t="s">
        <v>213</v>
      </c>
      <c r="AD8" s="362">
        <f>(AD7-$G$7)/$G$7</f>
        <v>-0.11676085221501961</v>
      </c>
      <c r="AE8" s="5" t="s">
        <v>459</v>
      </c>
      <c r="AG8" s="327" t="s">
        <v>397</v>
      </c>
      <c r="AH8" s="328"/>
      <c r="AJ8" s="1" t="s">
        <v>391</v>
      </c>
      <c r="AM8" s="361" t="s">
        <v>213</v>
      </c>
      <c r="AN8" s="362">
        <f>(AN7-$G$7)/$G$7</f>
        <v>8.2639313149943604E-4</v>
      </c>
      <c r="AO8" s="56" t="s">
        <v>461</v>
      </c>
      <c r="AQ8" s="333"/>
      <c r="AR8" s="492"/>
      <c r="AS8" s="493" t="s">
        <v>402</v>
      </c>
      <c r="AT8" s="494">
        <f>AT6-AT7</f>
        <v>512.32554443145636</v>
      </c>
      <c r="AV8" s="327" t="s">
        <v>407</v>
      </c>
      <c r="AW8" s="498"/>
      <c r="AX8" s="498"/>
      <c r="AY8" s="328"/>
      <c r="BA8" s="361" t="s">
        <v>213</v>
      </c>
      <c r="BB8" s="362">
        <f>(BB7-$G$7)/$G$7</f>
        <v>-2.1038996900761116E-2</v>
      </c>
      <c r="BC8" s="56" t="s">
        <v>409</v>
      </c>
    </row>
    <row r="9" spans="1:57" x14ac:dyDescent="0.35">
      <c r="C9" s="184"/>
      <c r="AM9" s="184"/>
      <c r="AQ9" s="336"/>
      <c r="AR9" s="495"/>
      <c r="AS9" s="496" t="s">
        <v>213</v>
      </c>
      <c r="AT9" s="497">
        <f>(AT6-AT7)/AT7</f>
        <v>8.2639313149953687E-4</v>
      </c>
    </row>
    <row r="10" spans="1:57" x14ac:dyDescent="0.35">
      <c r="B10" s="329" t="s">
        <v>3</v>
      </c>
      <c r="C10" s="330" t="s">
        <v>6</v>
      </c>
      <c r="D10" s="331" t="s">
        <v>4</v>
      </c>
      <c r="E10" s="330" t="s">
        <v>27</v>
      </c>
      <c r="F10" s="331" t="s">
        <v>89</v>
      </c>
      <c r="G10" s="330" t="s">
        <v>90</v>
      </c>
      <c r="H10" s="332" t="s">
        <v>320</v>
      </c>
      <c r="K10" s="329" t="s">
        <v>6</v>
      </c>
      <c r="L10" s="330" t="s">
        <v>4</v>
      </c>
      <c r="M10" s="331" t="s">
        <v>23</v>
      </c>
      <c r="N10" s="330" t="s">
        <v>88</v>
      </c>
      <c r="O10" s="332" t="s">
        <v>320</v>
      </c>
      <c r="R10" s="329" t="s">
        <v>6</v>
      </c>
      <c r="S10" s="330" t="s">
        <v>4</v>
      </c>
      <c r="T10" s="331" t="s">
        <v>23</v>
      </c>
      <c r="U10" s="330" t="s">
        <v>88</v>
      </c>
      <c r="V10" s="331" t="s">
        <v>89</v>
      </c>
      <c r="W10" s="330" t="s">
        <v>328</v>
      </c>
      <c r="X10" s="332" t="s">
        <v>320</v>
      </c>
      <c r="AA10" s="329" t="s">
        <v>6</v>
      </c>
      <c r="AB10" s="330" t="s">
        <v>4</v>
      </c>
      <c r="AC10" s="332" t="s">
        <v>320</v>
      </c>
      <c r="AH10" s="329" t="str">
        <f>AA10</f>
        <v>Num</v>
      </c>
      <c r="AI10" s="330" t="str">
        <f>AB10</f>
        <v>Pay</v>
      </c>
      <c r="AJ10" s="331" t="str">
        <f>T10</f>
        <v>TWB</v>
      </c>
      <c r="AK10" s="330" t="str">
        <f>U10</f>
        <v>Capped Pay</v>
      </c>
      <c r="AL10" s="331" t="s">
        <v>27</v>
      </c>
      <c r="AM10" s="330" t="str">
        <f>V10</f>
        <v>Index Factor</v>
      </c>
      <c r="AN10" s="331" t="str">
        <f t="shared" ref="AN10:AO10" si="0">W10</f>
        <v>Indexed Earnings</v>
      </c>
      <c r="AO10" s="330" t="str">
        <f t="shared" si="0"/>
        <v>Rank H-L</v>
      </c>
      <c r="AQ10" s="1" t="s">
        <v>403</v>
      </c>
      <c r="AW10" s="329" t="str">
        <f>AH10</f>
        <v>Num</v>
      </c>
      <c r="AX10" s="330" t="str">
        <f t="shared" ref="AX10:BC10" si="1">AI10</f>
        <v>Pay</v>
      </c>
      <c r="AY10" s="331" t="str">
        <f t="shared" si="1"/>
        <v>TWB</v>
      </c>
      <c r="AZ10" s="330" t="str">
        <f t="shared" si="1"/>
        <v>Capped Pay</v>
      </c>
      <c r="BA10" s="331" t="str">
        <f t="shared" si="1"/>
        <v>NAWI</v>
      </c>
      <c r="BB10" s="330" t="str">
        <f t="shared" si="1"/>
        <v>Index Factor</v>
      </c>
      <c r="BC10" s="330" t="str">
        <f t="shared" si="1"/>
        <v>Indexed Earnings</v>
      </c>
      <c r="BD10" s="332" t="str">
        <f>AO10</f>
        <v>Rank H-L</v>
      </c>
    </row>
    <row r="11" spans="1:57" x14ac:dyDescent="0.35">
      <c r="B11" s="339">
        <v>22</v>
      </c>
      <c r="C11" s="340">
        <v>1</v>
      </c>
      <c r="D11" s="341">
        <f>ss_calc!E4</f>
        <v>35000</v>
      </c>
      <c r="E11" s="342">
        <f>ss_calc!G4</f>
        <v>16135.07</v>
      </c>
      <c r="F11" s="343">
        <f>ss_calc!I4</f>
        <v>3.657646464502478</v>
      </c>
      <c r="G11" s="344">
        <f>ss_calc!J4</f>
        <v>128017.62625758673</v>
      </c>
      <c r="H11" s="345">
        <v>128017.62625758673</v>
      </c>
      <c r="K11" s="339">
        <f t="shared" ref="K11:K52" si="2">C11</f>
        <v>1</v>
      </c>
      <c r="L11" s="342">
        <f t="shared" ref="L11:L52" si="3">D11</f>
        <v>35000</v>
      </c>
      <c r="M11" s="341">
        <f>ss_calc!F4</f>
        <v>37800</v>
      </c>
      <c r="N11" s="342">
        <f>MIN(L11,M11)</f>
        <v>35000</v>
      </c>
      <c r="O11" s="345">
        <v>87927.583018845515</v>
      </c>
      <c r="R11" s="339">
        <f>K11</f>
        <v>1</v>
      </c>
      <c r="S11" s="342">
        <f>L11</f>
        <v>35000</v>
      </c>
      <c r="T11" s="341">
        <f>M11</f>
        <v>37800</v>
      </c>
      <c r="U11" s="342">
        <f>N11</f>
        <v>35000</v>
      </c>
      <c r="V11" s="363">
        <f t="shared" ref="V11:V49" si="4">$T$49/T11</f>
        <v>3.8647071428571427</v>
      </c>
      <c r="W11" s="342">
        <f>U11*V11</f>
        <v>135264.75</v>
      </c>
      <c r="X11" s="345">
        <v>135264.75</v>
      </c>
      <c r="AA11" s="339">
        <f>R11</f>
        <v>1</v>
      </c>
      <c r="AB11" s="342">
        <f>U11</f>
        <v>35000</v>
      </c>
      <c r="AC11" s="345">
        <v>87927.583018845515</v>
      </c>
      <c r="AH11" s="339">
        <f t="shared" ref="AH11:AH45" si="5">AA11</f>
        <v>1</v>
      </c>
      <c r="AI11" s="342">
        <f>AB11</f>
        <v>35000</v>
      </c>
      <c r="AJ11" s="485">
        <f>M11</f>
        <v>37800</v>
      </c>
      <c r="AK11" s="342">
        <f>MIN(AI11,AJ11)</f>
        <v>35000</v>
      </c>
      <c r="AL11" s="341">
        <f>ss_calc!G4</f>
        <v>16135.07</v>
      </c>
      <c r="AM11" s="487">
        <f>$E$49/AL11</f>
        <v>3.657646464502478</v>
      </c>
      <c r="AN11" s="341">
        <f>AK11*AM11</f>
        <v>128017.62625758673</v>
      </c>
      <c r="AO11" s="344">
        <v>128017.62625758673</v>
      </c>
      <c r="AQ11" s="1" t="s">
        <v>404</v>
      </c>
      <c r="AW11" s="339">
        <f>AH11</f>
        <v>1</v>
      </c>
      <c r="AX11" s="342">
        <f t="shared" ref="AX11:AX42" si="6">D11</f>
        <v>35000</v>
      </c>
      <c r="AY11" s="341">
        <f>AJ11</f>
        <v>37800</v>
      </c>
      <c r="AZ11" s="342">
        <f>MIN(AX11,AY11)</f>
        <v>35000</v>
      </c>
      <c r="BA11" s="341">
        <f>AL11</f>
        <v>16135.07</v>
      </c>
      <c r="BB11" s="487">
        <f>$E$49/BA11</f>
        <v>3.657646464502478</v>
      </c>
      <c r="BC11" s="342">
        <f>AZ11*BB11</f>
        <v>128017.62625758673</v>
      </c>
      <c r="BD11" s="345">
        <v>128017.62625758673</v>
      </c>
    </row>
    <row r="12" spans="1:57" x14ac:dyDescent="0.35">
      <c r="B12" s="339">
        <f>B11+1</f>
        <v>23</v>
      </c>
      <c r="C12" s="340">
        <f>C11+1</f>
        <v>2</v>
      </c>
      <c r="D12" s="341">
        <f>ss_calc!E5</f>
        <v>36225</v>
      </c>
      <c r="E12" s="342">
        <f>ss_calc!G5</f>
        <v>16822.509999999998</v>
      </c>
      <c r="F12" s="343">
        <f>ss_calc!I5</f>
        <v>3.5081793228240019</v>
      </c>
      <c r="G12" s="344">
        <f>ss_calc!J5</f>
        <v>127083.79596929946</v>
      </c>
      <c r="H12" s="345">
        <v>127123.15919386329</v>
      </c>
      <c r="K12" s="339">
        <f t="shared" si="2"/>
        <v>2</v>
      </c>
      <c r="L12" s="342">
        <f t="shared" si="3"/>
        <v>36225</v>
      </c>
      <c r="M12" s="341">
        <f>ss_calc!F5</f>
        <v>39600</v>
      </c>
      <c r="N12" s="342">
        <f t="shared" ref="N12:N52" si="7">MIN(L12,M12)</f>
        <v>36225</v>
      </c>
      <c r="O12" s="345">
        <v>85366.585455189823</v>
      </c>
      <c r="R12" s="339">
        <f t="shared" ref="R12:R52" si="8">K12</f>
        <v>2</v>
      </c>
      <c r="S12" s="342">
        <f t="shared" ref="S12:S52" si="9">L12</f>
        <v>36225</v>
      </c>
      <c r="T12" s="341">
        <f t="shared" ref="T12:T52" si="10">M12</f>
        <v>39600</v>
      </c>
      <c r="U12" s="342">
        <f t="shared" ref="U12:U52" si="11">N12</f>
        <v>36225</v>
      </c>
      <c r="V12" s="363">
        <f t="shared" si="4"/>
        <v>3.689038636363636</v>
      </c>
      <c r="W12" s="342">
        <f t="shared" ref="W12:W52" si="12">U12*V12</f>
        <v>133635.42460227272</v>
      </c>
      <c r="X12" s="345">
        <v>133635.42460227272</v>
      </c>
      <c r="AA12" s="339">
        <f t="shared" ref="AA12:AA52" si="13">R12</f>
        <v>2</v>
      </c>
      <c r="AB12" s="342">
        <f t="shared" ref="AB12:AB52" si="14">U12</f>
        <v>36225</v>
      </c>
      <c r="AC12" s="345">
        <v>85366.585455189823</v>
      </c>
      <c r="AH12" s="339">
        <f t="shared" si="5"/>
        <v>2</v>
      </c>
      <c r="AI12" s="342">
        <f t="shared" ref="AI12:AI42" si="15">AB12</f>
        <v>36225</v>
      </c>
      <c r="AJ12" s="485">
        <f t="shared" ref="AJ12:AJ45" si="16">M12</f>
        <v>39600</v>
      </c>
      <c r="AK12" s="342">
        <f t="shared" ref="AK12:AK45" si="17">MIN(AI12,AJ12)</f>
        <v>36225</v>
      </c>
      <c r="AL12" s="341">
        <f>ss_calc!G5</f>
        <v>16822.509999999998</v>
      </c>
      <c r="AM12" s="487">
        <f t="shared" ref="AM12:AM45" si="18">$E$49/AL12</f>
        <v>3.5081793228240019</v>
      </c>
      <c r="AN12" s="341">
        <f t="shared" ref="AN12:AN45" si="19">AK12*AM12</f>
        <v>127083.79596929946</v>
      </c>
      <c r="AO12" s="344">
        <v>127123.15919386329</v>
      </c>
      <c r="AQ12" s="1" t="s">
        <v>405</v>
      </c>
      <c r="AW12" s="339">
        <f t="shared" ref="AW12:AW42" si="20">AH12</f>
        <v>2</v>
      </c>
      <c r="AX12" s="342">
        <f t="shared" si="6"/>
        <v>36225</v>
      </c>
      <c r="AY12" s="341">
        <f t="shared" ref="AY12:AY42" si="21">AJ12</f>
        <v>39600</v>
      </c>
      <c r="AZ12" s="342">
        <f t="shared" ref="AZ12:AZ42" si="22">MIN(AX12,AY12)</f>
        <v>36225</v>
      </c>
      <c r="BA12" s="341">
        <f t="shared" ref="BA12:BA42" si="23">AL12</f>
        <v>16822.509999999998</v>
      </c>
      <c r="BB12" s="487">
        <f t="shared" ref="BB12:BB42" si="24">$E$49/BA12</f>
        <v>3.5081793228240019</v>
      </c>
      <c r="BC12" s="342">
        <f t="shared" ref="BC12:BC42" si="25">AZ12*BB12</f>
        <v>127083.79596929946</v>
      </c>
      <c r="BD12" s="345">
        <v>127123.15919386329</v>
      </c>
    </row>
    <row r="13" spans="1:57" x14ac:dyDescent="0.35">
      <c r="B13" s="339">
        <f t="shared" ref="B13:B52" si="26">B12+1</f>
        <v>24</v>
      </c>
      <c r="C13" s="340">
        <f t="shared" ref="C13:C52" si="27">C12+1</f>
        <v>3</v>
      </c>
      <c r="D13" s="341">
        <f>ss_calc!E6</f>
        <v>37311.75</v>
      </c>
      <c r="E13" s="342">
        <f>ss_calc!G6</f>
        <v>17321.82</v>
      </c>
      <c r="F13" s="343">
        <f>ss_calc!I6</f>
        <v>3.4070543245455731</v>
      </c>
      <c r="G13" s="344">
        <f>ss_calc!J6</f>
        <v>127123.15919386329</v>
      </c>
      <c r="H13" s="345">
        <v>127083.79596929946</v>
      </c>
      <c r="K13" s="339">
        <f t="shared" si="2"/>
        <v>3</v>
      </c>
      <c r="L13" s="342">
        <f t="shared" si="3"/>
        <v>37311.75</v>
      </c>
      <c r="M13" s="341">
        <f>ss_calc!F6</f>
        <v>42000</v>
      </c>
      <c r="N13" s="342">
        <f t="shared" si="7"/>
        <v>37311.75</v>
      </c>
      <c r="O13" s="345">
        <v>82880.180053582357</v>
      </c>
      <c r="R13" s="339">
        <f t="shared" si="8"/>
        <v>3</v>
      </c>
      <c r="S13" s="342">
        <f t="shared" si="9"/>
        <v>37311.75</v>
      </c>
      <c r="T13" s="341">
        <f t="shared" si="10"/>
        <v>42000</v>
      </c>
      <c r="U13" s="342">
        <f t="shared" si="11"/>
        <v>37311.75</v>
      </c>
      <c r="V13" s="363">
        <f t="shared" si="4"/>
        <v>3.4782364285714285</v>
      </c>
      <c r="W13" s="342">
        <f t="shared" si="12"/>
        <v>129779.08806374999</v>
      </c>
      <c r="X13" s="345">
        <v>129779.08806374999</v>
      </c>
      <c r="AA13" s="339">
        <f t="shared" si="13"/>
        <v>3</v>
      </c>
      <c r="AB13" s="342">
        <f t="shared" si="14"/>
        <v>37311.75</v>
      </c>
      <c r="AC13" s="345">
        <v>82880.180053582357</v>
      </c>
      <c r="AH13" s="339">
        <f t="shared" si="5"/>
        <v>3</v>
      </c>
      <c r="AI13" s="342">
        <f t="shared" si="15"/>
        <v>37311.75</v>
      </c>
      <c r="AJ13" s="485">
        <f t="shared" si="16"/>
        <v>42000</v>
      </c>
      <c r="AK13" s="342">
        <f t="shared" si="17"/>
        <v>37311.75</v>
      </c>
      <c r="AL13" s="341">
        <f>ss_calc!G6</f>
        <v>17321.82</v>
      </c>
      <c r="AM13" s="487">
        <f t="shared" si="18"/>
        <v>3.4070543245455731</v>
      </c>
      <c r="AN13" s="341">
        <f t="shared" si="19"/>
        <v>127123.15919386329</v>
      </c>
      <c r="AO13" s="344">
        <v>127083.79596929946</v>
      </c>
      <c r="AR13" s="1" t="s">
        <v>406</v>
      </c>
      <c r="AW13" s="339">
        <f t="shared" si="20"/>
        <v>3</v>
      </c>
      <c r="AX13" s="342">
        <f t="shared" si="6"/>
        <v>37311.75</v>
      </c>
      <c r="AY13" s="341">
        <f t="shared" si="21"/>
        <v>42000</v>
      </c>
      <c r="AZ13" s="342">
        <f t="shared" si="22"/>
        <v>37311.75</v>
      </c>
      <c r="BA13" s="341">
        <f t="shared" si="23"/>
        <v>17321.82</v>
      </c>
      <c r="BB13" s="487">
        <f t="shared" si="24"/>
        <v>3.4070543245455731</v>
      </c>
      <c r="BC13" s="342">
        <f t="shared" si="25"/>
        <v>127123.15919386329</v>
      </c>
      <c r="BD13" s="345">
        <v>127083.79596929946</v>
      </c>
    </row>
    <row r="14" spans="1:57" x14ac:dyDescent="0.35">
      <c r="B14" s="339">
        <f t="shared" si="26"/>
        <v>25</v>
      </c>
      <c r="C14" s="340">
        <f t="shared" si="27"/>
        <v>4</v>
      </c>
      <c r="D14" s="341">
        <f>ss_calc!E7</f>
        <v>38431.102500000001</v>
      </c>
      <c r="E14" s="342">
        <f>ss_calc!G7</f>
        <v>18426.509999999998</v>
      </c>
      <c r="F14" s="343">
        <f>ss_calc!I7</f>
        <v>3.2027975856524109</v>
      </c>
      <c r="G14" s="344">
        <f>ss_calc!J7</f>
        <v>123087.04230096034</v>
      </c>
      <c r="H14" s="345">
        <v>123087.04230096034</v>
      </c>
      <c r="K14" s="339">
        <f t="shared" si="2"/>
        <v>4</v>
      </c>
      <c r="L14" s="342">
        <f t="shared" si="3"/>
        <v>38431.102500000001</v>
      </c>
      <c r="M14" s="341">
        <f>ss_calc!F7</f>
        <v>43800</v>
      </c>
      <c r="N14" s="342">
        <f t="shared" si="7"/>
        <v>38431.102500000001</v>
      </c>
      <c r="O14" s="345">
        <v>80466.194226778985</v>
      </c>
      <c r="R14" s="339">
        <f t="shared" si="8"/>
        <v>4</v>
      </c>
      <c r="S14" s="342">
        <f t="shared" si="9"/>
        <v>38431.102500000001</v>
      </c>
      <c r="T14" s="341">
        <f t="shared" si="10"/>
        <v>43800</v>
      </c>
      <c r="U14" s="342">
        <f t="shared" si="11"/>
        <v>38431.102500000001</v>
      </c>
      <c r="V14" s="363">
        <f t="shared" si="4"/>
        <v>3.335295205479452</v>
      </c>
      <c r="W14" s="342">
        <f t="shared" si="12"/>
        <v>128179.07190953939</v>
      </c>
      <c r="X14" s="345">
        <v>128503.79222504355</v>
      </c>
      <c r="AA14" s="339">
        <f t="shared" si="13"/>
        <v>4</v>
      </c>
      <c r="AB14" s="342">
        <f t="shared" si="14"/>
        <v>38431.102500000001</v>
      </c>
      <c r="AC14" s="345">
        <v>80466.194226778985</v>
      </c>
      <c r="AH14" s="339">
        <f t="shared" si="5"/>
        <v>4</v>
      </c>
      <c r="AI14" s="342">
        <f t="shared" si="15"/>
        <v>38431.102500000001</v>
      </c>
      <c r="AJ14" s="485">
        <f t="shared" si="16"/>
        <v>43800</v>
      </c>
      <c r="AK14" s="342">
        <f t="shared" si="17"/>
        <v>38431.102500000001</v>
      </c>
      <c r="AL14" s="341">
        <f>ss_calc!G7</f>
        <v>18426.509999999998</v>
      </c>
      <c r="AM14" s="487">
        <f t="shared" si="18"/>
        <v>3.2027975856524109</v>
      </c>
      <c r="AN14" s="341">
        <f t="shared" si="19"/>
        <v>123087.04230096034</v>
      </c>
      <c r="AO14" s="344">
        <v>123087.04230096034</v>
      </c>
      <c r="AW14" s="339">
        <f t="shared" si="20"/>
        <v>4</v>
      </c>
      <c r="AX14" s="342">
        <f t="shared" si="6"/>
        <v>38431.102500000001</v>
      </c>
      <c r="AY14" s="341">
        <f t="shared" si="21"/>
        <v>43800</v>
      </c>
      <c r="AZ14" s="342">
        <f t="shared" si="22"/>
        <v>38431.102500000001</v>
      </c>
      <c r="BA14" s="341">
        <f t="shared" si="23"/>
        <v>18426.509999999998</v>
      </c>
      <c r="BB14" s="487">
        <f t="shared" si="24"/>
        <v>3.2027975856524109</v>
      </c>
      <c r="BC14" s="342">
        <f t="shared" si="25"/>
        <v>123087.04230096034</v>
      </c>
      <c r="BD14" s="345">
        <v>123087.04230096034</v>
      </c>
    </row>
    <row r="15" spans="1:57" x14ac:dyDescent="0.35">
      <c r="B15" s="339">
        <f t="shared" si="26"/>
        <v>26</v>
      </c>
      <c r="C15" s="340">
        <f t="shared" si="27"/>
        <v>5</v>
      </c>
      <c r="D15" s="341">
        <f>ss_calc!E8</f>
        <v>39584.035575000002</v>
      </c>
      <c r="E15" s="342">
        <f>ss_calc!G8</f>
        <v>19334.04</v>
      </c>
      <c r="F15" s="343">
        <f>ss_calc!I8</f>
        <v>3.0524598966382603</v>
      </c>
      <c r="G15" s="344">
        <f>ss_calc!J8</f>
        <v>120828.68113978973</v>
      </c>
      <c r="H15" s="345">
        <v>120828.68113978973</v>
      </c>
      <c r="K15" s="339">
        <f t="shared" si="2"/>
        <v>5</v>
      </c>
      <c r="L15" s="342">
        <f t="shared" si="3"/>
        <v>39584.035575000002</v>
      </c>
      <c r="M15" s="341">
        <f>ss_calc!F8</f>
        <v>45000</v>
      </c>
      <c r="N15" s="342">
        <f t="shared" si="7"/>
        <v>39584.035575000002</v>
      </c>
      <c r="O15" s="345">
        <v>78122.518666775708</v>
      </c>
      <c r="R15" s="339">
        <f t="shared" si="8"/>
        <v>5</v>
      </c>
      <c r="S15" s="342">
        <f t="shared" si="9"/>
        <v>39584.035575000002</v>
      </c>
      <c r="T15" s="341">
        <f t="shared" si="10"/>
        <v>45000</v>
      </c>
      <c r="U15" s="342">
        <f t="shared" si="11"/>
        <v>39584.035575000002</v>
      </c>
      <c r="V15" s="363">
        <f t="shared" si="4"/>
        <v>3.2463539999999997</v>
      </c>
      <c r="W15" s="342">
        <f>U15*V15</f>
        <v>128503.79222504355</v>
      </c>
      <c r="X15" s="345">
        <v>128179.07190953939</v>
      </c>
      <c r="AA15" s="339">
        <f t="shared" si="13"/>
        <v>5</v>
      </c>
      <c r="AB15" s="342">
        <f t="shared" si="14"/>
        <v>39584.035575000002</v>
      </c>
      <c r="AC15" s="345">
        <v>78122.518666775708</v>
      </c>
      <c r="AH15" s="339">
        <f t="shared" si="5"/>
        <v>5</v>
      </c>
      <c r="AI15" s="342">
        <f t="shared" si="15"/>
        <v>39584.035575000002</v>
      </c>
      <c r="AJ15" s="485">
        <f t="shared" si="16"/>
        <v>45000</v>
      </c>
      <c r="AK15" s="342">
        <f t="shared" si="17"/>
        <v>39584.035575000002</v>
      </c>
      <c r="AL15" s="341">
        <f>ss_calc!G8</f>
        <v>19334.04</v>
      </c>
      <c r="AM15" s="487">
        <f t="shared" si="18"/>
        <v>3.0524598966382603</v>
      </c>
      <c r="AN15" s="341">
        <f t="shared" si="19"/>
        <v>120828.68113978973</v>
      </c>
      <c r="AO15" s="344">
        <v>120828.68113978973</v>
      </c>
      <c r="AW15" s="339">
        <f t="shared" si="20"/>
        <v>5</v>
      </c>
      <c r="AX15" s="342">
        <f t="shared" si="6"/>
        <v>39584.035575000002</v>
      </c>
      <c r="AY15" s="341">
        <f t="shared" si="21"/>
        <v>45000</v>
      </c>
      <c r="AZ15" s="342">
        <f t="shared" si="22"/>
        <v>39584.035575000002</v>
      </c>
      <c r="BA15" s="341">
        <f t="shared" si="23"/>
        <v>19334.04</v>
      </c>
      <c r="BB15" s="487">
        <f t="shared" si="24"/>
        <v>3.0524598966382603</v>
      </c>
      <c r="BC15" s="342">
        <f t="shared" si="25"/>
        <v>120828.68113978973</v>
      </c>
      <c r="BD15" s="345">
        <v>120828.68113978973</v>
      </c>
    </row>
    <row r="16" spans="1:57" x14ac:dyDescent="0.35">
      <c r="B16" s="339">
        <f t="shared" si="26"/>
        <v>27</v>
      </c>
      <c r="C16" s="340">
        <f t="shared" si="27"/>
        <v>6</v>
      </c>
      <c r="D16" s="341">
        <f>ss_calc!E9</f>
        <v>40771.556642250005</v>
      </c>
      <c r="E16" s="342">
        <f>ss_calc!G9</f>
        <v>20099.55</v>
      </c>
      <c r="F16" s="343">
        <f>ss_calc!I9</f>
        <v>2.9362041309382549</v>
      </c>
      <c r="G16" s="344">
        <f>ss_calc!J9</f>
        <v>119713.61303775752</v>
      </c>
      <c r="H16" s="345">
        <v>119713.61303775752</v>
      </c>
      <c r="K16" s="339">
        <f t="shared" si="2"/>
        <v>6</v>
      </c>
      <c r="L16" s="342">
        <f t="shared" si="3"/>
        <v>40771.556642250005</v>
      </c>
      <c r="M16" s="341">
        <f>ss_calc!F9</f>
        <v>48000</v>
      </c>
      <c r="N16" s="342">
        <f t="shared" si="7"/>
        <v>40771.556642250005</v>
      </c>
      <c r="O16" s="345">
        <v>75847.105501723985</v>
      </c>
      <c r="R16" s="339">
        <f t="shared" si="8"/>
        <v>6</v>
      </c>
      <c r="S16" s="342">
        <f t="shared" si="9"/>
        <v>40771.556642250005</v>
      </c>
      <c r="T16" s="341">
        <f t="shared" si="10"/>
        <v>48000</v>
      </c>
      <c r="U16" s="342">
        <f t="shared" si="11"/>
        <v>40771.556642250005</v>
      </c>
      <c r="V16" s="363">
        <f t="shared" si="4"/>
        <v>3.043456875</v>
      </c>
      <c r="W16" s="342">
        <f t="shared" si="12"/>
        <v>124086.47436730769</v>
      </c>
      <c r="X16" s="345">
        <v>124086.47436730769</v>
      </c>
      <c r="AA16" s="339">
        <f t="shared" si="13"/>
        <v>6</v>
      </c>
      <c r="AB16" s="342">
        <f t="shared" si="14"/>
        <v>40771.556642250005</v>
      </c>
      <c r="AC16" s="345">
        <v>75847.105501723985</v>
      </c>
      <c r="AH16" s="339">
        <f t="shared" si="5"/>
        <v>6</v>
      </c>
      <c r="AI16" s="342">
        <f t="shared" si="15"/>
        <v>40771.556642250005</v>
      </c>
      <c r="AJ16" s="485">
        <f t="shared" si="16"/>
        <v>48000</v>
      </c>
      <c r="AK16" s="342">
        <f t="shared" si="17"/>
        <v>40771.556642250005</v>
      </c>
      <c r="AL16" s="341">
        <f>ss_calc!G9</f>
        <v>20099.55</v>
      </c>
      <c r="AM16" s="487">
        <f t="shared" si="18"/>
        <v>2.9362041309382549</v>
      </c>
      <c r="AN16" s="341">
        <f t="shared" si="19"/>
        <v>119713.61303775752</v>
      </c>
      <c r="AO16" s="344">
        <v>119713.61303775752</v>
      </c>
      <c r="AW16" s="339">
        <f t="shared" si="20"/>
        <v>6</v>
      </c>
      <c r="AX16" s="342">
        <f t="shared" si="6"/>
        <v>40771.556642250005</v>
      </c>
      <c r="AY16" s="341">
        <f t="shared" si="21"/>
        <v>48000</v>
      </c>
      <c r="AZ16" s="342">
        <f t="shared" si="22"/>
        <v>40771.556642250005</v>
      </c>
      <c r="BA16" s="341">
        <f t="shared" si="23"/>
        <v>20099.55</v>
      </c>
      <c r="BB16" s="487">
        <f t="shared" si="24"/>
        <v>2.9362041309382549</v>
      </c>
      <c r="BC16" s="342">
        <f t="shared" si="25"/>
        <v>119713.61303775752</v>
      </c>
      <c r="BD16" s="345">
        <v>119713.61303775752</v>
      </c>
    </row>
    <row r="17" spans="2:56" x14ac:dyDescent="0.35">
      <c r="B17" s="339">
        <f t="shared" si="26"/>
        <v>28</v>
      </c>
      <c r="C17" s="340">
        <f t="shared" si="27"/>
        <v>7</v>
      </c>
      <c r="D17" s="341">
        <f>ss_calc!E10</f>
        <v>41994.703341517503</v>
      </c>
      <c r="E17" s="342">
        <f>ss_calc!G10</f>
        <v>21027.98</v>
      </c>
      <c r="F17" s="343">
        <f>ss_calc!I10</f>
        <v>2.8065644793270681</v>
      </c>
      <c r="G17" s="344">
        <f>ss_calc!J10</f>
        <v>117860.84271818076</v>
      </c>
      <c r="H17" s="345">
        <v>117860.84271818076</v>
      </c>
      <c r="K17" s="339">
        <f t="shared" si="2"/>
        <v>7</v>
      </c>
      <c r="L17" s="342">
        <f t="shared" si="3"/>
        <v>41994.703341517503</v>
      </c>
      <c r="M17" s="341">
        <f>ss_calc!F10</f>
        <v>51300</v>
      </c>
      <c r="N17" s="342">
        <f t="shared" si="7"/>
        <v>41994.703341517503</v>
      </c>
      <c r="O17" s="345">
        <v>73637.966506528144</v>
      </c>
      <c r="R17" s="339">
        <f t="shared" si="8"/>
        <v>7</v>
      </c>
      <c r="S17" s="342">
        <f t="shared" si="9"/>
        <v>41994.703341517503</v>
      </c>
      <c r="T17" s="341">
        <f t="shared" si="10"/>
        <v>51300</v>
      </c>
      <c r="U17" s="342">
        <f t="shared" si="11"/>
        <v>41994.703341517503</v>
      </c>
      <c r="V17" s="363">
        <f t="shared" si="4"/>
        <v>2.8476789473684208</v>
      </c>
      <c r="W17" s="342">
        <f t="shared" si="12"/>
        <v>119587.43260662166</v>
      </c>
      <c r="X17" s="345">
        <v>119587.43260662166</v>
      </c>
      <c r="AA17" s="339">
        <f t="shared" si="13"/>
        <v>7</v>
      </c>
      <c r="AB17" s="342">
        <f t="shared" si="14"/>
        <v>41994.703341517503</v>
      </c>
      <c r="AC17" s="345">
        <v>73637.966506528144</v>
      </c>
      <c r="AH17" s="339">
        <f t="shared" si="5"/>
        <v>7</v>
      </c>
      <c r="AI17" s="342">
        <f t="shared" si="15"/>
        <v>41994.703341517503</v>
      </c>
      <c r="AJ17" s="485">
        <f t="shared" si="16"/>
        <v>51300</v>
      </c>
      <c r="AK17" s="342">
        <f t="shared" si="17"/>
        <v>41994.703341517503</v>
      </c>
      <c r="AL17" s="341">
        <f>ss_calc!G10</f>
        <v>21027.98</v>
      </c>
      <c r="AM17" s="487">
        <f t="shared" si="18"/>
        <v>2.8065644793270681</v>
      </c>
      <c r="AN17" s="341">
        <f t="shared" si="19"/>
        <v>117860.84271818076</v>
      </c>
      <c r="AO17" s="344">
        <v>117860.84271818076</v>
      </c>
      <c r="AW17" s="339">
        <f t="shared" si="20"/>
        <v>7</v>
      </c>
      <c r="AX17" s="342">
        <f t="shared" si="6"/>
        <v>41994.703341517503</v>
      </c>
      <c r="AY17" s="341">
        <f t="shared" si="21"/>
        <v>51300</v>
      </c>
      <c r="AZ17" s="342">
        <f t="shared" si="22"/>
        <v>41994.703341517503</v>
      </c>
      <c r="BA17" s="341">
        <f t="shared" si="23"/>
        <v>21027.98</v>
      </c>
      <c r="BB17" s="487">
        <f t="shared" si="24"/>
        <v>2.8065644793270681</v>
      </c>
      <c r="BC17" s="342">
        <f t="shared" si="25"/>
        <v>117860.84271818076</v>
      </c>
      <c r="BD17" s="345">
        <v>117860.84271818076</v>
      </c>
    </row>
    <row r="18" spans="2:56" x14ac:dyDescent="0.35">
      <c r="B18" s="339">
        <f t="shared" si="26"/>
        <v>29</v>
      </c>
      <c r="C18" s="340">
        <f t="shared" si="27"/>
        <v>8</v>
      </c>
      <c r="D18" s="341">
        <f>ss_calc!E11</f>
        <v>43254.544441763028</v>
      </c>
      <c r="E18" s="342">
        <f>ss_calc!G11</f>
        <v>21811.599999999999</v>
      </c>
      <c r="F18" s="343">
        <f>ss_calc!I11</f>
        <v>2.705733726090704</v>
      </c>
      <c r="G18" s="344">
        <f>ss_calc!J11</f>
        <v>117035.27970276742</v>
      </c>
      <c r="H18" s="345">
        <v>117432.37304531453</v>
      </c>
      <c r="K18" s="339">
        <f t="shared" si="2"/>
        <v>8</v>
      </c>
      <c r="L18" s="342">
        <f t="shared" si="3"/>
        <v>43254.544441763028</v>
      </c>
      <c r="M18" s="341">
        <f>ss_calc!F11</f>
        <v>53400</v>
      </c>
      <c r="N18" s="342">
        <f t="shared" si="7"/>
        <v>43254.544441763028</v>
      </c>
      <c r="O18" s="345">
        <v>71493.171365561298</v>
      </c>
      <c r="R18" s="339">
        <f t="shared" si="8"/>
        <v>8</v>
      </c>
      <c r="S18" s="342">
        <f t="shared" si="9"/>
        <v>43254.544441763028</v>
      </c>
      <c r="T18" s="341">
        <f t="shared" si="10"/>
        <v>53400</v>
      </c>
      <c r="U18" s="342">
        <f t="shared" si="11"/>
        <v>43254.544441763028</v>
      </c>
      <c r="V18" s="363">
        <f t="shared" si="4"/>
        <v>2.7356915730337077</v>
      </c>
      <c r="W18" s="342">
        <f t="shared" si="12"/>
        <v>118331.09272474311</v>
      </c>
      <c r="X18" s="345">
        <v>118331.09272474311</v>
      </c>
      <c r="AA18" s="339">
        <f t="shared" si="13"/>
        <v>8</v>
      </c>
      <c r="AB18" s="342">
        <f t="shared" si="14"/>
        <v>43254.544441763028</v>
      </c>
      <c r="AC18" s="345">
        <v>71493.171365561298</v>
      </c>
      <c r="AH18" s="339">
        <f t="shared" si="5"/>
        <v>8</v>
      </c>
      <c r="AI18" s="342">
        <f t="shared" si="15"/>
        <v>43254.544441763028</v>
      </c>
      <c r="AJ18" s="485">
        <f t="shared" si="16"/>
        <v>53400</v>
      </c>
      <c r="AK18" s="342">
        <f t="shared" si="17"/>
        <v>43254.544441763028</v>
      </c>
      <c r="AL18" s="341">
        <f>ss_calc!G11</f>
        <v>21811.599999999999</v>
      </c>
      <c r="AM18" s="487">
        <f t="shared" si="18"/>
        <v>2.705733726090704</v>
      </c>
      <c r="AN18" s="341">
        <f t="shared" si="19"/>
        <v>117035.27970276742</v>
      </c>
      <c r="AO18" s="344">
        <v>117432.37304531453</v>
      </c>
      <c r="AW18" s="339">
        <f t="shared" si="20"/>
        <v>8</v>
      </c>
      <c r="AX18" s="342">
        <f t="shared" si="6"/>
        <v>43254.544441763028</v>
      </c>
      <c r="AY18" s="341">
        <f t="shared" si="21"/>
        <v>53400</v>
      </c>
      <c r="AZ18" s="342">
        <f t="shared" si="22"/>
        <v>43254.544441763028</v>
      </c>
      <c r="BA18" s="341">
        <f t="shared" si="23"/>
        <v>21811.599999999999</v>
      </c>
      <c r="BB18" s="487">
        <f t="shared" si="24"/>
        <v>2.705733726090704</v>
      </c>
      <c r="BC18" s="342">
        <f t="shared" si="25"/>
        <v>117035.27970276742</v>
      </c>
      <c r="BD18" s="345">
        <v>117432.37304531453</v>
      </c>
    </row>
    <row r="19" spans="2:56" x14ac:dyDescent="0.35">
      <c r="B19" s="339">
        <f t="shared" si="26"/>
        <v>30</v>
      </c>
      <c r="C19" s="340">
        <f t="shared" si="27"/>
        <v>9</v>
      </c>
      <c r="D19" s="341">
        <f>ss_calc!E12</f>
        <v>44552.180775015921</v>
      </c>
      <c r="E19" s="342">
        <f>ss_calc!G12</f>
        <v>22935.42</v>
      </c>
      <c r="F19" s="343">
        <f>ss_calc!I12</f>
        <v>2.5731546115135453</v>
      </c>
      <c r="G19" s="344">
        <f>ss_calc!J12</f>
        <v>114639.64941421733</v>
      </c>
      <c r="H19" s="345">
        <v>117071.99226059351</v>
      </c>
      <c r="K19" s="339">
        <f t="shared" si="2"/>
        <v>9</v>
      </c>
      <c r="L19" s="342">
        <f t="shared" si="3"/>
        <v>44552.180775015921</v>
      </c>
      <c r="M19" s="341">
        <f>ss_calc!F12</f>
        <v>55500</v>
      </c>
      <c r="N19" s="342">
        <f t="shared" si="7"/>
        <v>44552.180775015921</v>
      </c>
      <c r="O19" s="345">
        <v>69410.845985981839</v>
      </c>
      <c r="R19" s="339">
        <f t="shared" si="8"/>
        <v>9</v>
      </c>
      <c r="S19" s="342">
        <f t="shared" si="9"/>
        <v>44552.180775015921</v>
      </c>
      <c r="T19" s="341">
        <f t="shared" si="10"/>
        <v>55500</v>
      </c>
      <c r="U19" s="342">
        <f t="shared" si="11"/>
        <v>44552.180775015921</v>
      </c>
      <c r="V19" s="363">
        <f t="shared" si="4"/>
        <v>2.6321789189189189</v>
      </c>
      <c r="W19" s="342">
        <f t="shared" si="12"/>
        <v>117269.31102786165</v>
      </c>
      <c r="X19" s="345">
        <v>117269.31102786165</v>
      </c>
      <c r="AA19" s="339">
        <f t="shared" si="13"/>
        <v>9</v>
      </c>
      <c r="AB19" s="342">
        <f t="shared" si="14"/>
        <v>44552.180775015921</v>
      </c>
      <c r="AC19" s="345">
        <v>69410.845985981839</v>
      </c>
      <c r="AH19" s="339">
        <f t="shared" si="5"/>
        <v>9</v>
      </c>
      <c r="AI19" s="342">
        <f t="shared" si="15"/>
        <v>44552.180775015921</v>
      </c>
      <c r="AJ19" s="485">
        <f t="shared" si="16"/>
        <v>55500</v>
      </c>
      <c r="AK19" s="342">
        <f t="shared" si="17"/>
        <v>44552.180775015921</v>
      </c>
      <c r="AL19" s="341">
        <f>ss_calc!G12</f>
        <v>22935.42</v>
      </c>
      <c r="AM19" s="487">
        <f t="shared" si="18"/>
        <v>2.5731546115135453</v>
      </c>
      <c r="AN19" s="341">
        <f t="shared" si="19"/>
        <v>114639.64941421733</v>
      </c>
      <c r="AO19" s="344">
        <v>117071.99226059351</v>
      </c>
      <c r="AW19" s="339">
        <f t="shared" si="20"/>
        <v>9</v>
      </c>
      <c r="AX19" s="342">
        <f t="shared" si="6"/>
        <v>44552.180775015921</v>
      </c>
      <c r="AY19" s="341">
        <f t="shared" si="21"/>
        <v>55500</v>
      </c>
      <c r="AZ19" s="342">
        <f t="shared" si="22"/>
        <v>44552.180775015921</v>
      </c>
      <c r="BA19" s="341">
        <f t="shared" si="23"/>
        <v>22935.42</v>
      </c>
      <c r="BB19" s="487">
        <f t="shared" si="24"/>
        <v>2.5731546115135453</v>
      </c>
      <c r="BC19" s="342">
        <f t="shared" si="25"/>
        <v>114639.64941421733</v>
      </c>
      <c r="BD19" s="345">
        <v>117071.99226059351</v>
      </c>
    </row>
    <row r="20" spans="2:56" x14ac:dyDescent="0.35">
      <c r="B20" s="339">
        <f t="shared" si="26"/>
        <v>31</v>
      </c>
      <c r="C20" s="340">
        <f t="shared" si="27"/>
        <v>10</v>
      </c>
      <c r="D20" s="341">
        <f>ss_calc!E13</f>
        <v>45888.746198266403</v>
      </c>
      <c r="E20" s="342">
        <f>ss_calc!G13</f>
        <v>23132.67</v>
      </c>
      <c r="F20" s="343">
        <f>ss_calc!I13</f>
        <v>2.5512135754324943</v>
      </c>
      <c r="G20" s="344">
        <f>ss_calc!J13</f>
        <v>117071.99226059351</v>
      </c>
      <c r="H20" s="345">
        <v>117035.27970276742</v>
      </c>
      <c r="K20" s="339">
        <f t="shared" si="2"/>
        <v>10</v>
      </c>
      <c r="L20" s="342">
        <f t="shared" si="3"/>
        <v>45888.746198266403</v>
      </c>
      <c r="M20" s="341">
        <f>ss_calc!F13</f>
        <v>57600</v>
      </c>
      <c r="N20" s="342">
        <f t="shared" si="7"/>
        <v>45888.746198266403</v>
      </c>
      <c r="O20" s="345">
        <v>67389.170860176542</v>
      </c>
      <c r="R20" s="339">
        <f t="shared" si="8"/>
        <v>10</v>
      </c>
      <c r="S20" s="342">
        <f t="shared" si="9"/>
        <v>45888.746198266403</v>
      </c>
      <c r="T20" s="341">
        <f t="shared" si="10"/>
        <v>57600</v>
      </c>
      <c r="U20" s="342">
        <f t="shared" si="11"/>
        <v>45888.746198266403</v>
      </c>
      <c r="V20" s="363">
        <f t="shared" si="4"/>
        <v>2.5362140625</v>
      </c>
      <c r="W20" s="342">
        <f t="shared" si="12"/>
        <v>116383.68341853666</v>
      </c>
      <c r="X20" s="345">
        <v>116831.16698722664</v>
      </c>
      <c r="AA20" s="339">
        <f t="shared" si="13"/>
        <v>10</v>
      </c>
      <c r="AB20" s="342">
        <f t="shared" si="14"/>
        <v>45888.746198266403</v>
      </c>
      <c r="AC20" s="345">
        <v>67389.170860176542</v>
      </c>
      <c r="AH20" s="339">
        <f t="shared" si="5"/>
        <v>10</v>
      </c>
      <c r="AI20" s="342">
        <f t="shared" si="15"/>
        <v>45888.746198266403</v>
      </c>
      <c r="AJ20" s="485">
        <f t="shared" si="16"/>
        <v>57600</v>
      </c>
      <c r="AK20" s="342">
        <f t="shared" si="17"/>
        <v>45888.746198266403</v>
      </c>
      <c r="AL20" s="341">
        <f>ss_calc!G13</f>
        <v>23132.67</v>
      </c>
      <c r="AM20" s="487">
        <f t="shared" si="18"/>
        <v>2.5512135754324943</v>
      </c>
      <c r="AN20" s="341">
        <f t="shared" si="19"/>
        <v>117071.99226059351</v>
      </c>
      <c r="AO20" s="344">
        <v>117035.27970276742</v>
      </c>
      <c r="AW20" s="339">
        <f t="shared" si="20"/>
        <v>10</v>
      </c>
      <c r="AX20" s="342">
        <f t="shared" si="6"/>
        <v>45888.746198266403</v>
      </c>
      <c r="AY20" s="341">
        <f t="shared" si="21"/>
        <v>57600</v>
      </c>
      <c r="AZ20" s="342">
        <f t="shared" si="22"/>
        <v>45888.746198266403</v>
      </c>
      <c r="BA20" s="341">
        <f t="shared" si="23"/>
        <v>23132.67</v>
      </c>
      <c r="BB20" s="487">
        <f t="shared" si="24"/>
        <v>2.5512135754324943</v>
      </c>
      <c r="BC20" s="342">
        <f t="shared" si="25"/>
        <v>117071.99226059351</v>
      </c>
      <c r="BD20" s="345">
        <v>117035.27970276742</v>
      </c>
    </row>
    <row r="21" spans="2:56" x14ac:dyDescent="0.35">
      <c r="B21" s="339">
        <f t="shared" si="26"/>
        <v>32</v>
      </c>
      <c r="C21" s="340">
        <f t="shared" si="27"/>
        <v>11</v>
      </c>
      <c r="D21" s="341">
        <f>ss_calc!E14</f>
        <v>47265.408584214398</v>
      </c>
      <c r="E21" s="342">
        <f>ss_calc!G14</f>
        <v>23753.53</v>
      </c>
      <c r="F21" s="343">
        <f>ss_calc!I14</f>
        <v>2.4845310040234021</v>
      </c>
      <c r="G21" s="344">
        <f>ss_calc!J14</f>
        <v>117432.37304531453</v>
      </c>
      <c r="H21" s="345">
        <v>116293.85322983324</v>
      </c>
      <c r="K21" s="339">
        <f t="shared" si="2"/>
        <v>11</v>
      </c>
      <c r="L21" s="342">
        <f t="shared" si="3"/>
        <v>47265.408584214398</v>
      </c>
      <c r="M21" s="341">
        <f>ss_calc!F14</f>
        <v>60600</v>
      </c>
      <c r="N21" s="342">
        <f t="shared" si="7"/>
        <v>47265.408584214398</v>
      </c>
      <c r="O21" s="345">
        <v>65426.37947589955</v>
      </c>
      <c r="R21" s="339">
        <f t="shared" si="8"/>
        <v>11</v>
      </c>
      <c r="S21" s="342">
        <f t="shared" si="9"/>
        <v>47265.408584214398</v>
      </c>
      <c r="T21" s="341">
        <f t="shared" si="10"/>
        <v>60600</v>
      </c>
      <c r="U21" s="342">
        <f t="shared" si="11"/>
        <v>47265.408584214398</v>
      </c>
      <c r="V21" s="363">
        <f t="shared" si="4"/>
        <v>2.410658910891089</v>
      </c>
      <c r="W21" s="342">
        <f t="shared" si="12"/>
        <v>113940.77838044461</v>
      </c>
      <c r="X21" s="345">
        <v>116383.68341853666</v>
      </c>
      <c r="AA21" s="339">
        <f t="shared" si="13"/>
        <v>11</v>
      </c>
      <c r="AB21" s="342">
        <f t="shared" si="14"/>
        <v>47265.408584214398</v>
      </c>
      <c r="AC21" s="345">
        <v>65426.37947589955</v>
      </c>
      <c r="AH21" s="339">
        <f t="shared" si="5"/>
        <v>11</v>
      </c>
      <c r="AI21" s="342">
        <f t="shared" si="15"/>
        <v>47265.408584214398</v>
      </c>
      <c r="AJ21" s="485">
        <f t="shared" si="16"/>
        <v>60600</v>
      </c>
      <c r="AK21" s="342">
        <f t="shared" si="17"/>
        <v>47265.408584214398</v>
      </c>
      <c r="AL21" s="341">
        <f>ss_calc!G14</f>
        <v>23753.53</v>
      </c>
      <c r="AM21" s="487">
        <f t="shared" si="18"/>
        <v>2.4845310040234021</v>
      </c>
      <c r="AN21" s="341">
        <f t="shared" si="19"/>
        <v>117432.37304531453</v>
      </c>
      <c r="AO21" s="344">
        <v>116293.85322983324</v>
      </c>
      <c r="AW21" s="339">
        <f t="shared" si="20"/>
        <v>11</v>
      </c>
      <c r="AX21" s="342">
        <f t="shared" si="6"/>
        <v>47265.408584214398</v>
      </c>
      <c r="AY21" s="341">
        <f t="shared" si="21"/>
        <v>60600</v>
      </c>
      <c r="AZ21" s="342">
        <f t="shared" si="22"/>
        <v>47265.408584214398</v>
      </c>
      <c r="BA21" s="341">
        <f t="shared" si="23"/>
        <v>23753.53</v>
      </c>
      <c r="BB21" s="487">
        <f t="shared" si="24"/>
        <v>2.4845310040234021</v>
      </c>
      <c r="BC21" s="342">
        <f t="shared" si="25"/>
        <v>117432.37304531453</v>
      </c>
      <c r="BD21" s="345">
        <v>116293.85322983324</v>
      </c>
    </row>
    <row r="22" spans="2:56" x14ac:dyDescent="0.35">
      <c r="B22" s="339">
        <f t="shared" si="26"/>
        <v>33</v>
      </c>
      <c r="C22" s="340">
        <f t="shared" si="27"/>
        <v>12</v>
      </c>
      <c r="D22" s="341">
        <f>ss_calc!E15</f>
        <v>48683.370841740834</v>
      </c>
      <c r="E22" s="342">
        <f>ss_calc!G15</f>
        <v>24705.66</v>
      </c>
      <c r="F22" s="343">
        <f>ss_calc!I15</f>
        <v>2.3887798075420772</v>
      </c>
      <c r="G22" s="344">
        <f>ss_calc!J15</f>
        <v>116293.85322983324</v>
      </c>
      <c r="H22" s="345">
        <v>114639.64941421733</v>
      </c>
      <c r="K22" s="339">
        <f t="shared" si="2"/>
        <v>12</v>
      </c>
      <c r="L22" s="342">
        <f t="shared" si="3"/>
        <v>48683.370841740834</v>
      </c>
      <c r="M22" s="341">
        <f>ss_calc!F15</f>
        <v>61200</v>
      </c>
      <c r="N22" s="342">
        <f t="shared" si="7"/>
        <v>48683.370841740834</v>
      </c>
      <c r="O22" s="345">
        <v>63520.756772718007</v>
      </c>
      <c r="R22" s="339">
        <f t="shared" si="8"/>
        <v>12</v>
      </c>
      <c r="S22" s="342">
        <f t="shared" si="9"/>
        <v>48683.370841740834</v>
      </c>
      <c r="T22" s="341">
        <f t="shared" si="10"/>
        <v>61200</v>
      </c>
      <c r="U22" s="342">
        <f t="shared" si="11"/>
        <v>48683.370841740834</v>
      </c>
      <c r="V22" s="363">
        <f t="shared" si="4"/>
        <v>2.387025</v>
      </c>
      <c r="W22" s="342">
        <f t="shared" si="12"/>
        <v>116208.42328350642</v>
      </c>
      <c r="X22" s="345">
        <v>116208.42328350642</v>
      </c>
      <c r="AA22" s="339">
        <f t="shared" si="13"/>
        <v>12</v>
      </c>
      <c r="AB22" s="342">
        <f t="shared" si="14"/>
        <v>48683.370841740834</v>
      </c>
      <c r="AC22" s="345">
        <v>63520.756772718007</v>
      </c>
      <c r="AH22" s="339">
        <f t="shared" si="5"/>
        <v>12</v>
      </c>
      <c r="AI22" s="342">
        <f t="shared" si="15"/>
        <v>48683.370841740834</v>
      </c>
      <c r="AJ22" s="485">
        <f t="shared" si="16"/>
        <v>61200</v>
      </c>
      <c r="AK22" s="342">
        <f t="shared" si="17"/>
        <v>48683.370841740834</v>
      </c>
      <c r="AL22" s="341">
        <f>ss_calc!G15</f>
        <v>24705.66</v>
      </c>
      <c r="AM22" s="487">
        <f t="shared" si="18"/>
        <v>2.3887798075420772</v>
      </c>
      <c r="AN22" s="341">
        <f t="shared" si="19"/>
        <v>116293.85322983324</v>
      </c>
      <c r="AO22" s="344">
        <v>114639.64941421733</v>
      </c>
      <c r="AW22" s="339">
        <f t="shared" si="20"/>
        <v>12</v>
      </c>
      <c r="AX22" s="342">
        <f t="shared" si="6"/>
        <v>48683.370841740834</v>
      </c>
      <c r="AY22" s="341">
        <f t="shared" si="21"/>
        <v>61200</v>
      </c>
      <c r="AZ22" s="342">
        <f t="shared" si="22"/>
        <v>48683.370841740834</v>
      </c>
      <c r="BA22" s="341">
        <f t="shared" si="23"/>
        <v>24705.66</v>
      </c>
      <c r="BB22" s="487">
        <f t="shared" si="24"/>
        <v>2.3887798075420772</v>
      </c>
      <c r="BC22" s="342">
        <f t="shared" si="25"/>
        <v>116293.85322983324</v>
      </c>
      <c r="BD22" s="345">
        <v>114639.64941421733</v>
      </c>
    </row>
    <row r="23" spans="2:56" x14ac:dyDescent="0.35">
      <c r="B23" s="339">
        <f t="shared" si="26"/>
        <v>34</v>
      </c>
      <c r="C23" s="340">
        <f t="shared" si="27"/>
        <v>13</v>
      </c>
      <c r="D23" s="341">
        <f>ss_calc!E16</f>
        <v>50143.871966993058</v>
      </c>
      <c r="E23" s="342">
        <f>ss_calc!G16</f>
        <v>25913.9</v>
      </c>
      <c r="F23" s="343">
        <f>ss_calc!I16</f>
        <v>2.2774025422649617</v>
      </c>
      <c r="G23" s="344">
        <f>ss_calc!J16</f>
        <v>114197.78149663874</v>
      </c>
      <c r="H23" s="345">
        <v>114197.78149663874</v>
      </c>
      <c r="K23" s="339">
        <f t="shared" si="2"/>
        <v>13</v>
      </c>
      <c r="L23" s="342">
        <f t="shared" si="3"/>
        <v>50143.871966993058</v>
      </c>
      <c r="M23" s="341">
        <f>ss_calc!F16</f>
        <v>62700</v>
      </c>
      <c r="N23" s="342">
        <f t="shared" si="7"/>
        <v>50143.871966993058</v>
      </c>
      <c r="O23" s="345">
        <v>62392.130678825997</v>
      </c>
      <c r="R23" s="339">
        <f t="shared" si="8"/>
        <v>13</v>
      </c>
      <c r="S23" s="342">
        <f t="shared" si="9"/>
        <v>50143.871966993058</v>
      </c>
      <c r="T23" s="341">
        <f t="shared" si="10"/>
        <v>62700</v>
      </c>
      <c r="U23" s="342">
        <f t="shared" si="11"/>
        <v>50143.871966993058</v>
      </c>
      <c r="V23" s="363">
        <f t="shared" si="4"/>
        <v>2.3299191387559808</v>
      </c>
      <c r="W23" s="342">
        <f t="shared" si="12"/>
        <v>116831.16698722664</v>
      </c>
      <c r="X23" s="345">
        <v>115368.09778596458</v>
      </c>
      <c r="AA23" s="339">
        <f t="shared" si="13"/>
        <v>13</v>
      </c>
      <c r="AB23" s="342">
        <f t="shared" si="14"/>
        <v>50143.871966993058</v>
      </c>
      <c r="AC23" s="345">
        <v>62392.130678825997</v>
      </c>
      <c r="AH23" s="339">
        <f t="shared" si="5"/>
        <v>13</v>
      </c>
      <c r="AI23" s="342">
        <f t="shared" si="15"/>
        <v>50143.871966993058</v>
      </c>
      <c r="AJ23" s="485">
        <f t="shared" si="16"/>
        <v>62700</v>
      </c>
      <c r="AK23" s="342">
        <f t="shared" si="17"/>
        <v>50143.871966993058</v>
      </c>
      <c r="AL23" s="341">
        <f>ss_calc!G16</f>
        <v>25913.9</v>
      </c>
      <c r="AM23" s="487">
        <f t="shared" si="18"/>
        <v>2.2774025422649617</v>
      </c>
      <c r="AN23" s="341">
        <f t="shared" si="19"/>
        <v>114197.78149663874</v>
      </c>
      <c r="AO23" s="344">
        <v>114197.78149663874</v>
      </c>
      <c r="AW23" s="339">
        <f t="shared" si="20"/>
        <v>13</v>
      </c>
      <c r="AX23" s="342">
        <f t="shared" si="6"/>
        <v>50143.871966993058</v>
      </c>
      <c r="AY23" s="341">
        <f t="shared" si="21"/>
        <v>62700</v>
      </c>
      <c r="AZ23" s="342">
        <f t="shared" si="22"/>
        <v>50143.871966993058</v>
      </c>
      <c r="BA23" s="341">
        <f t="shared" si="23"/>
        <v>25913.9</v>
      </c>
      <c r="BB23" s="487">
        <f t="shared" si="24"/>
        <v>2.2774025422649617</v>
      </c>
      <c r="BC23" s="342">
        <f t="shared" si="25"/>
        <v>114197.78149663874</v>
      </c>
      <c r="BD23" s="345">
        <v>114197.78149663874</v>
      </c>
    </row>
    <row r="24" spans="2:56" x14ac:dyDescent="0.35">
      <c r="B24" s="339">
        <f t="shared" si="26"/>
        <v>35</v>
      </c>
      <c r="C24" s="340">
        <f t="shared" si="27"/>
        <v>14</v>
      </c>
      <c r="D24" s="341">
        <f>ss_calc!E17</f>
        <v>51648.188126002853</v>
      </c>
      <c r="E24" s="342">
        <f>ss_calc!G17</f>
        <v>27426</v>
      </c>
      <c r="F24" s="343">
        <f>ss_calc!I17</f>
        <v>2.1518406526653537</v>
      </c>
      <c r="G24" s="344">
        <f>ss_calc!J17</f>
        <v>111138.67084604096</v>
      </c>
      <c r="H24" s="345">
        <v>111138.67084604096</v>
      </c>
      <c r="K24" s="339">
        <f t="shared" si="2"/>
        <v>14</v>
      </c>
      <c r="L24" s="342">
        <f t="shared" si="3"/>
        <v>51648.188126002853</v>
      </c>
      <c r="M24" s="341">
        <f>ss_calc!F17</f>
        <v>65400</v>
      </c>
      <c r="N24" s="342">
        <f t="shared" si="7"/>
        <v>51648.188126002853</v>
      </c>
      <c r="O24" s="345">
        <v>61670.637643415539</v>
      </c>
      <c r="R24" s="339">
        <f t="shared" si="8"/>
        <v>14</v>
      </c>
      <c r="S24" s="342">
        <f t="shared" si="9"/>
        <v>51648.188126002853</v>
      </c>
      <c r="T24" s="341">
        <f t="shared" si="10"/>
        <v>65400</v>
      </c>
      <c r="U24" s="342">
        <f t="shared" si="11"/>
        <v>51648.188126002853</v>
      </c>
      <c r="V24" s="363">
        <f t="shared" si="4"/>
        <v>2.2337298165137613</v>
      </c>
      <c r="W24" s="342">
        <f t="shared" si="12"/>
        <v>115368.09778596458</v>
      </c>
      <c r="X24" s="345">
        <v>113940.77838044461</v>
      </c>
      <c r="AA24" s="339">
        <f t="shared" si="13"/>
        <v>14</v>
      </c>
      <c r="AB24" s="342">
        <f t="shared" si="14"/>
        <v>51648.188126002853</v>
      </c>
      <c r="AC24" s="345">
        <v>61670.637643415539</v>
      </c>
      <c r="AH24" s="339">
        <f t="shared" si="5"/>
        <v>14</v>
      </c>
      <c r="AI24" s="342">
        <f t="shared" si="15"/>
        <v>51648.188126002853</v>
      </c>
      <c r="AJ24" s="485">
        <f t="shared" si="16"/>
        <v>65400</v>
      </c>
      <c r="AK24" s="342">
        <f t="shared" si="17"/>
        <v>51648.188126002853</v>
      </c>
      <c r="AL24" s="341">
        <f>ss_calc!G17</f>
        <v>27426</v>
      </c>
      <c r="AM24" s="487">
        <f t="shared" si="18"/>
        <v>2.1518406526653537</v>
      </c>
      <c r="AN24" s="341">
        <f t="shared" si="19"/>
        <v>111138.67084604096</v>
      </c>
      <c r="AO24" s="344">
        <v>111138.67084604096</v>
      </c>
      <c r="AW24" s="339">
        <f t="shared" si="20"/>
        <v>14</v>
      </c>
      <c r="AX24" s="342">
        <f t="shared" si="6"/>
        <v>51648.188126002853</v>
      </c>
      <c r="AY24" s="341">
        <f t="shared" si="21"/>
        <v>65400</v>
      </c>
      <c r="AZ24" s="342">
        <f t="shared" si="22"/>
        <v>51648.188126002853</v>
      </c>
      <c r="BA24" s="341">
        <f t="shared" si="23"/>
        <v>27426</v>
      </c>
      <c r="BB24" s="487">
        <f t="shared" si="24"/>
        <v>2.1518406526653537</v>
      </c>
      <c r="BC24" s="342">
        <f t="shared" si="25"/>
        <v>111138.67084604096</v>
      </c>
      <c r="BD24" s="345">
        <v>111138.67084604096</v>
      </c>
    </row>
    <row r="25" spans="2:56" x14ac:dyDescent="0.35">
      <c r="B25" s="339">
        <f t="shared" si="26"/>
        <v>36</v>
      </c>
      <c r="C25" s="340">
        <f t="shared" si="27"/>
        <v>15</v>
      </c>
      <c r="D25" s="341">
        <f>ss_calc!E18</f>
        <v>53197.633769782937</v>
      </c>
      <c r="E25" s="342">
        <f>ss_calc!G18</f>
        <v>28861.439999999999</v>
      </c>
      <c r="F25" s="343">
        <f>ss_calc!I18</f>
        <v>2.0448176438874843</v>
      </c>
      <c r="G25" s="344">
        <f>ss_calc!J18</f>
        <v>108779.46014551682</v>
      </c>
      <c r="H25" s="345">
        <v>108966.11366387371</v>
      </c>
      <c r="K25" s="339">
        <f t="shared" si="2"/>
        <v>15</v>
      </c>
      <c r="L25" s="342">
        <f t="shared" si="3"/>
        <v>53197.633769782937</v>
      </c>
      <c r="M25" s="341">
        <f>ss_calc!F18</f>
        <v>68400</v>
      </c>
      <c r="N25" s="342">
        <f t="shared" si="7"/>
        <v>53197.633769782937</v>
      </c>
      <c r="O25" s="345">
        <v>60574.884154199994</v>
      </c>
      <c r="R25" s="339">
        <f t="shared" si="8"/>
        <v>15</v>
      </c>
      <c r="S25" s="342">
        <f t="shared" si="9"/>
        <v>53197.633769782937</v>
      </c>
      <c r="T25" s="341">
        <f t="shared" si="10"/>
        <v>68400</v>
      </c>
      <c r="U25" s="342">
        <f t="shared" si="11"/>
        <v>53197.633769782937</v>
      </c>
      <c r="V25" s="363">
        <f t="shared" si="4"/>
        <v>2.1357592105263157</v>
      </c>
      <c r="W25" s="342">
        <f t="shared" si="12"/>
        <v>113617.33630201967</v>
      </c>
      <c r="X25" s="345">
        <v>113617.33630201967</v>
      </c>
      <c r="AA25" s="339">
        <f t="shared" si="13"/>
        <v>15</v>
      </c>
      <c r="AB25" s="342">
        <f t="shared" si="14"/>
        <v>53197.633769782937</v>
      </c>
      <c r="AC25" s="345">
        <v>60574.884154199994</v>
      </c>
      <c r="AH25" s="339">
        <f t="shared" si="5"/>
        <v>15</v>
      </c>
      <c r="AI25" s="342">
        <f t="shared" si="15"/>
        <v>53197.633769782937</v>
      </c>
      <c r="AJ25" s="485">
        <f t="shared" si="16"/>
        <v>68400</v>
      </c>
      <c r="AK25" s="342">
        <f t="shared" si="17"/>
        <v>53197.633769782937</v>
      </c>
      <c r="AL25" s="341">
        <f>ss_calc!G18</f>
        <v>28861.439999999999</v>
      </c>
      <c r="AM25" s="487">
        <f t="shared" si="18"/>
        <v>2.0448176438874843</v>
      </c>
      <c r="AN25" s="341">
        <f t="shared" si="19"/>
        <v>108779.46014551682</v>
      </c>
      <c r="AO25" s="344">
        <v>108966.11366387371</v>
      </c>
      <c r="AW25" s="339">
        <f t="shared" si="20"/>
        <v>15</v>
      </c>
      <c r="AX25" s="342">
        <f t="shared" si="6"/>
        <v>53197.633769782937</v>
      </c>
      <c r="AY25" s="341">
        <f t="shared" si="21"/>
        <v>68400</v>
      </c>
      <c r="AZ25" s="342">
        <f t="shared" si="22"/>
        <v>53197.633769782937</v>
      </c>
      <c r="BA25" s="341">
        <f t="shared" si="23"/>
        <v>28861.439999999999</v>
      </c>
      <c r="BB25" s="487">
        <f t="shared" si="24"/>
        <v>2.0448176438874843</v>
      </c>
      <c r="BC25" s="342">
        <f t="shared" si="25"/>
        <v>108779.46014551682</v>
      </c>
      <c r="BD25" s="345">
        <v>108966.11366387371</v>
      </c>
    </row>
    <row r="26" spans="2:56" x14ac:dyDescent="0.35">
      <c r="B26" s="339">
        <f t="shared" si="26"/>
        <v>37</v>
      </c>
      <c r="C26" s="340">
        <f t="shared" si="27"/>
        <v>16</v>
      </c>
      <c r="D26" s="341">
        <f>ss_calc!E19</f>
        <v>54793.562782876426</v>
      </c>
      <c r="E26" s="342">
        <f>ss_calc!G19</f>
        <v>30469.84</v>
      </c>
      <c r="F26" s="343">
        <f>ss_calc!I19</f>
        <v>1.9368786229268022</v>
      </c>
      <c r="G26" s="344">
        <f>ss_calc!J19</f>
        <v>106128.48042815097</v>
      </c>
      <c r="H26" s="345">
        <v>108779.46014551682</v>
      </c>
      <c r="K26" s="339">
        <f t="shared" si="2"/>
        <v>16</v>
      </c>
      <c r="L26" s="342">
        <f t="shared" si="3"/>
        <v>54793.562782876426</v>
      </c>
      <c r="M26" s="341">
        <f>ss_calc!F19</f>
        <v>72600</v>
      </c>
      <c r="N26" s="342">
        <f t="shared" si="7"/>
        <v>54793.562782876426</v>
      </c>
      <c r="O26" s="345">
        <v>59874.40547904421</v>
      </c>
      <c r="R26" s="339">
        <f t="shared" si="8"/>
        <v>16</v>
      </c>
      <c r="S26" s="342">
        <f t="shared" si="9"/>
        <v>54793.562782876426</v>
      </c>
      <c r="T26" s="341">
        <f t="shared" si="10"/>
        <v>72600</v>
      </c>
      <c r="U26" s="342">
        <f t="shared" si="11"/>
        <v>54793.562782876426</v>
      </c>
      <c r="V26" s="363">
        <f t="shared" si="4"/>
        <v>2.0122028925619833</v>
      </c>
      <c r="W26" s="342">
        <f t="shared" si="12"/>
        <v>110255.76552548057</v>
      </c>
      <c r="X26" s="345">
        <v>110255.76552548057</v>
      </c>
      <c r="AA26" s="339">
        <f t="shared" si="13"/>
        <v>16</v>
      </c>
      <c r="AB26" s="342">
        <f t="shared" si="14"/>
        <v>54793.562782876426</v>
      </c>
      <c r="AC26" s="345">
        <v>59874.40547904421</v>
      </c>
      <c r="AH26" s="339">
        <f t="shared" si="5"/>
        <v>16</v>
      </c>
      <c r="AI26" s="342">
        <f t="shared" si="15"/>
        <v>54793.562782876426</v>
      </c>
      <c r="AJ26" s="485">
        <f t="shared" si="16"/>
        <v>72600</v>
      </c>
      <c r="AK26" s="342">
        <f t="shared" si="17"/>
        <v>54793.562782876426</v>
      </c>
      <c r="AL26" s="341">
        <f>ss_calc!G19</f>
        <v>30469.84</v>
      </c>
      <c r="AM26" s="487">
        <f t="shared" si="18"/>
        <v>1.9368786229268022</v>
      </c>
      <c r="AN26" s="341">
        <f t="shared" si="19"/>
        <v>106128.48042815097</v>
      </c>
      <c r="AO26" s="344">
        <v>108779.46014551682</v>
      </c>
      <c r="AW26" s="339">
        <f t="shared" si="20"/>
        <v>16</v>
      </c>
      <c r="AX26" s="342">
        <f t="shared" si="6"/>
        <v>54793.562782876426</v>
      </c>
      <c r="AY26" s="341">
        <f t="shared" si="21"/>
        <v>72600</v>
      </c>
      <c r="AZ26" s="342">
        <f t="shared" si="22"/>
        <v>54793.562782876426</v>
      </c>
      <c r="BA26" s="341">
        <f t="shared" si="23"/>
        <v>30469.84</v>
      </c>
      <c r="BB26" s="487">
        <f t="shared" si="24"/>
        <v>1.9368786229268022</v>
      </c>
      <c r="BC26" s="342">
        <f t="shared" si="25"/>
        <v>106128.48042815097</v>
      </c>
      <c r="BD26" s="345">
        <v>108779.46014551682</v>
      </c>
    </row>
    <row r="27" spans="2:56" x14ac:dyDescent="0.35">
      <c r="B27" s="339">
        <f t="shared" si="26"/>
        <v>38</v>
      </c>
      <c r="C27" s="340">
        <f t="shared" si="27"/>
        <v>17</v>
      </c>
      <c r="D27" s="341">
        <f>ss_calc!E20</f>
        <v>56437.36966636272</v>
      </c>
      <c r="E27" s="342">
        <f>ss_calc!G20</f>
        <v>32154.82</v>
      </c>
      <c r="F27" s="343">
        <f>ss_calc!I20</f>
        <v>1.8353821212496291</v>
      </c>
      <c r="G27" s="344">
        <f>ss_calc!J20</f>
        <v>103584.13925599828</v>
      </c>
      <c r="H27" s="345">
        <v>108387.74194698915</v>
      </c>
      <c r="K27" s="339">
        <f t="shared" si="2"/>
        <v>17</v>
      </c>
      <c r="L27" s="342">
        <f t="shared" si="3"/>
        <v>56437.36966636272</v>
      </c>
      <c r="M27" s="341">
        <f>ss_calc!F20</f>
        <v>76200</v>
      </c>
      <c r="N27" s="342">
        <f t="shared" si="7"/>
        <v>56437.36966636272</v>
      </c>
      <c r="O27" s="345">
        <v>58810.567139999992</v>
      </c>
      <c r="R27" s="339">
        <f t="shared" si="8"/>
        <v>17</v>
      </c>
      <c r="S27" s="342">
        <f t="shared" si="9"/>
        <v>56437.36966636272</v>
      </c>
      <c r="T27" s="341">
        <f t="shared" si="10"/>
        <v>76200</v>
      </c>
      <c r="U27" s="342">
        <f t="shared" si="11"/>
        <v>56437.36966636272</v>
      </c>
      <c r="V27" s="363">
        <f t="shared" si="4"/>
        <v>1.9171381889763779</v>
      </c>
      <c r="W27" s="342">
        <f t="shared" si="12"/>
        <v>108198.23667276099</v>
      </c>
      <c r="X27" s="345">
        <v>108396.47880135236</v>
      </c>
      <c r="AA27" s="339">
        <f t="shared" si="13"/>
        <v>17</v>
      </c>
      <c r="AB27" s="342">
        <f t="shared" si="14"/>
        <v>56437.36966636272</v>
      </c>
      <c r="AC27" s="345">
        <v>58810.567139999992</v>
      </c>
      <c r="AH27" s="339">
        <f t="shared" si="5"/>
        <v>17</v>
      </c>
      <c r="AI27" s="342">
        <f t="shared" si="15"/>
        <v>56437.36966636272</v>
      </c>
      <c r="AJ27" s="485">
        <f t="shared" si="16"/>
        <v>76200</v>
      </c>
      <c r="AK27" s="342">
        <f t="shared" si="17"/>
        <v>56437.36966636272</v>
      </c>
      <c r="AL27" s="341">
        <f>ss_calc!G20</f>
        <v>32154.82</v>
      </c>
      <c r="AM27" s="487">
        <f t="shared" si="18"/>
        <v>1.8353821212496291</v>
      </c>
      <c r="AN27" s="341">
        <f t="shared" si="19"/>
        <v>103584.13925599828</v>
      </c>
      <c r="AO27" s="344">
        <v>108387.74194698915</v>
      </c>
      <c r="AW27" s="339">
        <f t="shared" si="20"/>
        <v>17</v>
      </c>
      <c r="AX27" s="342">
        <f t="shared" si="6"/>
        <v>56437.36966636272</v>
      </c>
      <c r="AY27" s="341">
        <f t="shared" si="21"/>
        <v>76200</v>
      </c>
      <c r="AZ27" s="342">
        <f t="shared" si="22"/>
        <v>56437.36966636272</v>
      </c>
      <c r="BA27" s="341">
        <f t="shared" si="23"/>
        <v>32154.82</v>
      </c>
      <c r="BB27" s="487">
        <f t="shared" si="24"/>
        <v>1.8353821212496291</v>
      </c>
      <c r="BC27" s="342">
        <f t="shared" si="25"/>
        <v>103584.13925599828</v>
      </c>
      <c r="BD27" s="345">
        <v>108387.74194698915</v>
      </c>
    </row>
    <row r="28" spans="2:56" x14ac:dyDescent="0.35">
      <c r="B28" s="339">
        <f t="shared" si="26"/>
        <v>39</v>
      </c>
      <c r="C28" s="340">
        <f t="shared" si="27"/>
        <v>18</v>
      </c>
      <c r="D28" s="341">
        <f>ss_calc!E21</f>
        <v>58130.490756353604</v>
      </c>
      <c r="E28" s="342">
        <f>ss_calc!G21</f>
        <v>32921.919999999998</v>
      </c>
      <c r="F28" s="343">
        <f>ss_calc!I21</f>
        <v>1.7926166438652424</v>
      </c>
      <c r="G28" s="344">
        <f>ss_calc!J21</f>
        <v>104205.6852458941</v>
      </c>
      <c r="H28" s="345">
        <v>107885.97939100819</v>
      </c>
      <c r="K28" s="339">
        <f t="shared" si="2"/>
        <v>18</v>
      </c>
      <c r="L28" s="342">
        <f t="shared" si="3"/>
        <v>58130.490756353604</v>
      </c>
      <c r="M28" s="341">
        <f>ss_calc!F21</f>
        <v>80400</v>
      </c>
      <c r="N28" s="342">
        <f t="shared" si="7"/>
        <v>58130.490756353604</v>
      </c>
      <c r="O28" s="345">
        <v>58130.490756353604</v>
      </c>
      <c r="R28" s="339">
        <f t="shared" si="8"/>
        <v>18</v>
      </c>
      <c r="S28" s="342">
        <f t="shared" si="9"/>
        <v>58130.490756353604</v>
      </c>
      <c r="T28" s="341">
        <f t="shared" si="10"/>
        <v>80400</v>
      </c>
      <c r="U28" s="342">
        <f t="shared" si="11"/>
        <v>58130.490756353604</v>
      </c>
      <c r="V28" s="363">
        <f t="shared" si="4"/>
        <v>1.8169891791044774</v>
      </c>
      <c r="W28" s="342">
        <f t="shared" si="12"/>
        <v>105622.47268032735</v>
      </c>
      <c r="X28" s="345">
        <v>108198.23667276099</v>
      </c>
      <c r="AA28" s="339">
        <f t="shared" si="13"/>
        <v>18</v>
      </c>
      <c r="AB28" s="342">
        <f t="shared" si="14"/>
        <v>58130.490756353604</v>
      </c>
      <c r="AC28" s="345">
        <v>58130.490756353604</v>
      </c>
      <c r="AH28" s="339">
        <f t="shared" si="5"/>
        <v>18</v>
      </c>
      <c r="AI28" s="342">
        <f t="shared" si="15"/>
        <v>58130.490756353604</v>
      </c>
      <c r="AJ28" s="485">
        <f t="shared" si="16"/>
        <v>80400</v>
      </c>
      <c r="AK28" s="342">
        <f t="shared" si="17"/>
        <v>58130.490756353604</v>
      </c>
      <c r="AL28" s="341">
        <f>ss_calc!G21</f>
        <v>32921.919999999998</v>
      </c>
      <c r="AM28" s="487">
        <f t="shared" si="18"/>
        <v>1.7926166438652424</v>
      </c>
      <c r="AN28" s="341">
        <f t="shared" si="19"/>
        <v>104205.6852458941</v>
      </c>
      <c r="AO28" s="344">
        <v>107885.97939100819</v>
      </c>
      <c r="AW28" s="339">
        <f t="shared" si="20"/>
        <v>18</v>
      </c>
      <c r="AX28" s="342">
        <f t="shared" si="6"/>
        <v>58130.490756353604</v>
      </c>
      <c r="AY28" s="341">
        <f t="shared" si="21"/>
        <v>80400</v>
      </c>
      <c r="AZ28" s="342">
        <f t="shared" si="22"/>
        <v>58130.490756353604</v>
      </c>
      <c r="BA28" s="341">
        <f t="shared" si="23"/>
        <v>32921.919999999998</v>
      </c>
      <c r="BB28" s="487">
        <f t="shared" si="24"/>
        <v>1.7926166438652424</v>
      </c>
      <c r="BC28" s="342">
        <f t="shared" si="25"/>
        <v>104205.6852458941</v>
      </c>
      <c r="BD28" s="345">
        <v>107885.97939100819</v>
      </c>
    </row>
    <row r="29" spans="2:56" x14ac:dyDescent="0.35">
      <c r="B29" s="339">
        <f t="shared" si="26"/>
        <v>40</v>
      </c>
      <c r="C29" s="340">
        <f t="shared" si="27"/>
        <v>19</v>
      </c>
      <c r="D29" s="341">
        <f>ss_calc!E22</f>
        <v>59874.40547904421</v>
      </c>
      <c r="E29" s="342">
        <f>ss_calc!G22</f>
        <v>33252.089999999997</v>
      </c>
      <c r="F29" s="343">
        <f>ss_calc!I22</f>
        <v>1.7748172141961605</v>
      </c>
      <c r="G29" s="344">
        <f>ss_calc!J22</f>
        <v>106266.12553396857</v>
      </c>
      <c r="H29" s="345">
        <v>107410.85549765396</v>
      </c>
      <c r="K29" s="339">
        <f t="shared" si="2"/>
        <v>19</v>
      </c>
      <c r="L29" s="342">
        <f t="shared" si="3"/>
        <v>59874.40547904421</v>
      </c>
      <c r="M29" s="341">
        <f>ss_calc!F22</f>
        <v>84900</v>
      </c>
      <c r="N29" s="342">
        <f t="shared" si="7"/>
        <v>59874.40547904421</v>
      </c>
      <c r="O29" s="345">
        <v>57097.637999999992</v>
      </c>
      <c r="R29" s="339">
        <f t="shared" si="8"/>
        <v>19</v>
      </c>
      <c r="S29" s="342">
        <f t="shared" si="9"/>
        <v>59874.40547904421</v>
      </c>
      <c r="T29" s="341">
        <f t="shared" si="10"/>
        <v>84900</v>
      </c>
      <c r="U29" s="342">
        <f t="shared" si="11"/>
        <v>59874.40547904421</v>
      </c>
      <c r="V29" s="363">
        <f t="shared" si="4"/>
        <v>1.7206823321554769</v>
      </c>
      <c r="W29" s="342">
        <f t="shared" si="12"/>
        <v>103024.83165610446</v>
      </c>
      <c r="X29" s="345">
        <v>106859.55799043342</v>
      </c>
      <c r="AA29" s="339">
        <f t="shared" si="13"/>
        <v>19</v>
      </c>
      <c r="AB29" s="342">
        <f t="shared" si="14"/>
        <v>59874.40547904421</v>
      </c>
      <c r="AC29" s="345">
        <v>57097.637999999992</v>
      </c>
      <c r="AH29" s="339">
        <f t="shared" si="5"/>
        <v>19</v>
      </c>
      <c r="AI29" s="342">
        <f t="shared" si="15"/>
        <v>59874.40547904421</v>
      </c>
      <c r="AJ29" s="485">
        <f t="shared" si="16"/>
        <v>84900</v>
      </c>
      <c r="AK29" s="342">
        <f t="shared" si="17"/>
        <v>59874.40547904421</v>
      </c>
      <c r="AL29" s="341">
        <f>ss_calc!G22</f>
        <v>33252.089999999997</v>
      </c>
      <c r="AM29" s="487">
        <f t="shared" si="18"/>
        <v>1.7748172141961605</v>
      </c>
      <c r="AN29" s="341">
        <f t="shared" si="19"/>
        <v>106266.12553396857</v>
      </c>
      <c r="AO29" s="344">
        <v>107410.85549765396</v>
      </c>
      <c r="AW29" s="339">
        <f t="shared" si="20"/>
        <v>19</v>
      </c>
      <c r="AX29" s="342">
        <f t="shared" si="6"/>
        <v>59874.40547904421</v>
      </c>
      <c r="AY29" s="341">
        <f t="shared" si="21"/>
        <v>84900</v>
      </c>
      <c r="AZ29" s="342">
        <f t="shared" si="22"/>
        <v>59874.40547904421</v>
      </c>
      <c r="BA29" s="341">
        <f t="shared" si="23"/>
        <v>33252.089999999997</v>
      </c>
      <c r="BB29" s="487">
        <f t="shared" si="24"/>
        <v>1.7748172141961605</v>
      </c>
      <c r="BC29" s="342">
        <f t="shared" si="25"/>
        <v>106266.12553396857</v>
      </c>
      <c r="BD29" s="345">
        <v>107410.85549765396</v>
      </c>
    </row>
    <row r="30" spans="2:56" x14ac:dyDescent="0.35">
      <c r="B30" s="339">
        <f t="shared" si="26"/>
        <v>41</v>
      </c>
      <c r="C30" s="340">
        <f t="shared" si="27"/>
        <v>20</v>
      </c>
      <c r="D30" s="341">
        <f>ss_calc!E23</f>
        <v>61670.637643415539</v>
      </c>
      <c r="E30" s="342">
        <f>ss_calc!G23</f>
        <v>34064.949999999997</v>
      </c>
      <c r="F30" s="343">
        <f>ss_calc!I23</f>
        <v>1.7324664131313858</v>
      </c>
      <c r="G30" s="344">
        <f>ss_calc!J23</f>
        <v>106842.30839361354</v>
      </c>
      <c r="H30" s="345">
        <v>107271.99209412813</v>
      </c>
      <c r="K30" s="339">
        <f t="shared" si="2"/>
        <v>20</v>
      </c>
      <c r="L30" s="342">
        <f t="shared" si="3"/>
        <v>61670.637643415539</v>
      </c>
      <c r="M30" s="341">
        <f>ss_calc!F23</f>
        <v>87000</v>
      </c>
      <c r="N30" s="342">
        <f t="shared" si="7"/>
        <v>61670.637643415539</v>
      </c>
      <c r="O30" s="345">
        <v>56437.36966636272</v>
      </c>
      <c r="R30" s="339">
        <f t="shared" si="8"/>
        <v>20</v>
      </c>
      <c r="S30" s="342">
        <f t="shared" si="9"/>
        <v>61670.637643415539</v>
      </c>
      <c r="T30" s="341">
        <f t="shared" si="10"/>
        <v>87000</v>
      </c>
      <c r="U30" s="342">
        <f t="shared" si="11"/>
        <v>61670.637643415539</v>
      </c>
      <c r="V30" s="363">
        <f t="shared" si="4"/>
        <v>1.6791486206896551</v>
      </c>
      <c r="W30" s="342">
        <f t="shared" si="12"/>
        <v>103554.16613599272</v>
      </c>
      <c r="X30" s="345">
        <v>106766.38344395674</v>
      </c>
      <c r="AA30" s="339">
        <f t="shared" si="13"/>
        <v>20</v>
      </c>
      <c r="AB30" s="342">
        <f t="shared" si="14"/>
        <v>61670.637643415539</v>
      </c>
      <c r="AC30" s="345">
        <v>56437.36966636272</v>
      </c>
      <c r="AH30" s="339">
        <f t="shared" si="5"/>
        <v>20</v>
      </c>
      <c r="AI30" s="342">
        <f t="shared" si="15"/>
        <v>61670.637643415539</v>
      </c>
      <c r="AJ30" s="485">
        <f t="shared" si="16"/>
        <v>87000</v>
      </c>
      <c r="AK30" s="342">
        <f t="shared" si="17"/>
        <v>61670.637643415539</v>
      </c>
      <c r="AL30" s="341">
        <f>ss_calc!G23</f>
        <v>34064.949999999997</v>
      </c>
      <c r="AM30" s="487">
        <f t="shared" si="18"/>
        <v>1.7324664131313858</v>
      </c>
      <c r="AN30" s="341">
        <f t="shared" si="19"/>
        <v>106842.30839361354</v>
      </c>
      <c r="AO30" s="344">
        <v>107271.99209412813</v>
      </c>
      <c r="AW30" s="339">
        <f t="shared" si="20"/>
        <v>20</v>
      </c>
      <c r="AX30" s="342">
        <f t="shared" si="6"/>
        <v>61670.637643415539</v>
      </c>
      <c r="AY30" s="341">
        <f t="shared" si="21"/>
        <v>87000</v>
      </c>
      <c r="AZ30" s="342">
        <f t="shared" si="22"/>
        <v>61670.637643415539</v>
      </c>
      <c r="BA30" s="341">
        <f t="shared" si="23"/>
        <v>34064.949999999997</v>
      </c>
      <c r="BB30" s="487">
        <f t="shared" si="24"/>
        <v>1.7324664131313858</v>
      </c>
      <c r="BC30" s="342">
        <f t="shared" si="25"/>
        <v>106842.30839361354</v>
      </c>
      <c r="BD30" s="345">
        <v>107271.99209412813</v>
      </c>
    </row>
    <row r="31" spans="2:56" x14ac:dyDescent="0.35">
      <c r="B31" s="339">
        <f t="shared" si="26"/>
        <v>42</v>
      </c>
      <c r="C31" s="340">
        <f t="shared" si="27"/>
        <v>21</v>
      </c>
      <c r="D31" s="341">
        <f>ss_calc!E24</f>
        <v>63520.756772718007</v>
      </c>
      <c r="E31" s="342">
        <f>ss_calc!G24</f>
        <v>35648.550000000003</v>
      </c>
      <c r="F31" s="343">
        <f>ss_calc!I24</f>
        <v>1.6555058127188902</v>
      </c>
      <c r="G31" s="344">
        <f>ss_calc!J24</f>
        <v>105158.98206553748</v>
      </c>
      <c r="H31" s="345">
        <v>107144.51047653603</v>
      </c>
      <c r="K31" s="339">
        <f t="shared" si="2"/>
        <v>21</v>
      </c>
      <c r="L31" s="342">
        <f t="shared" si="3"/>
        <v>63520.756772718007</v>
      </c>
      <c r="M31" s="341">
        <f>ss_calc!F24</f>
        <v>87900</v>
      </c>
      <c r="N31" s="342">
        <f t="shared" si="7"/>
        <v>63520.756772718007</v>
      </c>
      <c r="O31" s="345">
        <v>55434.599999999991</v>
      </c>
      <c r="R31" s="339">
        <f t="shared" si="8"/>
        <v>21</v>
      </c>
      <c r="S31" s="342">
        <f t="shared" si="9"/>
        <v>63520.756772718007</v>
      </c>
      <c r="T31" s="341">
        <f t="shared" si="10"/>
        <v>87900</v>
      </c>
      <c r="U31" s="342">
        <f t="shared" si="11"/>
        <v>63520.756772718007</v>
      </c>
      <c r="V31" s="363">
        <f t="shared" si="4"/>
        <v>1.6619559726962456</v>
      </c>
      <c r="W31" s="342">
        <f t="shared" si="12"/>
        <v>105568.70110860419</v>
      </c>
      <c r="X31" s="345">
        <v>106588.52159953742</v>
      </c>
      <c r="AA31" s="339">
        <f t="shared" si="13"/>
        <v>21</v>
      </c>
      <c r="AB31" s="342">
        <f t="shared" si="14"/>
        <v>63520.756772718007</v>
      </c>
      <c r="AC31" s="345">
        <v>55434.599999999991</v>
      </c>
      <c r="AH31" s="339">
        <f t="shared" si="5"/>
        <v>21</v>
      </c>
      <c r="AI31" s="342">
        <f t="shared" si="15"/>
        <v>63520.756772718007</v>
      </c>
      <c r="AJ31" s="485">
        <f t="shared" si="16"/>
        <v>87900</v>
      </c>
      <c r="AK31" s="342">
        <f t="shared" si="17"/>
        <v>63520.756772718007</v>
      </c>
      <c r="AL31" s="341">
        <f>ss_calc!G24</f>
        <v>35648.550000000003</v>
      </c>
      <c r="AM31" s="487">
        <f t="shared" si="18"/>
        <v>1.6555058127188902</v>
      </c>
      <c r="AN31" s="341">
        <f t="shared" si="19"/>
        <v>105158.98206553748</v>
      </c>
      <c r="AO31" s="344">
        <v>107144.51047653603</v>
      </c>
      <c r="AW31" s="339">
        <f t="shared" si="20"/>
        <v>21</v>
      </c>
      <c r="AX31" s="342">
        <f t="shared" si="6"/>
        <v>63520.756772718007</v>
      </c>
      <c r="AY31" s="341">
        <f t="shared" si="21"/>
        <v>87900</v>
      </c>
      <c r="AZ31" s="342">
        <f t="shared" si="22"/>
        <v>63520.756772718007</v>
      </c>
      <c r="BA31" s="341">
        <f t="shared" si="23"/>
        <v>35648.550000000003</v>
      </c>
      <c r="BB31" s="487">
        <f t="shared" si="24"/>
        <v>1.6555058127188902</v>
      </c>
      <c r="BC31" s="342">
        <f t="shared" si="25"/>
        <v>105158.98206553748</v>
      </c>
      <c r="BD31" s="345">
        <v>107144.51047653603</v>
      </c>
    </row>
    <row r="32" spans="2:56" x14ac:dyDescent="0.35">
      <c r="B32" s="339">
        <f t="shared" si="26"/>
        <v>43</v>
      </c>
      <c r="C32" s="340">
        <f t="shared" si="27"/>
        <v>22</v>
      </c>
      <c r="D32" s="341">
        <f>ss_calc!E25</f>
        <v>65426.37947589955</v>
      </c>
      <c r="E32" s="342">
        <f>ss_calc!G25</f>
        <v>36952.94</v>
      </c>
      <c r="F32" s="343">
        <f>ss_calc!I25</f>
        <v>1.5970686429821279</v>
      </c>
      <c r="G32" s="344">
        <f>ss_calc!J25</f>
        <v>104490.41908480864</v>
      </c>
      <c r="H32" s="345">
        <v>106842.30839361354</v>
      </c>
      <c r="K32" s="339">
        <f t="shared" si="2"/>
        <v>22</v>
      </c>
      <c r="L32" s="342">
        <f t="shared" si="3"/>
        <v>65426.37947589955</v>
      </c>
      <c r="M32" s="341">
        <f>ss_calc!F25</f>
        <v>90000</v>
      </c>
      <c r="N32" s="342">
        <f t="shared" si="7"/>
        <v>65426.37947589955</v>
      </c>
      <c r="O32" s="345">
        <v>54793.562782876426</v>
      </c>
      <c r="R32" s="339">
        <f t="shared" si="8"/>
        <v>22</v>
      </c>
      <c r="S32" s="342">
        <f t="shared" si="9"/>
        <v>65426.37947589955</v>
      </c>
      <c r="T32" s="341">
        <f t="shared" si="10"/>
        <v>90000</v>
      </c>
      <c r="U32" s="342">
        <f t="shared" si="11"/>
        <v>65426.37947589955</v>
      </c>
      <c r="V32" s="363">
        <f t="shared" si="4"/>
        <v>1.6231769999999999</v>
      </c>
      <c r="W32" s="342">
        <f t="shared" si="12"/>
        <v>106198.59435855219</v>
      </c>
      <c r="X32" s="345">
        <v>106487.49500171527</v>
      </c>
      <c r="AA32" s="339">
        <f t="shared" si="13"/>
        <v>22</v>
      </c>
      <c r="AB32" s="342">
        <f t="shared" si="14"/>
        <v>65426.37947589955</v>
      </c>
      <c r="AC32" s="345">
        <v>54793.562782876426</v>
      </c>
      <c r="AH32" s="339">
        <f t="shared" si="5"/>
        <v>22</v>
      </c>
      <c r="AI32" s="342">
        <f t="shared" si="15"/>
        <v>65426.37947589955</v>
      </c>
      <c r="AJ32" s="485">
        <f t="shared" si="16"/>
        <v>90000</v>
      </c>
      <c r="AK32" s="342">
        <f t="shared" si="17"/>
        <v>65426.37947589955</v>
      </c>
      <c r="AL32" s="341">
        <f>ss_calc!G25</f>
        <v>36952.94</v>
      </c>
      <c r="AM32" s="487">
        <f t="shared" si="18"/>
        <v>1.5970686429821279</v>
      </c>
      <c r="AN32" s="341">
        <f t="shared" si="19"/>
        <v>104490.41908480864</v>
      </c>
      <c r="AO32" s="344">
        <v>106842.30839361354</v>
      </c>
      <c r="AW32" s="339">
        <f t="shared" si="20"/>
        <v>22</v>
      </c>
      <c r="AX32" s="342">
        <f t="shared" si="6"/>
        <v>65426.37947589955</v>
      </c>
      <c r="AY32" s="341">
        <f t="shared" si="21"/>
        <v>90000</v>
      </c>
      <c r="AZ32" s="342">
        <f t="shared" si="22"/>
        <v>65426.37947589955</v>
      </c>
      <c r="BA32" s="341">
        <f t="shared" si="23"/>
        <v>36952.94</v>
      </c>
      <c r="BB32" s="487">
        <f t="shared" si="24"/>
        <v>1.5970686429821279</v>
      </c>
      <c r="BC32" s="342">
        <f t="shared" si="25"/>
        <v>104490.41908480864</v>
      </c>
      <c r="BD32" s="345">
        <v>106842.30839361354</v>
      </c>
    </row>
    <row r="33" spans="2:56" x14ac:dyDescent="0.35">
      <c r="B33" s="339">
        <f t="shared" si="26"/>
        <v>44</v>
      </c>
      <c r="C33" s="340">
        <f t="shared" si="27"/>
        <v>23</v>
      </c>
      <c r="D33" s="341">
        <f>ss_calc!E26</f>
        <v>67389.170860176542</v>
      </c>
      <c r="E33" s="342">
        <f>ss_calc!G26</f>
        <v>38651.410000000003</v>
      </c>
      <c r="F33" s="343">
        <f>ss_calc!I26</f>
        <v>1.5268881973516617</v>
      </c>
      <c r="G33" s="344">
        <f>ss_calc!J26</f>
        <v>102895.7296157181</v>
      </c>
      <c r="H33" s="345">
        <v>106747.10093525161</v>
      </c>
      <c r="K33" s="339">
        <f t="shared" si="2"/>
        <v>23</v>
      </c>
      <c r="L33" s="342">
        <f t="shared" si="3"/>
        <v>67389.170860176542</v>
      </c>
      <c r="M33" s="341">
        <f>ss_calc!F26</f>
        <v>94200</v>
      </c>
      <c r="N33" s="342">
        <f t="shared" si="7"/>
        <v>67389.170860176542</v>
      </c>
      <c r="O33" s="345">
        <v>53819.999999999993</v>
      </c>
      <c r="R33" s="339">
        <f t="shared" si="8"/>
        <v>23</v>
      </c>
      <c r="S33" s="342">
        <f t="shared" si="9"/>
        <v>67389.170860176542</v>
      </c>
      <c r="T33" s="341">
        <f t="shared" si="10"/>
        <v>94200</v>
      </c>
      <c r="U33" s="342">
        <f t="shared" si="11"/>
        <v>67389.170860176542</v>
      </c>
      <c r="V33" s="363">
        <f t="shared" si="4"/>
        <v>1.550806050955414</v>
      </c>
      <c r="W33" s="342">
        <f t="shared" si="12"/>
        <v>104507.53393883005</v>
      </c>
      <c r="X33" s="345">
        <v>106198.59435855219</v>
      </c>
      <c r="AA33" s="339">
        <f t="shared" si="13"/>
        <v>23</v>
      </c>
      <c r="AB33" s="342">
        <f t="shared" si="14"/>
        <v>67389.170860176542</v>
      </c>
      <c r="AC33" s="345">
        <v>53819.999999999993</v>
      </c>
      <c r="AH33" s="339">
        <f t="shared" si="5"/>
        <v>23</v>
      </c>
      <c r="AI33" s="342">
        <f t="shared" si="15"/>
        <v>67389.170860176542</v>
      </c>
      <c r="AJ33" s="485">
        <f t="shared" si="16"/>
        <v>94200</v>
      </c>
      <c r="AK33" s="342">
        <f t="shared" si="17"/>
        <v>67389.170860176542</v>
      </c>
      <c r="AL33" s="341">
        <f>ss_calc!G26</f>
        <v>38651.410000000003</v>
      </c>
      <c r="AM33" s="487">
        <f t="shared" si="18"/>
        <v>1.5268881973516617</v>
      </c>
      <c r="AN33" s="341">
        <f t="shared" si="19"/>
        <v>102895.7296157181</v>
      </c>
      <c r="AO33" s="344">
        <v>106747.10093525161</v>
      </c>
      <c r="AW33" s="339">
        <f t="shared" si="20"/>
        <v>23</v>
      </c>
      <c r="AX33" s="342">
        <f t="shared" si="6"/>
        <v>67389.170860176542</v>
      </c>
      <c r="AY33" s="341">
        <f t="shared" si="21"/>
        <v>94200</v>
      </c>
      <c r="AZ33" s="342">
        <f t="shared" si="22"/>
        <v>67389.170860176542</v>
      </c>
      <c r="BA33" s="341">
        <f t="shared" si="23"/>
        <v>38651.410000000003</v>
      </c>
      <c r="BB33" s="487">
        <f t="shared" si="24"/>
        <v>1.5268881973516617</v>
      </c>
      <c r="BC33" s="342">
        <f t="shared" si="25"/>
        <v>102895.7296157181</v>
      </c>
      <c r="BD33" s="345">
        <v>106747.10093525161</v>
      </c>
    </row>
    <row r="34" spans="2:56" x14ac:dyDescent="0.35">
      <c r="B34" s="339">
        <f t="shared" si="26"/>
        <v>45</v>
      </c>
      <c r="C34" s="340">
        <f t="shared" si="27"/>
        <v>24</v>
      </c>
      <c r="D34" s="341">
        <f>ss_calc!E27</f>
        <v>69410.845985981839</v>
      </c>
      <c r="E34" s="342">
        <f>ss_calc!G27</f>
        <v>40405.480000000003</v>
      </c>
      <c r="F34" s="343">
        <f>ss_calc!I27</f>
        <v>1.4606034067656168</v>
      </c>
      <c r="G34" s="344">
        <f>ss_calc!J27</f>
        <v>101381.71811360861</v>
      </c>
      <c r="H34" s="345">
        <v>106266.12553396857</v>
      </c>
      <c r="K34" s="339">
        <f t="shared" si="2"/>
        <v>24</v>
      </c>
      <c r="L34" s="342">
        <f t="shared" si="3"/>
        <v>69410.845985981839</v>
      </c>
      <c r="M34" s="341">
        <f>ss_calc!F27</f>
        <v>97500</v>
      </c>
      <c r="N34" s="342">
        <f t="shared" si="7"/>
        <v>69410.845985981839</v>
      </c>
      <c r="O34" s="345">
        <v>53197.633769782937</v>
      </c>
      <c r="R34" s="339">
        <f t="shared" si="8"/>
        <v>24</v>
      </c>
      <c r="S34" s="342">
        <f t="shared" si="9"/>
        <v>69410.845985981839</v>
      </c>
      <c r="T34" s="341">
        <f t="shared" si="10"/>
        <v>97500</v>
      </c>
      <c r="U34" s="342">
        <f t="shared" si="11"/>
        <v>69410.845985981839</v>
      </c>
      <c r="V34" s="363">
        <f t="shared" si="4"/>
        <v>1.4983172307692307</v>
      </c>
      <c r="W34" s="342">
        <f t="shared" si="12"/>
        <v>103999.46654306588</v>
      </c>
      <c r="X34" s="345">
        <v>105622.47268032735</v>
      </c>
      <c r="AA34" s="339">
        <f t="shared" si="13"/>
        <v>24</v>
      </c>
      <c r="AB34" s="342">
        <f t="shared" si="14"/>
        <v>69410.845985981839</v>
      </c>
      <c r="AC34" s="345">
        <v>53197.633769782937</v>
      </c>
      <c r="AH34" s="339">
        <f t="shared" si="5"/>
        <v>24</v>
      </c>
      <c r="AI34" s="342">
        <f t="shared" si="15"/>
        <v>69410.845985981839</v>
      </c>
      <c r="AJ34" s="485">
        <f t="shared" si="16"/>
        <v>97500</v>
      </c>
      <c r="AK34" s="342">
        <f t="shared" si="17"/>
        <v>69410.845985981839</v>
      </c>
      <c r="AL34" s="341">
        <f>ss_calc!G27</f>
        <v>40405.480000000003</v>
      </c>
      <c r="AM34" s="487">
        <f t="shared" si="18"/>
        <v>1.4606034067656168</v>
      </c>
      <c r="AN34" s="341">
        <f t="shared" si="19"/>
        <v>101381.71811360861</v>
      </c>
      <c r="AO34" s="344">
        <v>106266.12553396857</v>
      </c>
      <c r="AW34" s="339">
        <f t="shared" si="20"/>
        <v>24</v>
      </c>
      <c r="AX34" s="342">
        <f t="shared" si="6"/>
        <v>69410.845985981839</v>
      </c>
      <c r="AY34" s="341">
        <f t="shared" si="21"/>
        <v>97500</v>
      </c>
      <c r="AZ34" s="342">
        <f t="shared" si="22"/>
        <v>69410.845985981839</v>
      </c>
      <c r="BA34" s="341">
        <f t="shared" si="23"/>
        <v>40405.480000000003</v>
      </c>
      <c r="BB34" s="487">
        <f t="shared" si="24"/>
        <v>1.4606034067656168</v>
      </c>
      <c r="BC34" s="342">
        <f t="shared" si="25"/>
        <v>101381.71811360861</v>
      </c>
      <c r="BD34" s="345">
        <v>106266.12553396857</v>
      </c>
    </row>
    <row r="35" spans="2:56" x14ac:dyDescent="0.35">
      <c r="B35" s="339">
        <f t="shared" si="26"/>
        <v>46</v>
      </c>
      <c r="C35" s="340">
        <f t="shared" si="27"/>
        <v>25</v>
      </c>
      <c r="D35" s="341">
        <f>ss_calc!E28</f>
        <v>71493.171365561298</v>
      </c>
      <c r="E35" s="342">
        <f>ss_calc!G28</f>
        <v>41334.97</v>
      </c>
      <c r="F35" s="343">
        <f>ss_calc!I28</f>
        <v>1.427759152601296</v>
      </c>
      <c r="G35" s="344">
        <f>ss_calc!J28</f>
        <v>102075.02976567304</v>
      </c>
      <c r="H35" s="345">
        <v>106128.48042815097</v>
      </c>
      <c r="K35" s="339">
        <f t="shared" si="2"/>
        <v>25</v>
      </c>
      <c r="L35" s="342">
        <f t="shared" si="3"/>
        <v>71493.171365561298</v>
      </c>
      <c r="M35" s="341">
        <f>ss_calc!F28</f>
        <v>102000</v>
      </c>
      <c r="N35" s="342">
        <f t="shared" si="7"/>
        <v>71493.171365561298</v>
      </c>
      <c r="O35" s="345">
        <v>52000</v>
      </c>
      <c r="R35" s="339">
        <f t="shared" si="8"/>
        <v>25</v>
      </c>
      <c r="S35" s="342">
        <f t="shared" si="9"/>
        <v>71493.171365561298</v>
      </c>
      <c r="T35" s="341">
        <f t="shared" si="10"/>
        <v>102000</v>
      </c>
      <c r="U35" s="342">
        <f t="shared" si="11"/>
        <v>71493.171365561298</v>
      </c>
      <c r="V35" s="363">
        <f t="shared" si="4"/>
        <v>1.432215</v>
      </c>
      <c r="W35" s="342">
        <f t="shared" si="12"/>
        <v>102393.59242732737</v>
      </c>
      <c r="X35" s="345">
        <v>105568.70110860419</v>
      </c>
      <c r="AA35" s="339">
        <f t="shared" si="13"/>
        <v>25</v>
      </c>
      <c r="AB35" s="342">
        <f t="shared" si="14"/>
        <v>71493.171365561298</v>
      </c>
      <c r="AC35" s="345">
        <v>52000</v>
      </c>
      <c r="AH35" s="339">
        <f t="shared" si="5"/>
        <v>25</v>
      </c>
      <c r="AI35" s="342">
        <f t="shared" si="15"/>
        <v>71493.171365561298</v>
      </c>
      <c r="AJ35" s="485">
        <f t="shared" si="16"/>
        <v>102000</v>
      </c>
      <c r="AK35" s="342">
        <f t="shared" si="17"/>
        <v>71493.171365561298</v>
      </c>
      <c r="AL35" s="341">
        <f>ss_calc!G28</f>
        <v>41334.97</v>
      </c>
      <c r="AM35" s="487">
        <f t="shared" si="18"/>
        <v>1.427759152601296</v>
      </c>
      <c r="AN35" s="341">
        <f t="shared" si="19"/>
        <v>102075.02976567304</v>
      </c>
      <c r="AO35" s="344">
        <v>106128.48042815097</v>
      </c>
      <c r="AW35" s="339">
        <f t="shared" si="20"/>
        <v>25</v>
      </c>
      <c r="AX35" s="342">
        <f t="shared" si="6"/>
        <v>71493.171365561298</v>
      </c>
      <c r="AY35" s="341">
        <f t="shared" si="21"/>
        <v>102000</v>
      </c>
      <c r="AZ35" s="342">
        <f t="shared" si="22"/>
        <v>71493.171365561298</v>
      </c>
      <c r="BA35" s="341">
        <f t="shared" si="23"/>
        <v>41334.97</v>
      </c>
      <c r="BB35" s="487">
        <f t="shared" si="24"/>
        <v>1.427759152601296</v>
      </c>
      <c r="BC35" s="342">
        <f t="shared" si="25"/>
        <v>102075.02976567304</v>
      </c>
      <c r="BD35" s="345">
        <v>106128.48042815097</v>
      </c>
    </row>
    <row r="36" spans="2:56" x14ac:dyDescent="0.35">
      <c r="B36" s="339">
        <f t="shared" si="26"/>
        <v>47</v>
      </c>
      <c r="C36" s="340">
        <f t="shared" si="27"/>
        <v>26</v>
      </c>
      <c r="D36" s="341">
        <f>ss_calc!E29</f>
        <v>73637.966506528144</v>
      </c>
      <c r="E36" s="342">
        <f>ss_calc!G29</f>
        <v>40711.61</v>
      </c>
      <c r="F36" s="343">
        <f>ss_calc!I29</f>
        <v>1.4496204335814771</v>
      </c>
      <c r="G36" s="344">
        <f>ss_calc!J29</f>
        <v>106747.10093525161</v>
      </c>
      <c r="H36" s="345">
        <v>105158.98206553748</v>
      </c>
      <c r="K36" s="339">
        <f t="shared" si="2"/>
        <v>26</v>
      </c>
      <c r="L36" s="342">
        <f t="shared" si="3"/>
        <v>73637.966506528144</v>
      </c>
      <c r="M36" s="341">
        <f>ss_calc!F29</f>
        <v>106800</v>
      </c>
      <c r="N36" s="342">
        <f t="shared" si="7"/>
        <v>73637.966506528144</v>
      </c>
      <c r="O36" s="345">
        <v>51648.188126002853</v>
      </c>
      <c r="R36" s="339">
        <f t="shared" si="8"/>
        <v>26</v>
      </c>
      <c r="S36" s="342">
        <f t="shared" si="9"/>
        <v>73637.966506528144</v>
      </c>
      <c r="T36" s="341">
        <f t="shared" si="10"/>
        <v>106800</v>
      </c>
      <c r="U36" s="342">
        <f t="shared" si="11"/>
        <v>73637.966506528144</v>
      </c>
      <c r="V36" s="363">
        <f t="shared" si="4"/>
        <v>1.3678457865168538</v>
      </c>
      <c r="W36" s="342">
        <f t="shared" si="12"/>
        <v>100725.38221362373</v>
      </c>
      <c r="X36" s="345">
        <v>104507.53393883005</v>
      </c>
      <c r="AA36" s="339">
        <f t="shared" si="13"/>
        <v>26</v>
      </c>
      <c r="AB36" s="342">
        <f t="shared" si="14"/>
        <v>73637.966506528144</v>
      </c>
      <c r="AC36" s="345">
        <v>51648.188126002853</v>
      </c>
      <c r="AH36" s="339">
        <f t="shared" si="5"/>
        <v>26</v>
      </c>
      <c r="AI36" s="342">
        <f t="shared" si="15"/>
        <v>73637.966506528144</v>
      </c>
      <c r="AJ36" s="485">
        <f t="shared" si="16"/>
        <v>106800</v>
      </c>
      <c r="AK36" s="342">
        <f t="shared" si="17"/>
        <v>73637.966506528144</v>
      </c>
      <c r="AL36" s="341">
        <f>ss_calc!G29</f>
        <v>40711.61</v>
      </c>
      <c r="AM36" s="487">
        <f t="shared" si="18"/>
        <v>1.4496204335814771</v>
      </c>
      <c r="AN36" s="341">
        <f t="shared" si="19"/>
        <v>106747.10093525161</v>
      </c>
      <c r="AO36" s="344">
        <v>105158.98206553748</v>
      </c>
      <c r="AW36" s="339">
        <f t="shared" si="20"/>
        <v>26</v>
      </c>
      <c r="AX36" s="342">
        <f t="shared" si="6"/>
        <v>73637.966506528144</v>
      </c>
      <c r="AY36" s="341">
        <f t="shared" si="21"/>
        <v>106800</v>
      </c>
      <c r="AZ36" s="342">
        <f t="shared" si="22"/>
        <v>73637.966506528144</v>
      </c>
      <c r="BA36" s="341">
        <f t="shared" si="23"/>
        <v>40711.61</v>
      </c>
      <c r="BB36" s="487">
        <f t="shared" si="24"/>
        <v>1.4496204335814771</v>
      </c>
      <c r="BC36" s="342">
        <f t="shared" si="25"/>
        <v>106747.10093525161</v>
      </c>
      <c r="BD36" s="345">
        <v>105158.98206553748</v>
      </c>
    </row>
    <row r="37" spans="2:56" x14ac:dyDescent="0.35">
      <c r="B37" s="339">
        <f t="shared" si="26"/>
        <v>48</v>
      </c>
      <c r="C37" s="340">
        <f t="shared" si="27"/>
        <v>27</v>
      </c>
      <c r="D37" s="341">
        <f>ss_calc!E30</f>
        <v>75847.105501723985</v>
      </c>
      <c r="E37" s="342">
        <f>ss_calc!G30</f>
        <v>41673.83</v>
      </c>
      <c r="F37" s="343">
        <f>ss_calc!I30</f>
        <v>1.4161496973040393</v>
      </c>
      <c r="G37" s="344">
        <f>ss_calc!J30</f>
        <v>107410.85549765396</v>
      </c>
      <c r="H37" s="345">
        <v>104490.41908480864</v>
      </c>
      <c r="K37" s="339">
        <f t="shared" si="2"/>
        <v>27</v>
      </c>
      <c r="L37" s="342">
        <f t="shared" si="3"/>
        <v>75847.105501723985</v>
      </c>
      <c r="M37" s="341">
        <f>ss_calc!F30</f>
        <v>106800</v>
      </c>
      <c r="N37" s="342">
        <f t="shared" si="7"/>
        <v>75847.105501723985</v>
      </c>
      <c r="O37" s="345">
        <v>50143.871966993058</v>
      </c>
      <c r="R37" s="339">
        <f t="shared" si="8"/>
        <v>27</v>
      </c>
      <c r="S37" s="342">
        <f t="shared" si="9"/>
        <v>75847.105501723985</v>
      </c>
      <c r="T37" s="341">
        <f t="shared" si="10"/>
        <v>106800</v>
      </c>
      <c r="U37" s="342">
        <f t="shared" si="11"/>
        <v>75847.105501723985</v>
      </c>
      <c r="V37" s="363">
        <f t="shared" si="4"/>
        <v>1.3678457865168538</v>
      </c>
      <c r="W37" s="342">
        <f t="shared" si="12"/>
        <v>103747.14368003243</v>
      </c>
      <c r="X37" s="345">
        <v>103999.46654306588</v>
      </c>
      <c r="AA37" s="339">
        <f t="shared" si="13"/>
        <v>27</v>
      </c>
      <c r="AB37" s="342">
        <f t="shared" si="14"/>
        <v>75847.105501723985</v>
      </c>
      <c r="AC37" s="345">
        <v>50143.871966993058</v>
      </c>
      <c r="AH37" s="339">
        <f t="shared" si="5"/>
        <v>27</v>
      </c>
      <c r="AI37" s="342">
        <f t="shared" si="15"/>
        <v>75847.105501723985</v>
      </c>
      <c r="AJ37" s="485">
        <f t="shared" si="16"/>
        <v>106800</v>
      </c>
      <c r="AK37" s="342">
        <f t="shared" si="17"/>
        <v>75847.105501723985</v>
      </c>
      <c r="AL37" s="341">
        <f>ss_calc!G30</f>
        <v>41673.83</v>
      </c>
      <c r="AM37" s="487">
        <f t="shared" si="18"/>
        <v>1.4161496973040393</v>
      </c>
      <c r="AN37" s="341">
        <f t="shared" si="19"/>
        <v>107410.85549765396</v>
      </c>
      <c r="AO37" s="344">
        <v>104490.41908480864</v>
      </c>
      <c r="AW37" s="339">
        <f t="shared" si="20"/>
        <v>27</v>
      </c>
      <c r="AX37" s="342">
        <f t="shared" si="6"/>
        <v>75847.105501723985</v>
      </c>
      <c r="AY37" s="341">
        <f t="shared" si="21"/>
        <v>106800</v>
      </c>
      <c r="AZ37" s="342">
        <f t="shared" si="22"/>
        <v>75847.105501723985</v>
      </c>
      <c r="BA37" s="341">
        <f t="shared" si="23"/>
        <v>41673.83</v>
      </c>
      <c r="BB37" s="487">
        <f t="shared" si="24"/>
        <v>1.4161496973040393</v>
      </c>
      <c r="BC37" s="342">
        <f t="shared" si="25"/>
        <v>107410.85549765396</v>
      </c>
      <c r="BD37" s="345">
        <v>104490.41908480864</v>
      </c>
    </row>
    <row r="38" spans="2:56" x14ac:dyDescent="0.35">
      <c r="B38" s="339">
        <f t="shared" si="26"/>
        <v>49</v>
      </c>
      <c r="C38" s="340">
        <f t="shared" si="27"/>
        <v>28</v>
      </c>
      <c r="D38" s="341">
        <f>ss_calc!E31</f>
        <v>78122.518666775708</v>
      </c>
      <c r="E38" s="342">
        <f>ss_calc!G31</f>
        <v>42979.61</v>
      </c>
      <c r="F38" s="343">
        <f>ss_calc!I31</f>
        <v>1.3731251107211069</v>
      </c>
      <c r="G38" s="344">
        <f>ss_calc!J31</f>
        <v>107271.99209412813</v>
      </c>
      <c r="H38" s="345">
        <v>104205.6852458941</v>
      </c>
      <c r="K38" s="339">
        <f t="shared" si="2"/>
        <v>28</v>
      </c>
      <c r="L38" s="342">
        <f t="shared" si="3"/>
        <v>78122.518666775708</v>
      </c>
      <c r="M38" s="341">
        <f>ss_calc!F31</f>
        <v>106800</v>
      </c>
      <c r="N38" s="342">
        <f t="shared" si="7"/>
        <v>78122.518666775708</v>
      </c>
      <c r="O38" s="345">
        <v>48683.370841740834</v>
      </c>
      <c r="R38" s="339">
        <f t="shared" si="8"/>
        <v>28</v>
      </c>
      <c r="S38" s="342">
        <f t="shared" si="9"/>
        <v>78122.518666775708</v>
      </c>
      <c r="T38" s="341">
        <f t="shared" si="10"/>
        <v>106800</v>
      </c>
      <c r="U38" s="342">
        <f t="shared" si="11"/>
        <v>78122.518666775708</v>
      </c>
      <c r="V38" s="363">
        <f t="shared" si="4"/>
        <v>1.3678457865168538</v>
      </c>
      <c r="W38" s="342">
        <f t="shared" si="12"/>
        <v>106859.55799043342</v>
      </c>
      <c r="X38" s="345">
        <v>103747.14368003243</v>
      </c>
      <c r="AA38" s="339">
        <f t="shared" si="13"/>
        <v>28</v>
      </c>
      <c r="AB38" s="342">
        <f t="shared" si="14"/>
        <v>78122.518666775708</v>
      </c>
      <c r="AC38" s="345">
        <v>48683.370841740834</v>
      </c>
      <c r="AH38" s="339">
        <f t="shared" si="5"/>
        <v>28</v>
      </c>
      <c r="AI38" s="342">
        <f t="shared" si="15"/>
        <v>78122.518666775708</v>
      </c>
      <c r="AJ38" s="485">
        <f t="shared" si="16"/>
        <v>106800</v>
      </c>
      <c r="AK38" s="342">
        <f t="shared" si="17"/>
        <v>78122.518666775708</v>
      </c>
      <c r="AL38" s="341">
        <f>ss_calc!G31</f>
        <v>42979.61</v>
      </c>
      <c r="AM38" s="487">
        <f t="shared" si="18"/>
        <v>1.3731251107211069</v>
      </c>
      <c r="AN38" s="341">
        <f t="shared" si="19"/>
        <v>107271.99209412813</v>
      </c>
      <c r="AO38" s="344">
        <v>104205.6852458941</v>
      </c>
      <c r="AW38" s="339">
        <f t="shared" si="20"/>
        <v>28</v>
      </c>
      <c r="AX38" s="342">
        <f t="shared" si="6"/>
        <v>78122.518666775708</v>
      </c>
      <c r="AY38" s="341">
        <f t="shared" si="21"/>
        <v>106800</v>
      </c>
      <c r="AZ38" s="342">
        <f t="shared" si="22"/>
        <v>78122.518666775708</v>
      </c>
      <c r="BA38" s="341">
        <f t="shared" si="23"/>
        <v>42979.61</v>
      </c>
      <c r="BB38" s="487">
        <f t="shared" si="24"/>
        <v>1.3731251107211069</v>
      </c>
      <c r="BC38" s="342">
        <f t="shared" si="25"/>
        <v>107271.99209412813</v>
      </c>
      <c r="BD38" s="345">
        <v>104205.6852458941</v>
      </c>
    </row>
    <row r="39" spans="2:56" x14ac:dyDescent="0.35">
      <c r="B39" s="339">
        <f t="shared" si="26"/>
        <v>50</v>
      </c>
      <c r="C39" s="340">
        <f t="shared" si="27"/>
        <v>29</v>
      </c>
      <c r="D39" s="341">
        <f>ss_calc!E32</f>
        <v>80466.194226778985</v>
      </c>
      <c r="E39" s="342">
        <f>ss_calc!G32</f>
        <v>44321.67</v>
      </c>
      <c r="F39" s="343">
        <f>ss_calc!I32</f>
        <v>1.3315468875608703</v>
      </c>
      <c r="G39" s="344">
        <f>ss_calc!J32</f>
        <v>107144.51047653603</v>
      </c>
      <c r="H39" s="345">
        <v>103584.13925599828</v>
      </c>
      <c r="K39" s="339">
        <f t="shared" si="2"/>
        <v>29</v>
      </c>
      <c r="L39" s="342">
        <f t="shared" si="3"/>
        <v>80466.194226778985</v>
      </c>
      <c r="M39" s="341">
        <f>ss_calc!F32</f>
        <v>110100</v>
      </c>
      <c r="N39" s="342">
        <f t="shared" si="7"/>
        <v>80466.194226778985</v>
      </c>
      <c r="O39" s="345">
        <v>47265.408584214398</v>
      </c>
      <c r="R39" s="339">
        <f t="shared" si="8"/>
        <v>29</v>
      </c>
      <c r="S39" s="342">
        <f t="shared" si="9"/>
        <v>80466.194226778985</v>
      </c>
      <c r="T39" s="341">
        <f t="shared" si="10"/>
        <v>110100</v>
      </c>
      <c r="U39" s="342">
        <f t="shared" si="11"/>
        <v>80466.194226778985</v>
      </c>
      <c r="V39" s="363">
        <f t="shared" si="4"/>
        <v>1.3268476839237056</v>
      </c>
      <c r="W39" s="342">
        <f t="shared" si="12"/>
        <v>106766.38344395674</v>
      </c>
      <c r="X39" s="345">
        <v>103554.16613599272</v>
      </c>
      <c r="AA39" s="339">
        <f t="shared" si="13"/>
        <v>29</v>
      </c>
      <c r="AB39" s="342">
        <f t="shared" si="14"/>
        <v>80466.194226778985</v>
      </c>
      <c r="AC39" s="345">
        <v>47265.408584214398</v>
      </c>
      <c r="AH39" s="339">
        <f t="shared" si="5"/>
        <v>29</v>
      </c>
      <c r="AI39" s="342">
        <f t="shared" si="15"/>
        <v>80466.194226778985</v>
      </c>
      <c r="AJ39" s="485">
        <f t="shared" si="16"/>
        <v>110100</v>
      </c>
      <c r="AK39" s="342">
        <f t="shared" si="17"/>
        <v>80466.194226778985</v>
      </c>
      <c r="AL39" s="341">
        <f>ss_calc!G32</f>
        <v>44321.67</v>
      </c>
      <c r="AM39" s="487">
        <f t="shared" si="18"/>
        <v>1.3315468875608703</v>
      </c>
      <c r="AN39" s="341">
        <f t="shared" si="19"/>
        <v>107144.51047653603</v>
      </c>
      <c r="AO39" s="344">
        <v>103584.13925599828</v>
      </c>
      <c r="AW39" s="339">
        <f t="shared" si="20"/>
        <v>29</v>
      </c>
      <c r="AX39" s="342">
        <f t="shared" si="6"/>
        <v>80466.194226778985</v>
      </c>
      <c r="AY39" s="341">
        <f t="shared" si="21"/>
        <v>110100</v>
      </c>
      <c r="AZ39" s="342">
        <f t="shared" si="22"/>
        <v>80466.194226778985</v>
      </c>
      <c r="BA39" s="341">
        <f t="shared" si="23"/>
        <v>44321.67</v>
      </c>
      <c r="BB39" s="487">
        <f t="shared" si="24"/>
        <v>1.3315468875608703</v>
      </c>
      <c r="BC39" s="342">
        <f t="shared" si="25"/>
        <v>107144.51047653603</v>
      </c>
      <c r="BD39" s="345">
        <v>103584.13925599828</v>
      </c>
    </row>
    <row r="40" spans="2:56" x14ac:dyDescent="0.35">
      <c r="B40" s="339">
        <f t="shared" si="26"/>
        <v>51</v>
      </c>
      <c r="C40" s="340">
        <f t="shared" si="27"/>
        <v>30</v>
      </c>
      <c r="D40" s="341">
        <f>ss_calc!E33</f>
        <v>82880.180053582357</v>
      </c>
      <c r="E40" s="342">
        <f>ss_calc!G33</f>
        <v>44888.160000000003</v>
      </c>
      <c r="F40" s="343">
        <f>ss_calc!I33</f>
        <v>1.314742723693731</v>
      </c>
      <c r="G40" s="344">
        <f>ss_calc!J33</f>
        <v>108966.11366387371</v>
      </c>
      <c r="H40" s="345">
        <v>102895.7296157181</v>
      </c>
      <c r="K40" s="339">
        <f t="shared" si="2"/>
        <v>30</v>
      </c>
      <c r="L40" s="342">
        <f t="shared" si="3"/>
        <v>82880.180053582357</v>
      </c>
      <c r="M40" s="341">
        <f>ss_calc!F33</f>
        <v>113700</v>
      </c>
      <c r="N40" s="342">
        <f t="shared" si="7"/>
        <v>82880.180053582357</v>
      </c>
      <c r="O40" s="345">
        <v>45888.746198266403</v>
      </c>
      <c r="R40" s="339">
        <f t="shared" si="8"/>
        <v>30</v>
      </c>
      <c r="S40" s="342">
        <f t="shared" si="9"/>
        <v>82880.180053582357</v>
      </c>
      <c r="T40" s="341">
        <f t="shared" si="10"/>
        <v>113700</v>
      </c>
      <c r="U40" s="342">
        <f t="shared" si="11"/>
        <v>82880.180053582357</v>
      </c>
      <c r="V40" s="363">
        <f t="shared" si="4"/>
        <v>1.2848366754617413</v>
      </c>
      <c r="W40" s="342">
        <f t="shared" si="12"/>
        <v>106487.49500171527</v>
      </c>
      <c r="X40" s="345">
        <v>103024.83165610446</v>
      </c>
      <c r="AA40" s="339">
        <f t="shared" si="13"/>
        <v>30</v>
      </c>
      <c r="AB40" s="342">
        <f t="shared" si="14"/>
        <v>82880.180053582357</v>
      </c>
      <c r="AC40" s="345">
        <v>45888.746198266403</v>
      </c>
      <c r="AH40" s="339">
        <f t="shared" si="5"/>
        <v>30</v>
      </c>
      <c r="AI40" s="342">
        <f t="shared" si="15"/>
        <v>82880.180053582357</v>
      </c>
      <c r="AJ40" s="485">
        <f t="shared" si="16"/>
        <v>113700</v>
      </c>
      <c r="AK40" s="342">
        <f t="shared" si="17"/>
        <v>82880.180053582357</v>
      </c>
      <c r="AL40" s="341">
        <f>ss_calc!G33</f>
        <v>44888.160000000003</v>
      </c>
      <c r="AM40" s="487">
        <f t="shared" si="18"/>
        <v>1.314742723693731</v>
      </c>
      <c r="AN40" s="341">
        <f t="shared" si="19"/>
        <v>108966.11366387371</v>
      </c>
      <c r="AO40" s="344">
        <v>102895.7296157181</v>
      </c>
      <c r="AW40" s="339">
        <f t="shared" si="20"/>
        <v>30</v>
      </c>
      <c r="AX40" s="342">
        <f t="shared" si="6"/>
        <v>82880.180053582357</v>
      </c>
      <c r="AY40" s="341">
        <f t="shared" si="21"/>
        <v>113700</v>
      </c>
      <c r="AZ40" s="342">
        <f t="shared" si="22"/>
        <v>82880.180053582357</v>
      </c>
      <c r="BA40" s="341">
        <f t="shared" si="23"/>
        <v>44888.160000000003</v>
      </c>
      <c r="BB40" s="487">
        <f t="shared" si="24"/>
        <v>1.314742723693731</v>
      </c>
      <c r="BC40" s="342">
        <f t="shared" si="25"/>
        <v>108966.11366387371</v>
      </c>
      <c r="BD40" s="345">
        <v>102895.7296157181</v>
      </c>
    </row>
    <row r="41" spans="2:56" x14ac:dyDescent="0.35">
      <c r="B41" s="339">
        <f t="shared" si="26"/>
        <v>52</v>
      </c>
      <c r="C41" s="340">
        <f t="shared" si="27"/>
        <v>31</v>
      </c>
      <c r="D41" s="341">
        <f>ss_calc!E34</f>
        <v>85366.585455189823</v>
      </c>
      <c r="E41" s="342">
        <f>ss_calc!G34</f>
        <v>46481.52</v>
      </c>
      <c r="F41" s="343">
        <f>ss_calc!I34</f>
        <v>1.2696740928437797</v>
      </c>
      <c r="G41" s="344">
        <f>ss_calc!J34</f>
        <v>108387.74194698915</v>
      </c>
      <c r="H41" s="345">
        <v>102075.02976567304</v>
      </c>
      <c r="K41" s="339">
        <f t="shared" si="2"/>
        <v>31</v>
      </c>
      <c r="L41" s="342">
        <f t="shared" si="3"/>
        <v>85366.585455189823</v>
      </c>
      <c r="M41" s="341">
        <f>ss_calc!F34</f>
        <v>117000</v>
      </c>
      <c r="N41" s="342">
        <f t="shared" si="7"/>
        <v>85366.585455189823</v>
      </c>
      <c r="O41" s="345">
        <v>44552.180775015921</v>
      </c>
      <c r="R41" s="339">
        <f t="shared" si="8"/>
        <v>31</v>
      </c>
      <c r="S41" s="342">
        <f t="shared" si="9"/>
        <v>85366.585455189823</v>
      </c>
      <c r="T41" s="341">
        <f t="shared" si="10"/>
        <v>117000</v>
      </c>
      <c r="U41" s="342">
        <f t="shared" si="11"/>
        <v>85366.585455189823</v>
      </c>
      <c r="V41" s="363">
        <f t="shared" si="4"/>
        <v>1.2485976923076922</v>
      </c>
      <c r="W41" s="342">
        <f t="shared" si="12"/>
        <v>106588.52159953742</v>
      </c>
      <c r="X41" s="345">
        <v>102393.59242732737</v>
      </c>
      <c r="AA41" s="339">
        <f t="shared" si="13"/>
        <v>31</v>
      </c>
      <c r="AB41" s="342">
        <f t="shared" si="14"/>
        <v>85366.585455189823</v>
      </c>
      <c r="AC41" s="345">
        <v>44552.180775015921</v>
      </c>
      <c r="AH41" s="339">
        <f t="shared" si="5"/>
        <v>31</v>
      </c>
      <c r="AI41" s="342">
        <f t="shared" si="15"/>
        <v>85366.585455189823</v>
      </c>
      <c r="AJ41" s="485">
        <f t="shared" si="16"/>
        <v>117000</v>
      </c>
      <c r="AK41" s="342">
        <f t="shared" si="17"/>
        <v>85366.585455189823</v>
      </c>
      <c r="AL41" s="341">
        <f>ss_calc!G34</f>
        <v>46481.52</v>
      </c>
      <c r="AM41" s="487">
        <f t="shared" si="18"/>
        <v>1.2696740928437797</v>
      </c>
      <c r="AN41" s="341">
        <f t="shared" si="19"/>
        <v>108387.74194698915</v>
      </c>
      <c r="AO41" s="344">
        <v>102075.02976567304</v>
      </c>
      <c r="AW41" s="339">
        <f t="shared" si="20"/>
        <v>31</v>
      </c>
      <c r="AX41" s="342">
        <f t="shared" si="6"/>
        <v>85366.585455189823</v>
      </c>
      <c r="AY41" s="341">
        <f t="shared" si="21"/>
        <v>117000</v>
      </c>
      <c r="AZ41" s="342">
        <f t="shared" si="22"/>
        <v>85366.585455189823</v>
      </c>
      <c r="BA41" s="341">
        <f t="shared" si="23"/>
        <v>46481.52</v>
      </c>
      <c r="BB41" s="487">
        <f t="shared" si="24"/>
        <v>1.2696740928437797</v>
      </c>
      <c r="BC41" s="342">
        <f t="shared" si="25"/>
        <v>108387.74194698915</v>
      </c>
      <c r="BD41" s="345">
        <v>102075.02976567304</v>
      </c>
    </row>
    <row r="42" spans="2:56" x14ac:dyDescent="0.35">
      <c r="B42" s="339">
        <f t="shared" si="26"/>
        <v>53</v>
      </c>
      <c r="C42" s="340">
        <f t="shared" si="27"/>
        <v>32</v>
      </c>
      <c r="D42" s="341">
        <f>ss_calc!E35</f>
        <v>87927.583018845515</v>
      </c>
      <c r="E42" s="342">
        <f>ss_calc!G35</f>
        <v>48098.63</v>
      </c>
      <c r="F42" s="343">
        <f>ss_calc!I35</f>
        <v>1.2269867507660821</v>
      </c>
      <c r="G42" s="344">
        <f>ss_calc!J35</f>
        <v>107885.97939100819</v>
      </c>
      <c r="H42" s="345">
        <v>101381.71811360861</v>
      </c>
      <c r="K42" s="339">
        <f t="shared" si="2"/>
        <v>32</v>
      </c>
      <c r="L42" s="342">
        <f t="shared" si="3"/>
        <v>87927.583018845515</v>
      </c>
      <c r="M42" s="341">
        <f>ss_calc!F35</f>
        <v>118500</v>
      </c>
      <c r="N42" s="342">
        <f t="shared" si="7"/>
        <v>87927.583018845515</v>
      </c>
      <c r="O42" s="345">
        <v>43254.544441763028</v>
      </c>
      <c r="R42" s="339">
        <f t="shared" si="8"/>
        <v>32</v>
      </c>
      <c r="S42" s="342">
        <f t="shared" si="9"/>
        <v>87927.583018845515</v>
      </c>
      <c r="T42" s="341">
        <f t="shared" si="10"/>
        <v>118500</v>
      </c>
      <c r="U42" s="342">
        <f t="shared" si="11"/>
        <v>87927.583018845515</v>
      </c>
      <c r="V42" s="363">
        <f t="shared" si="4"/>
        <v>1.2327926582278481</v>
      </c>
      <c r="W42" s="342">
        <f t="shared" si="12"/>
        <v>108396.47880135236</v>
      </c>
      <c r="X42" s="345">
        <v>100725.38221362373</v>
      </c>
      <c r="AA42" s="339">
        <f t="shared" si="13"/>
        <v>32</v>
      </c>
      <c r="AB42" s="342">
        <f t="shared" si="14"/>
        <v>87927.583018845515</v>
      </c>
      <c r="AC42" s="345">
        <v>43254.544441763028</v>
      </c>
      <c r="AH42" s="339">
        <f t="shared" si="5"/>
        <v>32</v>
      </c>
      <c r="AI42" s="342">
        <f t="shared" si="15"/>
        <v>87927.583018845515</v>
      </c>
      <c r="AJ42" s="485">
        <f t="shared" si="16"/>
        <v>118500</v>
      </c>
      <c r="AK42" s="342">
        <f t="shared" si="17"/>
        <v>87927.583018845515</v>
      </c>
      <c r="AL42" s="341">
        <f>ss_calc!G35</f>
        <v>48098.63</v>
      </c>
      <c r="AM42" s="487">
        <f t="shared" si="18"/>
        <v>1.2269867507660821</v>
      </c>
      <c r="AN42" s="341">
        <f t="shared" si="19"/>
        <v>107885.97939100819</v>
      </c>
      <c r="AO42" s="344">
        <v>101381.71811360861</v>
      </c>
      <c r="AW42" s="346">
        <f t="shared" si="20"/>
        <v>32</v>
      </c>
      <c r="AX42" s="349">
        <f t="shared" si="6"/>
        <v>87927.583018845515</v>
      </c>
      <c r="AY42" s="348">
        <f t="shared" si="21"/>
        <v>118500</v>
      </c>
      <c r="AZ42" s="349">
        <f t="shared" si="22"/>
        <v>87927.583018845515</v>
      </c>
      <c r="BA42" s="348">
        <f t="shared" si="23"/>
        <v>48098.63</v>
      </c>
      <c r="BB42" s="488">
        <f t="shared" si="24"/>
        <v>1.2269867507660821</v>
      </c>
      <c r="BC42" s="349">
        <f t="shared" si="25"/>
        <v>107885.97939100819</v>
      </c>
      <c r="BD42" s="352">
        <v>101381.71811360861</v>
      </c>
    </row>
    <row r="43" spans="2:56" x14ac:dyDescent="0.35">
      <c r="B43" s="339">
        <f t="shared" si="26"/>
        <v>54</v>
      </c>
      <c r="C43" s="340">
        <f t="shared" si="27"/>
        <v>33</v>
      </c>
      <c r="D43" s="341">
        <f>ss_calc!E36</f>
        <v>0</v>
      </c>
      <c r="E43" s="342">
        <f>ss_calc!G36</f>
        <v>48642.15</v>
      </c>
      <c r="F43" s="343">
        <f>ss_calc!I36</f>
        <v>1.2132765870752011</v>
      </c>
      <c r="G43" s="344">
        <f>ss_calc!J36</f>
        <v>0</v>
      </c>
      <c r="H43" s="345">
        <v>62392.130678825997</v>
      </c>
      <c r="K43" s="339">
        <f t="shared" si="2"/>
        <v>33</v>
      </c>
      <c r="L43" s="342">
        <f t="shared" si="3"/>
        <v>0</v>
      </c>
      <c r="M43" s="341">
        <f>ss_calc!F36</f>
        <v>118500</v>
      </c>
      <c r="N43" s="342">
        <f t="shared" si="7"/>
        <v>0</v>
      </c>
      <c r="O43" s="345">
        <v>41994.703341517503</v>
      </c>
      <c r="R43" s="339">
        <f t="shared" si="8"/>
        <v>33</v>
      </c>
      <c r="S43" s="342">
        <f t="shared" si="9"/>
        <v>0</v>
      </c>
      <c r="T43" s="341">
        <f t="shared" si="10"/>
        <v>118500</v>
      </c>
      <c r="U43" s="342">
        <f t="shared" si="11"/>
        <v>0</v>
      </c>
      <c r="V43" s="363">
        <f t="shared" si="4"/>
        <v>1.2327926582278481</v>
      </c>
      <c r="W43" s="342">
        <f t="shared" si="12"/>
        <v>0</v>
      </c>
      <c r="X43" s="345">
        <v>62392.130678825997</v>
      </c>
      <c r="AA43" s="339">
        <f t="shared" si="13"/>
        <v>33</v>
      </c>
      <c r="AB43" s="342">
        <f t="shared" si="14"/>
        <v>0</v>
      </c>
      <c r="AC43" s="345">
        <v>41994.703341517503</v>
      </c>
      <c r="AG43" s="483" t="s">
        <v>126</v>
      </c>
      <c r="AH43" s="339">
        <f t="shared" si="5"/>
        <v>33</v>
      </c>
      <c r="AI43" s="342">
        <f>AB46</f>
        <v>52000</v>
      </c>
      <c r="AJ43" s="485">
        <f t="shared" si="16"/>
        <v>118500</v>
      </c>
      <c r="AK43" s="342">
        <f t="shared" si="17"/>
        <v>52000</v>
      </c>
      <c r="AL43" s="341">
        <f>ss_calc!G36</f>
        <v>48642.15</v>
      </c>
      <c r="AM43" s="487">
        <f t="shared" si="18"/>
        <v>1.2132765870752011</v>
      </c>
      <c r="AN43" s="341">
        <f t="shared" si="19"/>
        <v>63090.382527910457</v>
      </c>
      <c r="AO43" s="344">
        <v>63118.886537186881</v>
      </c>
      <c r="AX43" s="54"/>
      <c r="BC43" s="1" t="s">
        <v>408</v>
      </c>
      <c r="BD43" s="1">
        <v>0</v>
      </c>
    </row>
    <row r="44" spans="2:56" x14ac:dyDescent="0.35">
      <c r="B44" s="339">
        <f t="shared" si="26"/>
        <v>55</v>
      </c>
      <c r="C44" s="340">
        <f t="shared" si="27"/>
        <v>34</v>
      </c>
      <c r="D44" s="341">
        <f>ss_calc!E37</f>
        <v>0</v>
      </c>
      <c r="E44" s="342">
        <f>ss_calc!G37</f>
        <v>50321.89</v>
      </c>
      <c r="F44" s="343">
        <f>ss_calc!I37</f>
        <v>1.1727775276326067</v>
      </c>
      <c r="G44" s="344">
        <f>ss_calc!J37</f>
        <v>0</v>
      </c>
      <c r="H44" s="345">
        <v>60574.884154199994</v>
      </c>
      <c r="K44" s="339">
        <f t="shared" si="2"/>
        <v>34</v>
      </c>
      <c r="L44" s="342">
        <f t="shared" si="3"/>
        <v>0</v>
      </c>
      <c r="M44" s="341">
        <f>ss_calc!F37</f>
        <v>127200</v>
      </c>
      <c r="N44" s="342">
        <f t="shared" si="7"/>
        <v>0</v>
      </c>
      <c r="O44" s="345">
        <v>40771.556642250005</v>
      </c>
      <c r="R44" s="339">
        <f t="shared" si="8"/>
        <v>34</v>
      </c>
      <c r="S44" s="342">
        <f t="shared" si="9"/>
        <v>0</v>
      </c>
      <c r="T44" s="341">
        <f t="shared" si="10"/>
        <v>127200</v>
      </c>
      <c r="U44" s="342">
        <f t="shared" si="11"/>
        <v>0</v>
      </c>
      <c r="V44" s="363">
        <f t="shared" si="4"/>
        <v>1.1484742924528302</v>
      </c>
      <c r="W44" s="342">
        <f t="shared" si="12"/>
        <v>0</v>
      </c>
      <c r="X44" s="345">
        <v>60574.884154199994</v>
      </c>
      <c r="AA44" s="339">
        <f t="shared" si="13"/>
        <v>34</v>
      </c>
      <c r="AB44" s="342">
        <f t="shared" si="14"/>
        <v>0</v>
      </c>
      <c r="AC44" s="345">
        <v>40771.556642250005</v>
      </c>
      <c r="AG44" s="483" t="s">
        <v>126</v>
      </c>
      <c r="AH44" s="339">
        <f t="shared" si="5"/>
        <v>34</v>
      </c>
      <c r="AI44" s="342">
        <f t="shared" ref="AI44:AI45" si="28">AB47</f>
        <v>53819.999999999993</v>
      </c>
      <c r="AJ44" s="485">
        <f t="shared" si="16"/>
        <v>127200</v>
      </c>
      <c r="AK44" s="342">
        <f t="shared" si="17"/>
        <v>53819.999999999993</v>
      </c>
      <c r="AL44" s="341">
        <f>ss_calc!G37</f>
        <v>50321.89</v>
      </c>
      <c r="AM44" s="487">
        <f t="shared" si="18"/>
        <v>1.1727775276326067</v>
      </c>
      <c r="AN44" s="341">
        <f t="shared" si="19"/>
        <v>63118.886537186881</v>
      </c>
      <c r="AO44" s="344">
        <v>63090.382527910457</v>
      </c>
      <c r="BD44" s="1">
        <v>0</v>
      </c>
    </row>
    <row r="45" spans="2:56" x14ac:dyDescent="0.35">
      <c r="B45" s="339">
        <f t="shared" si="26"/>
        <v>56</v>
      </c>
      <c r="C45" s="340">
        <f t="shared" si="27"/>
        <v>35</v>
      </c>
      <c r="D45" s="341">
        <f>ss_calc!E38</f>
        <v>0</v>
      </c>
      <c r="E45" s="342">
        <f>ss_calc!G38</f>
        <v>52145.8</v>
      </c>
      <c r="F45" s="343">
        <f>ss_calc!I38</f>
        <v>1.1317571451583828</v>
      </c>
      <c r="G45" s="344">
        <f>ss_calc!J38</f>
        <v>0</v>
      </c>
      <c r="H45" s="345">
        <v>58810.567139999992</v>
      </c>
      <c r="K45" s="339">
        <f t="shared" si="2"/>
        <v>35</v>
      </c>
      <c r="L45" s="342">
        <f t="shared" si="3"/>
        <v>0</v>
      </c>
      <c r="M45" s="341">
        <f>ss_calc!F38</f>
        <v>128400</v>
      </c>
      <c r="N45" s="342">
        <f t="shared" si="7"/>
        <v>0</v>
      </c>
      <c r="O45" s="345">
        <v>39584.035575000002</v>
      </c>
      <c r="R45" s="339">
        <f t="shared" si="8"/>
        <v>35</v>
      </c>
      <c r="S45" s="342">
        <f t="shared" si="9"/>
        <v>0</v>
      </c>
      <c r="T45" s="341">
        <f t="shared" si="10"/>
        <v>128400</v>
      </c>
      <c r="U45" s="342">
        <f t="shared" si="11"/>
        <v>0</v>
      </c>
      <c r="V45" s="363">
        <f t="shared" si="4"/>
        <v>1.1377408878504673</v>
      </c>
      <c r="W45" s="342">
        <f t="shared" si="12"/>
        <v>0</v>
      </c>
      <c r="X45" s="345">
        <v>58810.567139999992</v>
      </c>
      <c r="AA45" s="339">
        <f t="shared" si="13"/>
        <v>35</v>
      </c>
      <c r="AB45" s="342">
        <f t="shared" si="14"/>
        <v>0</v>
      </c>
      <c r="AC45" s="345">
        <v>39584.035575000002</v>
      </c>
      <c r="AG45" s="483" t="s">
        <v>126</v>
      </c>
      <c r="AH45" s="346">
        <f t="shared" si="5"/>
        <v>35</v>
      </c>
      <c r="AI45" s="349">
        <f t="shared" si="28"/>
        <v>55434.599999999991</v>
      </c>
      <c r="AJ45" s="486">
        <f t="shared" si="16"/>
        <v>128400</v>
      </c>
      <c r="AK45" s="349">
        <f t="shared" si="17"/>
        <v>55434.599999999991</v>
      </c>
      <c r="AL45" s="348">
        <f>ss_calc!G38</f>
        <v>52145.8</v>
      </c>
      <c r="AM45" s="488">
        <f t="shared" si="18"/>
        <v>1.1317571451583828</v>
      </c>
      <c r="AN45" s="348">
        <f t="shared" si="19"/>
        <v>62738.504638996877</v>
      </c>
      <c r="AO45" s="351">
        <v>62738.504638996877</v>
      </c>
      <c r="BD45" s="1">
        <v>0</v>
      </c>
    </row>
    <row r="46" spans="2:56" x14ac:dyDescent="0.35">
      <c r="B46" s="339">
        <f t="shared" si="26"/>
        <v>57</v>
      </c>
      <c r="C46" s="340">
        <f t="shared" si="27"/>
        <v>36</v>
      </c>
      <c r="D46" s="341">
        <f>ss_calc!E39</f>
        <v>52000</v>
      </c>
      <c r="E46" s="342">
        <f>ss_calc!G39</f>
        <v>54099.99</v>
      </c>
      <c r="F46" s="343">
        <f>ss_calc!I39</f>
        <v>1.0908760193855858</v>
      </c>
      <c r="G46" s="344">
        <f>ss_calc!J39</f>
        <v>56725.553008050461</v>
      </c>
      <c r="H46" s="345">
        <v>57097.637999999992</v>
      </c>
      <c r="K46" s="339">
        <f t="shared" si="2"/>
        <v>36</v>
      </c>
      <c r="L46" s="342">
        <f t="shared" si="3"/>
        <v>52000</v>
      </c>
      <c r="M46" s="341">
        <f>ss_calc!F39</f>
        <v>132900</v>
      </c>
      <c r="N46" s="342">
        <f t="shared" si="7"/>
        <v>52000</v>
      </c>
      <c r="O46" s="345">
        <v>38431.102500000001</v>
      </c>
      <c r="R46" s="339">
        <f t="shared" si="8"/>
        <v>36</v>
      </c>
      <c r="S46" s="342">
        <f t="shared" si="9"/>
        <v>52000</v>
      </c>
      <c r="T46" s="341">
        <f t="shared" si="10"/>
        <v>132900</v>
      </c>
      <c r="U46" s="342">
        <f t="shared" si="11"/>
        <v>52000</v>
      </c>
      <c r="V46" s="363">
        <f t="shared" si="4"/>
        <v>1.0992169300225734</v>
      </c>
      <c r="W46" s="342">
        <f t="shared" si="12"/>
        <v>57159.280361173813</v>
      </c>
      <c r="X46" s="345">
        <v>57159.280361173813</v>
      </c>
      <c r="AA46" s="339">
        <f t="shared" si="13"/>
        <v>36</v>
      </c>
      <c r="AB46" s="342">
        <f t="shared" si="14"/>
        <v>52000</v>
      </c>
      <c r="AC46" s="345">
        <v>38431.102500000001</v>
      </c>
      <c r="AI46" s="5" t="s">
        <v>392</v>
      </c>
      <c r="AJ46" s="55"/>
      <c r="AN46" s="54"/>
    </row>
    <row r="47" spans="2:56" x14ac:dyDescent="0.35">
      <c r="B47" s="339">
        <f t="shared" si="26"/>
        <v>58</v>
      </c>
      <c r="C47" s="340">
        <f t="shared" si="27"/>
        <v>37</v>
      </c>
      <c r="D47" s="341">
        <f>ss_calc!E40</f>
        <v>53819.999999999993</v>
      </c>
      <c r="E47" s="342">
        <f>ss_calc!G40</f>
        <v>55628.6</v>
      </c>
      <c r="F47" s="343">
        <f>ss_calc!I40</f>
        <v>1.0609</v>
      </c>
      <c r="G47" s="344">
        <f>ss_calc!J40</f>
        <v>57097.637999999992</v>
      </c>
      <c r="H47" s="345">
        <v>57097.637999999992</v>
      </c>
      <c r="K47" s="339">
        <f t="shared" si="2"/>
        <v>37</v>
      </c>
      <c r="L47" s="342">
        <f t="shared" si="3"/>
        <v>53819.999999999993</v>
      </c>
      <c r="M47" s="341">
        <f>ss_calc!F40</f>
        <v>137700</v>
      </c>
      <c r="N47" s="342">
        <f t="shared" si="7"/>
        <v>53819.999999999993</v>
      </c>
      <c r="O47" s="345">
        <v>37311.75</v>
      </c>
      <c r="R47" s="339">
        <f t="shared" si="8"/>
        <v>37</v>
      </c>
      <c r="S47" s="342">
        <f t="shared" si="9"/>
        <v>53819.999999999993</v>
      </c>
      <c r="T47" s="341">
        <f t="shared" si="10"/>
        <v>137700</v>
      </c>
      <c r="U47" s="342">
        <f t="shared" si="11"/>
        <v>53819.999999999993</v>
      </c>
      <c r="V47" s="363">
        <f t="shared" si="4"/>
        <v>1.0609</v>
      </c>
      <c r="W47" s="342">
        <f t="shared" si="12"/>
        <v>57097.637999999992</v>
      </c>
      <c r="X47" s="345">
        <v>57097.637999999992</v>
      </c>
      <c r="AA47" s="339">
        <f t="shared" si="13"/>
        <v>37</v>
      </c>
      <c r="AB47" s="342">
        <f t="shared" si="14"/>
        <v>53819.999999999993</v>
      </c>
      <c r="AC47" s="345">
        <v>37311.75</v>
      </c>
      <c r="AI47" s="54"/>
      <c r="AJ47" s="55"/>
    </row>
    <row r="48" spans="2:56" x14ac:dyDescent="0.35">
      <c r="B48" s="339">
        <f t="shared" si="26"/>
        <v>59</v>
      </c>
      <c r="C48" s="340">
        <f t="shared" si="27"/>
        <v>38</v>
      </c>
      <c r="D48" s="341">
        <f>ss_calc!E41</f>
        <v>55434.599999999991</v>
      </c>
      <c r="E48" s="342">
        <f>ss_calc!G41</f>
        <v>57297.457999999999</v>
      </c>
      <c r="F48" s="343">
        <f>ss_calc!I41</f>
        <v>1.03</v>
      </c>
      <c r="G48" s="344">
        <f>ss_calc!J41</f>
        <v>57097.637999999992</v>
      </c>
      <c r="H48" s="345">
        <v>57097.637999999992</v>
      </c>
      <c r="K48" s="339">
        <f t="shared" si="2"/>
        <v>38</v>
      </c>
      <c r="L48" s="342">
        <f t="shared" si="3"/>
        <v>55434.599999999991</v>
      </c>
      <c r="M48" s="341">
        <f>ss_calc!F41</f>
        <v>141831</v>
      </c>
      <c r="N48" s="342">
        <f t="shared" si="7"/>
        <v>55434.599999999991</v>
      </c>
      <c r="O48" s="345">
        <v>36225</v>
      </c>
      <c r="R48" s="339">
        <f t="shared" si="8"/>
        <v>38</v>
      </c>
      <c r="S48" s="342">
        <f t="shared" si="9"/>
        <v>55434.599999999991</v>
      </c>
      <c r="T48" s="341">
        <f t="shared" si="10"/>
        <v>141831</v>
      </c>
      <c r="U48" s="342">
        <f t="shared" si="11"/>
        <v>55434.599999999991</v>
      </c>
      <c r="V48" s="363">
        <f t="shared" si="4"/>
        <v>1.03</v>
      </c>
      <c r="W48" s="342">
        <f t="shared" si="12"/>
        <v>57097.637999999992</v>
      </c>
      <c r="X48" s="345">
        <v>57097.637999999992</v>
      </c>
      <c r="AA48" s="339">
        <f t="shared" si="13"/>
        <v>38</v>
      </c>
      <c r="AB48" s="342">
        <f t="shared" si="14"/>
        <v>55434.599999999991</v>
      </c>
      <c r="AC48" s="345">
        <v>36225</v>
      </c>
      <c r="AI48" s="54"/>
      <c r="AJ48" s="55"/>
    </row>
    <row r="49" spans="2:36" x14ac:dyDescent="0.35">
      <c r="B49" s="339">
        <f t="shared" si="26"/>
        <v>60</v>
      </c>
      <c r="C49" s="340">
        <f t="shared" si="27"/>
        <v>39</v>
      </c>
      <c r="D49" s="341">
        <f>ss_calc!E42</f>
        <v>57097.637999999992</v>
      </c>
      <c r="E49" s="342">
        <f>ss_calc!G42</f>
        <v>59016.381739999997</v>
      </c>
      <c r="F49" s="343">
        <f>ss_calc!I42</f>
        <v>1</v>
      </c>
      <c r="G49" s="344">
        <f>ss_calc!J42</f>
        <v>57097.637999999992</v>
      </c>
      <c r="H49" s="345">
        <v>56725.553008050461</v>
      </c>
      <c r="K49" s="339">
        <f t="shared" si="2"/>
        <v>39</v>
      </c>
      <c r="L49" s="342">
        <f t="shared" si="3"/>
        <v>57097.637999999992</v>
      </c>
      <c r="M49" s="341">
        <f>ss_calc!F42</f>
        <v>146085.93</v>
      </c>
      <c r="N49" s="342">
        <f t="shared" si="7"/>
        <v>57097.637999999992</v>
      </c>
      <c r="O49" s="345">
        <v>35000</v>
      </c>
      <c r="R49" s="339">
        <f t="shared" si="8"/>
        <v>39</v>
      </c>
      <c r="S49" s="342">
        <f t="shared" si="9"/>
        <v>57097.637999999992</v>
      </c>
      <c r="T49" s="364">
        <f t="shared" si="10"/>
        <v>146085.93</v>
      </c>
      <c r="U49" s="342">
        <f t="shared" si="11"/>
        <v>57097.637999999992</v>
      </c>
      <c r="V49" s="363">
        <f t="shared" si="4"/>
        <v>1</v>
      </c>
      <c r="W49" s="342">
        <f t="shared" si="12"/>
        <v>57097.637999999992</v>
      </c>
      <c r="X49" s="345">
        <v>57097.637999999992</v>
      </c>
      <c r="AA49" s="339">
        <f t="shared" si="13"/>
        <v>39</v>
      </c>
      <c r="AB49" s="342">
        <f t="shared" si="14"/>
        <v>57097.637999999992</v>
      </c>
      <c r="AC49" s="345">
        <v>35000</v>
      </c>
      <c r="AI49" s="54"/>
      <c r="AJ49" s="55"/>
    </row>
    <row r="50" spans="2:36" x14ac:dyDescent="0.35">
      <c r="B50" s="339">
        <f t="shared" si="26"/>
        <v>61</v>
      </c>
      <c r="C50" s="340">
        <f t="shared" si="27"/>
        <v>40</v>
      </c>
      <c r="D50" s="341">
        <f>ss_calc!E43</f>
        <v>58810.567139999992</v>
      </c>
      <c r="E50" s="342">
        <f>ss_calc!G43</f>
        <v>60786.873192200001</v>
      </c>
      <c r="F50" s="343">
        <f>ss_calc!I43</f>
        <v>1</v>
      </c>
      <c r="G50" s="344">
        <f>ss_calc!J43</f>
        <v>58810.567139999992</v>
      </c>
      <c r="H50" s="345">
        <v>0</v>
      </c>
      <c r="K50" s="339">
        <f t="shared" si="2"/>
        <v>40</v>
      </c>
      <c r="L50" s="342">
        <f t="shared" si="3"/>
        <v>58810.567139999992</v>
      </c>
      <c r="M50" s="341">
        <f>ss_calc!F43</f>
        <v>150468.5079</v>
      </c>
      <c r="N50" s="342">
        <f t="shared" si="7"/>
        <v>58810.567139999992</v>
      </c>
      <c r="O50" s="345">
        <v>0</v>
      </c>
      <c r="R50" s="339">
        <f t="shared" si="8"/>
        <v>40</v>
      </c>
      <c r="S50" s="342">
        <f t="shared" si="9"/>
        <v>58810.567139999992</v>
      </c>
      <c r="T50" s="341">
        <f t="shared" si="10"/>
        <v>150468.5079</v>
      </c>
      <c r="U50" s="342">
        <f t="shared" si="11"/>
        <v>58810.567139999992</v>
      </c>
      <c r="V50" s="363">
        <v>1</v>
      </c>
      <c r="W50" s="342">
        <f t="shared" si="12"/>
        <v>58810.567139999992</v>
      </c>
      <c r="X50" s="345">
        <v>0</v>
      </c>
      <c r="AA50" s="339">
        <f t="shared" si="13"/>
        <v>40</v>
      </c>
      <c r="AB50" s="342">
        <f t="shared" si="14"/>
        <v>58810.567139999992</v>
      </c>
      <c r="AC50" s="345">
        <v>0</v>
      </c>
      <c r="AI50" s="54"/>
      <c r="AJ50" s="55"/>
    </row>
    <row r="51" spans="2:36" x14ac:dyDescent="0.35">
      <c r="B51" s="339">
        <f t="shared" si="26"/>
        <v>62</v>
      </c>
      <c r="C51" s="340">
        <f t="shared" si="27"/>
        <v>41</v>
      </c>
      <c r="D51" s="341">
        <f>ss_calc!E44</f>
        <v>60574.884154199994</v>
      </c>
      <c r="E51" s="342">
        <f>ss_calc!G44</f>
        <v>62610.479387965999</v>
      </c>
      <c r="F51" s="343">
        <f>ss_calc!I44</f>
        <v>1</v>
      </c>
      <c r="G51" s="344">
        <f>ss_calc!J44</f>
        <v>60574.884154199994</v>
      </c>
      <c r="H51" s="345">
        <v>0</v>
      </c>
      <c r="K51" s="339">
        <f t="shared" si="2"/>
        <v>41</v>
      </c>
      <c r="L51" s="342">
        <f t="shared" si="3"/>
        <v>60574.884154199994</v>
      </c>
      <c r="M51" s="341">
        <f>ss_calc!F44</f>
        <v>154982.56313699999</v>
      </c>
      <c r="N51" s="342">
        <f t="shared" si="7"/>
        <v>60574.884154199994</v>
      </c>
      <c r="O51" s="345">
        <v>0</v>
      </c>
      <c r="R51" s="339">
        <f t="shared" si="8"/>
        <v>41</v>
      </c>
      <c r="S51" s="342">
        <f t="shared" si="9"/>
        <v>60574.884154199994</v>
      </c>
      <c r="T51" s="341">
        <f t="shared" si="10"/>
        <v>154982.56313699999</v>
      </c>
      <c r="U51" s="342">
        <f t="shared" si="11"/>
        <v>60574.884154199994</v>
      </c>
      <c r="V51" s="363">
        <v>1</v>
      </c>
      <c r="W51" s="342">
        <f t="shared" si="12"/>
        <v>60574.884154199994</v>
      </c>
      <c r="X51" s="345">
        <v>0</v>
      </c>
      <c r="AA51" s="339">
        <f t="shared" si="13"/>
        <v>41</v>
      </c>
      <c r="AB51" s="342">
        <f t="shared" si="14"/>
        <v>60574.884154199994</v>
      </c>
      <c r="AC51" s="345">
        <v>0</v>
      </c>
      <c r="AI51" s="54"/>
      <c r="AJ51" s="55"/>
    </row>
    <row r="52" spans="2:36" x14ac:dyDescent="0.35">
      <c r="B52" s="346">
        <f t="shared" si="26"/>
        <v>63</v>
      </c>
      <c r="C52" s="347">
        <f t="shared" si="27"/>
        <v>42</v>
      </c>
      <c r="D52" s="348">
        <f>ss_calc!E45</f>
        <v>62392.130678825997</v>
      </c>
      <c r="E52" s="349">
        <f>ss_calc!G45</f>
        <v>64488.793769604978</v>
      </c>
      <c r="F52" s="350">
        <f>ss_calc!I45</f>
        <v>1</v>
      </c>
      <c r="G52" s="351">
        <f>ss_calc!J45</f>
        <v>62392.130678825997</v>
      </c>
      <c r="H52" s="352">
        <v>0</v>
      </c>
      <c r="K52" s="346">
        <f t="shared" si="2"/>
        <v>42</v>
      </c>
      <c r="L52" s="349">
        <f t="shared" si="3"/>
        <v>62392.130678825997</v>
      </c>
      <c r="M52" s="348">
        <f>ss_calc!F45</f>
        <v>159632.04003110999</v>
      </c>
      <c r="N52" s="349">
        <f t="shared" si="7"/>
        <v>62392.130678825997</v>
      </c>
      <c r="O52" s="352">
        <v>0</v>
      </c>
      <c r="R52" s="346">
        <f t="shared" si="8"/>
        <v>42</v>
      </c>
      <c r="S52" s="349">
        <f t="shared" si="9"/>
        <v>62392.130678825997</v>
      </c>
      <c r="T52" s="348">
        <f t="shared" si="10"/>
        <v>159632.04003110999</v>
      </c>
      <c r="U52" s="349">
        <f t="shared" si="11"/>
        <v>62392.130678825997</v>
      </c>
      <c r="V52" s="365">
        <v>1</v>
      </c>
      <c r="W52" s="349">
        <f t="shared" si="12"/>
        <v>62392.130678825997</v>
      </c>
      <c r="X52" s="352">
        <v>0</v>
      </c>
      <c r="AA52" s="346">
        <f t="shared" si="13"/>
        <v>42</v>
      </c>
      <c r="AB52" s="349">
        <f t="shared" si="14"/>
        <v>62392.130678825997</v>
      </c>
      <c r="AC52" s="352">
        <v>0</v>
      </c>
      <c r="AI52" s="54"/>
      <c r="AJ52" s="55"/>
    </row>
    <row r="53" spans="2:36" x14ac:dyDescent="0.35">
      <c r="D53" s="54"/>
      <c r="E53" s="54"/>
      <c r="F53" s="54"/>
      <c r="G53" s="54"/>
    </row>
  </sheetData>
  <sortState xmlns:xlrd2="http://schemas.microsoft.com/office/spreadsheetml/2017/richdata2" ref="BD11:BD42">
    <sortCondition descending="1" ref="BD11:BD42"/>
  </sortState>
  <pageMargins left="0.7" right="0.7" top="0.75" bottom="0.75" header="0.3" footer="0.3"/>
  <pageSetup orientation="portrait" r:id="rId1"/>
  <ignoredErrors>
    <ignoredError sqref="N4 U4 AD5 G5"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7BC84-27BE-4DCB-B3BE-AE8B3DD7C060}">
  <sheetPr>
    <tabColor theme="9" tint="0.79998168889431442"/>
  </sheetPr>
  <dimension ref="A1:AC26"/>
  <sheetViews>
    <sheetView zoomScale="75" workbookViewId="0">
      <pane ySplit="1" topLeftCell="A2" activePane="bottomLeft" state="frozen"/>
      <selection pane="bottomLeft" activeCell="Z15" sqref="Z15"/>
    </sheetView>
  </sheetViews>
  <sheetFormatPr defaultRowHeight="14.5" x14ac:dyDescent="0.35"/>
  <cols>
    <col min="1" max="28" width="12.6328125" style="1" customWidth="1"/>
    <col min="29" max="29" width="8.7265625" style="90"/>
    <col min="30" max="16384" width="8.7265625" style="1"/>
  </cols>
  <sheetData>
    <row r="1" spans="1:25" x14ac:dyDescent="0.35">
      <c r="A1" s="56" t="s">
        <v>385</v>
      </c>
    </row>
    <row r="3" spans="1:25" x14ac:dyDescent="0.35">
      <c r="B3" s="1" t="s">
        <v>472</v>
      </c>
    </row>
    <row r="5" spans="1:25" x14ac:dyDescent="0.35">
      <c r="B5" s="1" t="s">
        <v>473</v>
      </c>
    </row>
    <row r="6" spans="1:25" x14ac:dyDescent="0.35">
      <c r="D6" s="1" t="s">
        <v>376</v>
      </c>
    </row>
    <row r="7" spans="1:25" x14ac:dyDescent="0.35">
      <c r="D7" s="185"/>
    </row>
    <row r="8" spans="1:25" x14ac:dyDescent="0.35">
      <c r="B8" s="466" t="s">
        <v>375</v>
      </c>
      <c r="C8" s="467"/>
      <c r="D8" s="467"/>
      <c r="E8" s="467"/>
      <c r="F8" s="467"/>
      <c r="G8" s="467"/>
      <c r="H8" s="468"/>
      <c r="J8" s="466" t="s">
        <v>381</v>
      </c>
      <c r="K8" s="467"/>
      <c r="L8" s="467"/>
      <c r="M8" s="467"/>
      <c r="N8" s="467"/>
      <c r="O8" s="467"/>
      <c r="P8" s="468"/>
      <c r="R8" s="466" t="s">
        <v>382</v>
      </c>
      <c r="S8" s="467"/>
      <c r="T8" s="467"/>
      <c r="U8" s="467"/>
      <c r="V8" s="467"/>
      <c r="W8" s="467"/>
      <c r="X8" s="468"/>
      <c r="Y8" s="1" t="s">
        <v>474</v>
      </c>
    </row>
    <row r="9" spans="1:25" x14ac:dyDescent="0.35">
      <c r="B9" s="469" t="s">
        <v>372</v>
      </c>
      <c r="C9" s="470"/>
      <c r="D9" s="471">
        <f>ss_calc!$N$5</f>
        <v>3085.6984439999997</v>
      </c>
      <c r="E9" s="470"/>
      <c r="F9" s="470" t="s">
        <v>24</v>
      </c>
      <c r="G9" s="480">
        <v>7.0000000000000007E-2</v>
      </c>
      <c r="H9" s="472"/>
      <c r="J9" s="469" t="s">
        <v>122</v>
      </c>
      <c r="K9" s="471">
        <f>ss_calc!$N$4</f>
        <v>8949.7999999999993</v>
      </c>
      <c r="L9" s="470"/>
      <c r="M9" s="470"/>
      <c r="N9" s="470"/>
      <c r="O9" s="472" t="s">
        <v>378</v>
      </c>
      <c r="P9" s="472"/>
      <c r="R9" s="469" t="s">
        <v>122</v>
      </c>
      <c r="S9" s="471">
        <f>ss_calc!$N$4</f>
        <v>8949.7999999999993</v>
      </c>
      <c r="T9" s="470" t="s">
        <v>377</v>
      </c>
      <c r="U9" s="471">
        <f>ROUNDDOWN(AVERAGE(ss_calc!K4:K13)/12,1)</f>
        <v>10127.1</v>
      </c>
      <c r="V9" s="470" t="s">
        <v>213</v>
      </c>
      <c r="W9" s="478">
        <f>(U9-S9)/S9</f>
        <v>0.13154483899081557</v>
      </c>
      <c r="X9" s="472"/>
      <c r="Y9" s="1" t="s">
        <v>475</v>
      </c>
    </row>
    <row r="10" spans="1:25" x14ac:dyDescent="0.35">
      <c r="B10" s="469" t="s">
        <v>373</v>
      </c>
      <c r="C10" s="470"/>
      <c r="D10" s="471">
        <f>ss_calc!$N$6</f>
        <v>3577.1702072370495</v>
      </c>
      <c r="E10" s="470"/>
      <c r="F10" s="470" t="s">
        <v>3</v>
      </c>
      <c r="G10" s="470">
        <v>70</v>
      </c>
      <c r="H10" s="472"/>
      <c r="J10" s="469" t="s">
        <v>372</v>
      </c>
      <c r="K10" s="471">
        <f>ss_calc!$N$5</f>
        <v>3085.6984439999997</v>
      </c>
      <c r="L10" s="470" t="s">
        <v>377</v>
      </c>
      <c r="M10" s="477">
        <f>0.9*2*VLOOKUP(2024,BP_table,2,1)+0.32*2*(VLOOKUP(2024,BP_table,3,1)-VLOOKUP(2024,BP_table,2,1))+0.15*2*MAX(0,K9-VLOOKUP(2024,BP_table,3,1))</f>
        <v>6171.3968879999993</v>
      </c>
      <c r="N10" s="470" t="s">
        <v>213</v>
      </c>
      <c r="O10" s="478">
        <f>(M10-K10)/K10</f>
        <v>1</v>
      </c>
      <c r="P10" s="472"/>
      <c r="R10" s="469" t="s">
        <v>372</v>
      </c>
      <c r="S10" s="471">
        <f>ss_calc!$N$5</f>
        <v>3085.6984439999997</v>
      </c>
      <c r="T10" s="470" t="s">
        <v>377</v>
      </c>
      <c r="U10" s="477">
        <f>0.9*VLOOKUP(2024,BP_table,2,1)+0.32*(VLOOKUP(2024,BP_table,3,1)-VLOOKUP(2024,BP_table,2,1))+0.15*MAX(0,U9-VLOOKUP(2024,BP_table,3,1))</f>
        <v>3262.2934439999999</v>
      </c>
      <c r="V10" s="470" t="s">
        <v>213</v>
      </c>
      <c r="W10" s="478">
        <f t="shared" ref="W10:W11" si="0">(U10-S10)/S10</f>
        <v>5.7230154924367678E-2</v>
      </c>
      <c r="X10" s="472"/>
      <c r="Y10" s="1" t="s">
        <v>476</v>
      </c>
    </row>
    <row r="11" spans="1:25" x14ac:dyDescent="0.35">
      <c r="B11" s="469" t="s">
        <v>374</v>
      </c>
      <c r="C11" s="470"/>
      <c r="D11" s="471">
        <f>D9*((1+G9)^(G10-62))</f>
        <v>5301.8044216096596</v>
      </c>
      <c r="E11" s="470"/>
      <c r="F11" s="470"/>
      <c r="G11" s="470"/>
      <c r="H11" s="472"/>
      <c r="J11" s="469" t="s">
        <v>372</v>
      </c>
      <c r="K11" s="471">
        <f>ss_calc!$N$6</f>
        <v>3577.1702072370495</v>
      </c>
      <c r="L11" s="470" t="s">
        <v>377</v>
      </c>
      <c r="M11" s="471">
        <f>M10*1.05^5</f>
        <v>7876.4400630242772</v>
      </c>
      <c r="N11" s="470" t="s">
        <v>213</v>
      </c>
      <c r="O11" s="479">
        <f>(M11-K11)/K11</f>
        <v>1.2018633743200935</v>
      </c>
      <c r="P11" s="472"/>
      <c r="R11" s="469" t="s">
        <v>372</v>
      </c>
      <c r="S11" s="471">
        <f>ss_calc!$N$6</f>
        <v>3577.1702072370495</v>
      </c>
      <c r="T11" s="470" t="s">
        <v>377</v>
      </c>
      <c r="U11" s="471">
        <f>U10*(1.035)^5</f>
        <v>3874.5812484403787</v>
      </c>
      <c r="V11" s="470" t="s">
        <v>213</v>
      </c>
      <c r="W11" s="479">
        <f t="shared" si="0"/>
        <v>8.3141428551996369E-2</v>
      </c>
      <c r="X11" s="472"/>
      <c r="Y11" s="1" t="s">
        <v>477</v>
      </c>
    </row>
    <row r="12" spans="1:25" x14ac:dyDescent="0.35">
      <c r="B12" s="473" t="s">
        <v>213</v>
      </c>
      <c r="C12" s="474"/>
      <c r="D12" s="476">
        <f>(D11-D10)/(D10)</f>
        <v>0.48212249193048345</v>
      </c>
      <c r="E12" s="474"/>
      <c r="F12" s="474"/>
      <c r="G12" s="474"/>
      <c r="H12" s="475"/>
      <c r="J12" s="473"/>
      <c r="K12" s="474"/>
      <c r="L12" s="474"/>
      <c r="M12" s="474"/>
      <c r="N12" s="474"/>
      <c r="O12" s="474"/>
      <c r="P12" s="475"/>
      <c r="R12" s="473"/>
      <c r="S12" s="474"/>
      <c r="T12" s="474"/>
      <c r="U12" s="474"/>
      <c r="V12" s="474"/>
      <c r="W12" s="474"/>
      <c r="X12" s="475"/>
    </row>
    <row r="13" spans="1:25" x14ac:dyDescent="0.35">
      <c r="B13" s="482"/>
    </row>
    <row r="14" spans="1:25" x14ac:dyDescent="0.35">
      <c r="B14" s="466" t="s">
        <v>384</v>
      </c>
      <c r="C14" s="467"/>
      <c r="D14" s="467"/>
      <c r="E14" s="467"/>
      <c r="F14" s="467"/>
      <c r="G14" s="467"/>
      <c r="H14" s="468"/>
      <c r="J14" s="466" t="s">
        <v>383</v>
      </c>
      <c r="K14" s="467"/>
      <c r="L14" s="467"/>
      <c r="M14" s="467"/>
      <c r="N14" s="467"/>
      <c r="O14" s="467"/>
      <c r="P14" s="468"/>
      <c r="R14" s="466" t="s">
        <v>379</v>
      </c>
      <c r="S14" s="467"/>
      <c r="T14" s="467"/>
      <c r="U14" s="467"/>
      <c r="V14" s="467"/>
      <c r="W14" s="467"/>
      <c r="X14" s="468"/>
    </row>
    <row r="15" spans="1:25" x14ac:dyDescent="0.35">
      <c r="B15" s="469" t="s">
        <v>372</v>
      </c>
      <c r="C15" s="470"/>
      <c r="D15" s="471">
        <f>ss_calc!$N$5</f>
        <v>3085.6984439999997</v>
      </c>
      <c r="E15" s="470"/>
      <c r="F15" s="470" t="s">
        <v>24</v>
      </c>
      <c r="G15" s="480">
        <v>0.05</v>
      </c>
      <c r="H15" s="472"/>
      <c r="J15" s="469" t="s">
        <v>122</v>
      </c>
      <c r="K15" s="471">
        <f>ss_calc!$N$4</f>
        <v>8949.7999999999993</v>
      </c>
      <c r="L15" s="470" t="s">
        <v>377</v>
      </c>
      <c r="M15" s="471">
        <f>9000</f>
        <v>9000</v>
      </c>
      <c r="N15" s="470" t="s">
        <v>213</v>
      </c>
      <c r="O15" s="478">
        <f>(M15-K15)/K15</f>
        <v>5.6090638896959411E-3</v>
      </c>
      <c r="P15" s="472"/>
      <c r="R15" s="469" t="s">
        <v>122</v>
      </c>
      <c r="S15" s="471">
        <f>ss_calc!$N$4</f>
        <v>8949.7999999999993</v>
      </c>
      <c r="T15" s="470" t="s">
        <v>377</v>
      </c>
      <c r="U15" s="477">
        <f>8000</f>
        <v>8000</v>
      </c>
      <c r="V15" s="470" t="s">
        <v>213</v>
      </c>
      <c r="W15" s="478">
        <f>(U15-S15)/S15</f>
        <v>-0.1061252765424925</v>
      </c>
      <c r="X15" s="472"/>
    </row>
    <row r="16" spans="1:25" x14ac:dyDescent="0.35">
      <c r="B16" s="469" t="s">
        <v>373</v>
      </c>
      <c r="C16" s="470"/>
      <c r="D16" s="471">
        <f>ss_calc!$N$6</f>
        <v>3577.1702072370495</v>
      </c>
      <c r="E16" s="470"/>
      <c r="F16" s="470" t="s">
        <v>155</v>
      </c>
      <c r="G16" s="480">
        <v>0.05</v>
      </c>
      <c r="H16" s="472"/>
      <c r="J16" s="469" t="s">
        <v>372</v>
      </c>
      <c r="K16" s="471">
        <f>ss_calc!$N$5</f>
        <v>3085.6984439999997</v>
      </c>
      <c r="L16" s="470" t="s">
        <v>377</v>
      </c>
      <c r="M16" s="477">
        <f>0.9*VLOOKUP(2024,BP_table,2,1)+0.32*2*(VLOOKUP(2024,BP_table,3,1)-VLOOKUP(2024,BP_table,2,1))+0.15*MAX(0,M15-VLOOKUP(2024,BP_table,3,1))</f>
        <v>4840.912667999999</v>
      </c>
      <c r="N16" s="470" t="s">
        <v>213</v>
      </c>
      <c r="O16" s="478">
        <f>(M16-K16)/K16</f>
        <v>0.56882234471515958</v>
      </c>
      <c r="P16" s="472"/>
      <c r="R16" s="469" t="s">
        <v>372</v>
      </c>
      <c r="S16" s="471">
        <f>ss_calc!$N$5</f>
        <v>3085.6984439999997</v>
      </c>
      <c r="T16" s="470" t="s">
        <v>377</v>
      </c>
      <c r="U16" s="477">
        <f>0.9/2*VLOOKUP(2024,BP_table,2,1)+0.32/2*(VLOOKUP(2024,BP_table,3,1)-VLOOKUP(2024,BP_table,2,1))+0.15/2*MAX(0,U15-VLOOKUP(2024,BP_table,3,1))</f>
        <v>1471.6142219999999</v>
      </c>
      <c r="V16" s="470" t="s">
        <v>213</v>
      </c>
      <c r="W16" s="478">
        <f t="shared" ref="W16:W17" si="1">(U16-S16)/S16</f>
        <v>-0.52308553518523926</v>
      </c>
      <c r="X16" s="472"/>
    </row>
    <row r="17" spans="2:29" x14ac:dyDescent="0.35">
      <c r="B17" s="469" t="s">
        <v>374</v>
      </c>
      <c r="C17" s="470"/>
      <c r="D17" s="471">
        <f>D15*((1+G15)^(G18-62))*(1-G16*(G17-G18))</f>
        <v>3347.4870267853175</v>
      </c>
      <c r="E17" s="470"/>
      <c r="F17" s="470" t="s">
        <v>389</v>
      </c>
      <c r="G17" s="470">
        <v>70</v>
      </c>
      <c r="H17" s="472"/>
      <c r="J17" s="469" t="s">
        <v>372</v>
      </c>
      <c r="K17" s="471">
        <f>ss_calc!$N$6</f>
        <v>3577.1702072370495</v>
      </c>
      <c r="L17" s="470" t="s">
        <v>377</v>
      </c>
      <c r="M17" s="471">
        <f>M16*(1.01)^5</f>
        <v>5087.8478657244032</v>
      </c>
      <c r="N17" s="470" t="s">
        <v>213</v>
      </c>
      <c r="O17" s="479">
        <f>(M17-K17)/K17</f>
        <v>0.42231081300830176</v>
      </c>
      <c r="P17" s="472"/>
      <c r="R17" s="469" t="s">
        <v>372</v>
      </c>
      <c r="S17" s="471">
        <f>ss_calc!$N$6</f>
        <v>3577.1702072370495</v>
      </c>
      <c r="T17" s="470" t="s">
        <v>377</v>
      </c>
      <c r="U17" s="471">
        <f>U16*(1.02)^3</f>
        <v>1561.6887853001758</v>
      </c>
      <c r="V17" s="470" t="s">
        <v>213</v>
      </c>
      <c r="W17" s="479">
        <f t="shared" si="1"/>
        <v>-0.56342899699301707</v>
      </c>
      <c r="X17" s="472"/>
    </row>
    <row r="18" spans="2:29" x14ac:dyDescent="0.35">
      <c r="B18" s="473" t="s">
        <v>213</v>
      </c>
      <c r="C18" s="474"/>
      <c r="D18" s="476">
        <f>(D17-D16)/D16</f>
        <v>-6.4208065913960416E-2</v>
      </c>
      <c r="E18" s="474"/>
      <c r="F18" s="474" t="s">
        <v>390</v>
      </c>
      <c r="G18" s="474">
        <v>67</v>
      </c>
      <c r="H18" s="475"/>
      <c r="J18" s="473"/>
      <c r="K18" s="474"/>
      <c r="L18" s="474"/>
      <c r="M18" s="474"/>
      <c r="N18" s="474"/>
      <c r="O18" s="474"/>
      <c r="P18" s="475"/>
      <c r="R18" s="473"/>
      <c r="S18" s="474"/>
      <c r="T18" s="474"/>
      <c r="U18" s="474"/>
      <c r="V18" s="474"/>
      <c r="W18" s="474"/>
      <c r="X18" s="475"/>
    </row>
    <row r="20" spans="2:29" x14ac:dyDescent="0.35">
      <c r="B20" s="466" t="s">
        <v>380</v>
      </c>
      <c r="C20" s="467"/>
      <c r="D20" s="467"/>
      <c r="E20" s="467"/>
      <c r="F20" s="467"/>
      <c r="G20" s="467"/>
      <c r="H20" s="468"/>
      <c r="J20" s="466" t="s">
        <v>386</v>
      </c>
      <c r="K20" s="467"/>
      <c r="L20" s="467"/>
      <c r="M20" s="467"/>
      <c r="N20" s="467"/>
      <c r="O20" s="467"/>
      <c r="P20" s="468"/>
      <c r="R20" s="466" t="s">
        <v>387</v>
      </c>
      <c r="S20" s="467"/>
      <c r="T20" s="467"/>
      <c r="U20" s="467"/>
      <c r="V20" s="467"/>
      <c r="W20" s="467"/>
      <c r="X20" s="468"/>
    </row>
    <row r="21" spans="2:29" x14ac:dyDescent="0.35">
      <c r="B21" s="469" t="s">
        <v>372</v>
      </c>
      <c r="C21" s="471">
        <f>ss_calc!$N$5</f>
        <v>3085.6984439999997</v>
      </c>
      <c r="D21" s="470"/>
      <c r="E21" s="470"/>
      <c r="F21" s="470" t="s">
        <v>390</v>
      </c>
      <c r="G21" s="470">
        <v>65</v>
      </c>
      <c r="H21" s="472"/>
      <c r="J21" s="469" t="s">
        <v>122</v>
      </c>
      <c r="K21" s="471">
        <f>ss_calc!$N$4</f>
        <v>8949.7999999999993</v>
      </c>
      <c r="L21" s="470"/>
      <c r="M21" s="470"/>
      <c r="N21" s="470"/>
      <c r="O21" s="470"/>
      <c r="P21" s="472"/>
      <c r="R21" s="469" t="s">
        <v>122</v>
      </c>
      <c r="S21" s="471">
        <f>ss_calc!$N$4</f>
        <v>8949.7999999999993</v>
      </c>
      <c r="T21" s="470"/>
      <c r="U21" s="470"/>
      <c r="V21" s="470"/>
      <c r="W21" s="470"/>
      <c r="X21" s="472"/>
    </row>
    <row r="22" spans="2:29" x14ac:dyDescent="0.35">
      <c r="B22" s="469" t="s">
        <v>372</v>
      </c>
      <c r="C22" s="471">
        <f>ss_calc!$N$6</f>
        <v>3577.1702072370495</v>
      </c>
      <c r="D22" s="470"/>
      <c r="E22" s="470"/>
      <c r="F22" s="470" t="s">
        <v>155</v>
      </c>
      <c r="G22" s="481">
        <v>7.4999999999999997E-2</v>
      </c>
      <c r="H22" s="472"/>
      <c r="J22" s="469" t="s">
        <v>372</v>
      </c>
      <c r="K22" s="471">
        <f>ss_calc!$N$5</f>
        <v>3085.6984439999997</v>
      </c>
      <c r="L22" s="470" t="s">
        <v>377</v>
      </c>
      <c r="M22" s="471">
        <f>K21*(2/3)</f>
        <v>5966.5333333333328</v>
      </c>
      <c r="N22" s="470" t="s">
        <v>213</v>
      </c>
      <c r="O22" s="478">
        <f>(M22-K22)/K22</f>
        <v>0.93360869236428001</v>
      </c>
      <c r="P22" s="472"/>
      <c r="R22" s="469" t="s">
        <v>372</v>
      </c>
      <c r="S22" s="471">
        <f>ss_calc!$N$5</f>
        <v>3085.6984439999997</v>
      </c>
      <c r="T22" s="470" t="s">
        <v>377</v>
      </c>
      <c r="U22" s="477">
        <f>0.9*2*VLOOKUP(2024,BP_table,2,1)+0.32*(VLOOKUP(2024,BP_table,3,1)-VLOOKUP(2024,BP_table,2,1))+0.15*MAX(0,S21-VLOOKUP(2024,BP_table,3,1))</f>
        <v>4063.4238839999998</v>
      </c>
      <c r="V22" s="470" t="s">
        <v>213</v>
      </c>
      <c r="W22" s="478">
        <f>(U22-S22)/S22</f>
        <v>0.31685709337577778</v>
      </c>
      <c r="X22" s="472"/>
    </row>
    <row r="23" spans="2:29" x14ac:dyDescent="0.35">
      <c r="B23" s="469" t="s">
        <v>377</v>
      </c>
      <c r="C23" s="471">
        <f>C21*((1.03)^(G21-62))*(1-G22*(67-G21))</f>
        <v>2866.0521030742693</v>
      </c>
      <c r="D23" s="470"/>
      <c r="E23" s="470"/>
      <c r="F23" s="470"/>
      <c r="G23" s="470"/>
      <c r="H23" s="472"/>
      <c r="J23" s="469" t="s">
        <v>372</v>
      </c>
      <c r="K23" s="471">
        <f>ss_calc!$N$6</f>
        <v>3577.1702072370495</v>
      </c>
      <c r="L23" s="470" t="s">
        <v>377</v>
      </c>
      <c r="M23" s="471">
        <f>M22*(1.03^5)</f>
        <v>6916.8474067800917</v>
      </c>
      <c r="N23" s="470" t="s">
        <v>213</v>
      </c>
      <c r="O23" s="479">
        <f>(M23-K23)/K23</f>
        <v>0.93360869236428001</v>
      </c>
      <c r="P23" s="472"/>
      <c r="R23" s="469" t="s">
        <v>372</v>
      </c>
      <c r="S23" s="471">
        <f>ss_calc!$N$6</f>
        <v>3577.1702072370495</v>
      </c>
      <c r="T23" s="470" t="s">
        <v>377</v>
      </c>
      <c r="U23" s="471">
        <f>U22*1.03*1.04*1.05*1.06*1.07*1.08</f>
        <v>5598.4188894101489</v>
      </c>
      <c r="V23" s="470" t="s">
        <v>213</v>
      </c>
      <c r="W23" s="479">
        <f>(U23-S23)/S23</f>
        <v>0.56504123792708216</v>
      </c>
      <c r="X23" s="472"/>
    </row>
    <row r="24" spans="2:29" x14ac:dyDescent="0.35">
      <c r="B24" s="473" t="s">
        <v>213</v>
      </c>
      <c r="C24" s="476">
        <f>(C23-C22)/C22</f>
        <v>-0.19879347723630872</v>
      </c>
      <c r="D24" s="474"/>
      <c r="E24" s="474"/>
      <c r="F24" s="474"/>
      <c r="G24" s="474"/>
      <c r="H24" s="475"/>
      <c r="J24" s="473"/>
      <c r="K24" s="474"/>
      <c r="L24" s="474"/>
      <c r="M24" s="474"/>
      <c r="N24" s="474"/>
      <c r="O24" s="474"/>
      <c r="P24" s="475"/>
      <c r="R24" s="473"/>
      <c r="S24" s="474"/>
      <c r="T24" s="474"/>
      <c r="U24" s="474"/>
      <c r="V24" s="474"/>
      <c r="W24" s="474"/>
      <c r="X24" s="475"/>
    </row>
    <row r="26" spans="2:29" s="93" customFormat="1" x14ac:dyDescent="0.35">
      <c r="AC26" s="9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5E47-776C-4E39-A75B-225E13A76D19}">
  <sheetPr>
    <tabColor theme="7" tint="0.79998168889431442"/>
  </sheetPr>
  <dimension ref="A1:O28"/>
  <sheetViews>
    <sheetView tabSelected="1" zoomScale="87" workbookViewId="0">
      <pane ySplit="1" topLeftCell="A3" activePane="bottomLeft" state="frozen"/>
      <selection pane="bottomLeft" activeCell="I18" sqref="I18"/>
    </sheetView>
  </sheetViews>
  <sheetFormatPr defaultRowHeight="14.5" x14ac:dyDescent="0.35"/>
  <cols>
    <col min="1" max="1" width="8.7265625" style="1"/>
    <col min="2" max="2" width="18.26953125" style="1" customWidth="1"/>
    <col min="3" max="3" width="17" style="1" customWidth="1"/>
    <col min="4" max="7" width="8.7265625" style="1"/>
    <col min="8" max="8" width="8.7265625" style="90"/>
    <col min="9" max="16384" width="8.7265625" style="1"/>
  </cols>
  <sheetData>
    <row r="1" spans="1:15" x14ac:dyDescent="0.35">
      <c r="A1" s="56" t="s">
        <v>299</v>
      </c>
    </row>
    <row r="2" spans="1:15" x14ac:dyDescent="0.35">
      <c r="A2" s="184"/>
      <c r="H2" s="552"/>
    </row>
    <row r="4" spans="1:15" x14ac:dyDescent="0.35">
      <c r="B4" s="1" t="s">
        <v>511</v>
      </c>
    </row>
    <row r="5" spans="1:15" x14ac:dyDescent="0.35">
      <c r="B5" s="579" t="s">
        <v>485</v>
      </c>
      <c r="C5" s="580"/>
      <c r="D5" s="580"/>
      <c r="E5" s="580"/>
      <c r="F5" s="581"/>
      <c r="I5" s="1" t="s">
        <v>492</v>
      </c>
    </row>
    <row r="6" spans="1:15" x14ac:dyDescent="0.35">
      <c r="B6" s="448" t="s">
        <v>484</v>
      </c>
      <c r="C6" s="549"/>
      <c r="D6" s="550">
        <f>collection_age!I41</f>
        <v>0.15927407430000015</v>
      </c>
      <c r="E6" s="549" t="s">
        <v>480</v>
      </c>
      <c r="F6" s="551"/>
      <c r="I6" s="395" t="s">
        <v>426</v>
      </c>
    </row>
    <row r="7" spans="1:15" x14ac:dyDescent="0.35">
      <c r="B7" s="112" t="s">
        <v>479</v>
      </c>
      <c r="C7" s="545"/>
      <c r="D7" s="263">
        <f>bend_pts!D21</f>
        <v>0.56638205440920264</v>
      </c>
      <c r="E7" s="545" t="s">
        <v>480</v>
      </c>
      <c r="F7" s="546"/>
      <c r="I7" s="395" t="s">
        <v>499</v>
      </c>
    </row>
    <row r="8" spans="1:15" x14ac:dyDescent="0.35">
      <c r="B8" s="116" t="s">
        <v>483</v>
      </c>
      <c r="C8" s="547"/>
      <c r="D8" s="264">
        <f>COLA_reductions!L15</f>
        <v>0.3892400733385406</v>
      </c>
      <c r="E8" s="547" t="s">
        <v>480</v>
      </c>
      <c r="F8" s="548"/>
      <c r="I8" s="395" t="s">
        <v>493</v>
      </c>
    </row>
    <row r="10" spans="1:15" x14ac:dyDescent="0.35">
      <c r="B10" s="582" t="s">
        <v>488</v>
      </c>
      <c r="C10" s="583"/>
      <c r="D10" s="583"/>
      <c r="E10" s="583"/>
      <c r="F10" s="584"/>
      <c r="I10" s="588" t="s">
        <v>494</v>
      </c>
      <c r="J10" s="589"/>
      <c r="K10" s="589"/>
      <c r="L10" s="589"/>
      <c r="M10" s="589"/>
      <c r="N10" s="589"/>
      <c r="O10" s="590"/>
    </row>
    <row r="11" spans="1:15" x14ac:dyDescent="0.35">
      <c r="B11" s="537" t="s">
        <v>491</v>
      </c>
      <c r="C11" s="538"/>
      <c r="D11" s="539">
        <f>COLA_reductions!E27</f>
        <v>-0.15325069461651608</v>
      </c>
      <c r="E11" s="538" t="s">
        <v>480</v>
      </c>
      <c r="F11" s="540"/>
      <c r="I11" s="591" t="s">
        <v>495</v>
      </c>
      <c r="J11" s="592"/>
      <c r="K11" s="592"/>
      <c r="L11" s="592"/>
      <c r="M11" s="592"/>
      <c r="N11" s="592"/>
      <c r="O11" s="593"/>
    </row>
    <row r="12" spans="1:15" x14ac:dyDescent="0.35">
      <c r="B12" s="537" t="s">
        <v>490</v>
      </c>
      <c r="C12" s="538"/>
      <c r="D12" s="539">
        <f>bend_pts!D18</f>
        <v>-0.28319102720460132</v>
      </c>
      <c r="E12" s="538" t="s">
        <v>480</v>
      </c>
      <c r="F12" s="540"/>
      <c r="I12" s="594" t="s">
        <v>496</v>
      </c>
      <c r="J12" s="595"/>
      <c r="K12" s="595"/>
      <c r="L12" s="595"/>
      <c r="M12" s="595"/>
      <c r="N12" s="595"/>
      <c r="O12" s="596"/>
    </row>
    <row r="13" spans="1:15" x14ac:dyDescent="0.35">
      <c r="B13" s="541" t="s">
        <v>489</v>
      </c>
      <c r="C13" s="542"/>
      <c r="D13" s="543">
        <f>collection_age!E41</f>
        <v>-0.3333333333333332</v>
      </c>
      <c r="E13" s="542" t="s">
        <v>480</v>
      </c>
      <c r="F13" s="544"/>
      <c r="I13" s="99"/>
    </row>
    <row r="14" spans="1:15" x14ac:dyDescent="0.35">
      <c r="D14" s="188"/>
      <c r="I14" s="99" t="s">
        <v>510</v>
      </c>
    </row>
    <row r="15" spans="1:15" x14ac:dyDescent="0.35">
      <c r="B15" s="585" t="s">
        <v>487</v>
      </c>
      <c r="C15" s="586"/>
      <c r="D15" s="586"/>
      <c r="E15" s="586"/>
      <c r="F15" s="587"/>
      <c r="I15" s="395" t="s">
        <v>509</v>
      </c>
    </row>
    <row r="16" spans="1:15" x14ac:dyDescent="0.35">
      <c r="B16" s="310" t="s">
        <v>486</v>
      </c>
      <c r="C16" s="29"/>
      <c r="D16" s="532">
        <f>extrema!U7</f>
        <v>4.943775380793494E-3</v>
      </c>
      <c r="E16" s="29" t="s">
        <v>480</v>
      </c>
      <c r="F16" s="533"/>
      <c r="I16" s="554" t="s">
        <v>512</v>
      </c>
    </row>
    <row r="17" spans="2:12" x14ac:dyDescent="0.35">
      <c r="B17" s="310" t="s">
        <v>482</v>
      </c>
      <c r="C17" s="29"/>
      <c r="D17" s="532">
        <f>TWB!AR9</f>
        <v>-9.1778248957109405E-3</v>
      </c>
      <c r="E17" s="29" t="s">
        <v>480</v>
      </c>
      <c r="F17" s="533"/>
      <c r="I17" s="554" t="s">
        <v>513</v>
      </c>
    </row>
    <row r="18" spans="2:12" x14ac:dyDescent="0.35">
      <c r="B18" s="311" t="s">
        <v>481</v>
      </c>
      <c r="C18" s="534"/>
      <c r="D18" s="535">
        <f>bend_pts!F49</f>
        <v>2.7285556747683338E-2</v>
      </c>
      <c r="E18" s="534" t="s">
        <v>480</v>
      </c>
      <c r="F18" s="536"/>
      <c r="I18" s="99"/>
    </row>
    <row r="20" spans="2:12" x14ac:dyDescent="0.35">
      <c r="B20" s="99" t="s">
        <v>497</v>
      </c>
    </row>
    <row r="21" spans="2:12" x14ac:dyDescent="0.35">
      <c r="B21" s="1" t="s">
        <v>498</v>
      </c>
    </row>
    <row r="24" spans="2:12" x14ac:dyDescent="0.35">
      <c r="B24" s="56"/>
    </row>
    <row r="28" spans="2:12" x14ac:dyDescent="0.35">
      <c r="L28" s="56"/>
    </row>
  </sheetData>
  <mergeCells count="6">
    <mergeCell ref="B5:F5"/>
    <mergeCell ref="B10:F10"/>
    <mergeCell ref="B15:F15"/>
    <mergeCell ref="I10:O10"/>
    <mergeCell ref="I11:O11"/>
    <mergeCell ref="I12:O1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7A982-A466-4E32-9DE0-E1AA53C1B757}">
  <sheetPr>
    <tabColor theme="2" tint="-9.9978637043366805E-2"/>
  </sheetPr>
  <dimension ref="A1:AE125"/>
  <sheetViews>
    <sheetView zoomScale="79" zoomScaleNormal="100" workbookViewId="0">
      <pane ySplit="1" topLeftCell="A2" activePane="bottomLeft" state="frozen"/>
      <selection pane="bottomLeft" activeCell="AC2" sqref="AC2"/>
    </sheetView>
  </sheetViews>
  <sheetFormatPr defaultRowHeight="14.5" x14ac:dyDescent="0.35"/>
  <cols>
    <col min="1" max="1" width="8.7265625" style="1"/>
    <col min="2" max="2" width="8.7265625" style="6"/>
    <col min="3" max="3" width="8.90625" style="6" bestFit="1" customWidth="1"/>
    <col min="4" max="4" width="10.6328125" style="6" customWidth="1"/>
    <col min="5" max="5" width="13.7265625" style="6" customWidth="1"/>
    <col min="6" max="9" width="8.7265625" style="6"/>
    <col min="10" max="10" width="8.7265625" style="1"/>
    <col min="11" max="11" width="11.7265625" style="1" bestFit="1" customWidth="1"/>
    <col min="12" max="12" width="9.7265625" style="1" customWidth="1"/>
    <col min="13" max="13" width="14.1796875" style="1" customWidth="1"/>
    <col min="14" max="14" width="16.6328125" style="1" customWidth="1"/>
    <col min="15" max="15" width="8.7265625" style="6"/>
    <col min="16" max="16" width="8.7265625" style="1"/>
    <col min="17" max="17" width="14.6328125" style="1" customWidth="1"/>
    <col min="18" max="18" width="8.7265625" style="1"/>
    <col min="19" max="19" width="8.7265625" style="90"/>
    <col min="20" max="20" width="21" style="1" customWidth="1"/>
    <col min="21" max="21" width="20.81640625" style="1" customWidth="1"/>
    <col min="22" max="23" width="8.7265625" style="6"/>
    <col min="24" max="30" width="8.90625" style="6" bestFit="1" customWidth="1"/>
    <col min="31" max="31" width="10" style="6" customWidth="1"/>
    <col min="32" max="16384" width="8.7265625" style="6"/>
  </cols>
  <sheetData>
    <row r="1" spans="1:31" ht="15" thickBot="1" x14ac:dyDescent="0.4">
      <c r="A1" s="56" t="s">
        <v>359</v>
      </c>
      <c r="S1" s="326" t="s">
        <v>365</v>
      </c>
      <c r="AA1" s="6" t="s">
        <v>46</v>
      </c>
      <c r="AC1" s="6" t="s">
        <v>33</v>
      </c>
    </row>
    <row r="2" spans="1:31" ht="30.5" customHeight="1" thickBot="1" x14ac:dyDescent="0.4">
      <c r="B2" s="429"/>
      <c r="C2" s="606" t="s">
        <v>91</v>
      </c>
      <c r="D2" s="607"/>
      <c r="E2" s="608"/>
      <c r="G2" s="609" t="s">
        <v>446</v>
      </c>
      <c r="H2" s="610"/>
      <c r="I2" s="426"/>
      <c r="J2" s="604" t="s">
        <v>120</v>
      </c>
      <c r="K2" s="605"/>
      <c r="L2" s="430"/>
      <c r="M2" s="611" t="s">
        <v>92</v>
      </c>
      <c r="N2" s="612"/>
      <c r="O2" s="426"/>
      <c r="P2" s="602" t="s">
        <v>358</v>
      </c>
      <c r="Q2" s="603"/>
      <c r="T2" s="597" t="s">
        <v>93</v>
      </c>
      <c r="U2" s="598"/>
      <c r="W2" s="185"/>
      <c r="X2" s="7"/>
      <c r="Y2" s="7"/>
      <c r="Z2" s="7"/>
      <c r="AA2" s="7">
        <v>0.05</v>
      </c>
      <c r="AB2" s="7">
        <v>0.97142857142857142</v>
      </c>
      <c r="AC2" s="7">
        <v>1.02</v>
      </c>
      <c r="AD2" s="7"/>
      <c r="AE2" s="7"/>
    </row>
    <row r="3" spans="1:31" ht="15" customHeight="1" thickBot="1" x14ac:dyDescent="0.4">
      <c r="B3" s="7"/>
      <c r="C3" s="417" t="s">
        <v>2</v>
      </c>
      <c r="D3" s="418" t="s">
        <v>20</v>
      </c>
      <c r="E3" s="419" t="s">
        <v>21</v>
      </c>
      <c r="G3" s="58" t="s">
        <v>2</v>
      </c>
      <c r="H3" s="59" t="s">
        <v>357</v>
      </c>
      <c r="I3" s="53"/>
      <c r="J3" s="60" t="s">
        <v>2</v>
      </c>
      <c r="K3" s="61" t="s">
        <v>94</v>
      </c>
      <c r="L3" s="53"/>
      <c r="M3" s="62" t="s">
        <v>2</v>
      </c>
      <c r="N3" s="63" t="s">
        <v>3</v>
      </c>
      <c r="O3" s="53"/>
      <c r="P3" s="64" t="s">
        <v>2</v>
      </c>
      <c r="Q3" s="65" t="s">
        <v>94</v>
      </c>
      <c r="R3" s="53"/>
      <c r="S3" s="393"/>
      <c r="T3" s="66" t="s">
        <v>96</v>
      </c>
      <c r="U3" s="67" t="s">
        <v>97</v>
      </c>
      <c r="X3" s="599" t="s">
        <v>22</v>
      </c>
      <c r="Y3" s="600"/>
      <c r="Z3" s="600"/>
      <c r="AA3" s="600"/>
      <c r="AB3" s="600"/>
      <c r="AC3" s="600"/>
      <c r="AD3" s="600"/>
      <c r="AE3" s="601"/>
    </row>
    <row r="4" spans="1:31" ht="15" customHeight="1" thickBot="1" x14ac:dyDescent="0.4">
      <c r="B4" s="8"/>
      <c r="C4" s="398">
        <v>1979</v>
      </c>
      <c r="D4" s="399">
        <v>180</v>
      </c>
      <c r="E4" s="400">
        <v>1085</v>
      </c>
      <c r="G4" s="28">
        <v>1975</v>
      </c>
      <c r="H4" s="421">
        <v>8</v>
      </c>
      <c r="I4" s="1"/>
      <c r="J4" s="424">
        <v>1951</v>
      </c>
      <c r="K4" s="425">
        <v>2799.16</v>
      </c>
      <c r="L4" s="105"/>
      <c r="M4" s="427" t="s">
        <v>99</v>
      </c>
      <c r="N4" s="437">
        <v>65</v>
      </c>
      <c r="O4" s="1"/>
      <c r="P4" s="41" t="s">
        <v>98</v>
      </c>
      <c r="Q4" s="431">
        <v>3000</v>
      </c>
      <c r="T4" s="42">
        <v>0</v>
      </c>
      <c r="U4" s="43">
        <v>84.6</v>
      </c>
      <c r="X4" s="453" t="s">
        <v>12</v>
      </c>
      <c r="Y4" s="454" t="s">
        <v>13</v>
      </c>
      <c r="Z4" s="454" t="s">
        <v>14</v>
      </c>
      <c r="AA4" s="454" t="s">
        <v>15</v>
      </c>
      <c r="AB4" s="454" t="s">
        <v>16</v>
      </c>
      <c r="AC4" s="454" t="s">
        <v>17</v>
      </c>
      <c r="AD4" s="454" t="s">
        <v>18</v>
      </c>
      <c r="AE4" s="462" t="s">
        <v>19</v>
      </c>
    </row>
    <row r="5" spans="1:31" x14ac:dyDescent="0.35">
      <c r="B5" s="7"/>
      <c r="C5" s="401">
        <v>1980</v>
      </c>
      <c r="D5" s="402">
        <v>194</v>
      </c>
      <c r="E5" s="403">
        <v>1171</v>
      </c>
      <c r="G5" s="28">
        <v>1976</v>
      </c>
      <c r="H5" s="421">
        <v>6.4</v>
      </c>
      <c r="I5" s="1"/>
      <c r="J5" s="38">
        <v>1952</v>
      </c>
      <c r="K5" s="39">
        <v>2973.32</v>
      </c>
      <c r="L5" s="105"/>
      <c r="M5" s="40">
        <v>1938</v>
      </c>
      <c r="N5" s="437" t="s">
        <v>101</v>
      </c>
      <c r="O5" s="1"/>
      <c r="P5" s="41" t="s">
        <v>100</v>
      </c>
      <c r="Q5" s="431">
        <v>3600</v>
      </c>
      <c r="T5" s="42">
        <v>1</v>
      </c>
      <c r="U5" s="43">
        <v>83.7</v>
      </c>
      <c r="X5" s="455">
        <v>0</v>
      </c>
      <c r="Y5" s="456">
        <v>3.0669999999999998E-3</v>
      </c>
      <c r="Z5" s="457">
        <v>0.99693299999999996</v>
      </c>
      <c r="AA5" s="457">
        <v>1</v>
      </c>
      <c r="AB5" s="457">
        <v>1</v>
      </c>
      <c r="AC5" s="457">
        <v>31.696017708076489</v>
      </c>
      <c r="AD5" s="457">
        <v>31.696017708076489</v>
      </c>
      <c r="AE5" s="463">
        <v>31.237684374743157</v>
      </c>
    </row>
    <row r="6" spans="1:31" x14ac:dyDescent="0.35">
      <c r="B6" s="7"/>
      <c r="C6" s="401">
        <v>1981</v>
      </c>
      <c r="D6" s="402">
        <v>211</v>
      </c>
      <c r="E6" s="403">
        <v>1274</v>
      </c>
      <c r="G6" s="28">
        <v>1977</v>
      </c>
      <c r="H6" s="421">
        <v>5.9</v>
      </c>
      <c r="I6" s="1"/>
      <c r="J6" s="38">
        <v>1953</v>
      </c>
      <c r="K6" s="39">
        <v>3139.44</v>
      </c>
      <c r="L6" s="105"/>
      <c r="M6" s="40">
        <v>1939</v>
      </c>
      <c r="N6" s="437" t="s">
        <v>103</v>
      </c>
      <c r="O6" s="1"/>
      <c r="P6" s="41" t="s">
        <v>102</v>
      </c>
      <c r="Q6" s="431">
        <v>4200</v>
      </c>
      <c r="T6" s="42">
        <v>2</v>
      </c>
      <c r="U6" s="43">
        <v>82.8</v>
      </c>
      <c r="X6" s="455">
        <v>1</v>
      </c>
      <c r="Y6" s="456">
        <v>1.8599999999999999E-4</v>
      </c>
      <c r="Z6" s="457">
        <v>0.99981399999999998</v>
      </c>
      <c r="AA6" s="457">
        <v>0.97142857142857142</v>
      </c>
      <c r="AB6" s="457">
        <v>0.9684491999999999</v>
      </c>
      <c r="AC6" s="457">
        <v>30.696017708076496</v>
      </c>
      <c r="AD6" s="457">
        <v>31.696053554565896</v>
      </c>
      <c r="AE6" s="463">
        <v>31.237720221232564</v>
      </c>
    </row>
    <row r="7" spans="1:31" x14ac:dyDescent="0.35">
      <c r="B7" s="7"/>
      <c r="C7" s="401">
        <v>1982</v>
      </c>
      <c r="D7" s="402">
        <v>230</v>
      </c>
      <c r="E7" s="403">
        <v>1388</v>
      </c>
      <c r="G7" s="28">
        <v>1978</v>
      </c>
      <c r="H7" s="421">
        <v>6.5</v>
      </c>
      <c r="I7" s="1"/>
      <c r="J7" s="38">
        <v>1954</v>
      </c>
      <c r="K7" s="39">
        <v>3155.64</v>
      </c>
      <c r="L7" s="105"/>
      <c r="M7" s="40">
        <v>1940</v>
      </c>
      <c r="N7" s="437" t="s">
        <v>105</v>
      </c>
      <c r="O7" s="1"/>
      <c r="P7" s="41" t="s">
        <v>104</v>
      </c>
      <c r="Q7" s="431">
        <v>4800</v>
      </c>
      <c r="T7" s="42">
        <v>3</v>
      </c>
      <c r="U7" s="43">
        <v>81.8</v>
      </c>
      <c r="X7" s="455">
        <v>2</v>
      </c>
      <c r="Y7" s="456">
        <v>1.25E-4</v>
      </c>
      <c r="Z7" s="457">
        <v>0.99987499999999996</v>
      </c>
      <c r="AA7" s="457">
        <v>0.94367346938775509</v>
      </c>
      <c r="AB7" s="457">
        <v>0.94060423792169134</v>
      </c>
      <c r="AC7" s="457">
        <v>29.727568508076494</v>
      </c>
      <c r="AD7" s="457">
        <v>31.604757143940724</v>
      </c>
      <c r="AE7" s="463">
        <v>31.146423810607391</v>
      </c>
    </row>
    <row r="8" spans="1:31" x14ac:dyDescent="0.35">
      <c r="B8" s="7"/>
      <c r="C8" s="401">
        <v>1983</v>
      </c>
      <c r="D8" s="402">
        <v>254</v>
      </c>
      <c r="E8" s="403">
        <v>1528</v>
      </c>
      <c r="G8" s="28">
        <v>1979</v>
      </c>
      <c r="H8" s="421">
        <v>9.9</v>
      </c>
      <c r="I8" s="1"/>
      <c r="J8" s="38">
        <v>1955</v>
      </c>
      <c r="K8" s="39">
        <v>3301.44</v>
      </c>
      <c r="L8" s="105"/>
      <c r="M8" s="40">
        <v>1941</v>
      </c>
      <c r="N8" s="437" t="s">
        <v>107</v>
      </c>
      <c r="O8" s="1"/>
      <c r="P8" s="41" t="s">
        <v>106</v>
      </c>
      <c r="Q8" s="431">
        <v>6600</v>
      </c>
      <c r="T8" s="42">
        <v>4</v>
      </c>
      <c r="U8" s="43">
        <v>80.8</v>
      </c>
      <c r="X8" s="455">
        <v>3</v>
      </c>
      <c r="Y8" s="456">
        <v>1E-4</v>
      </c>
      <c r="Z8" s="457">
        <v>0.99990000000000001</v>
      </c>
      <c r="AA8" s="457">
        <v>0.91671137026239069</v>
      </c>
      <c r="AB8" s="457">
        <v>0.91361561489503829</v>
      </c>
      <c r="AC8" s="457">
        <v>28.786964270154805</v>
      </c>
      <c r="AD8" s="457">
        <v>31.508835664397029</v>
      </c>
      <c r="AE8" s="463">
        <v>31.050502331063697</v>
      </c>
    </row>
    <row r="9" spans="1:31" x14ac:dyDescent="0.35">
      <c r="B9" s="7"/>
      <c r="C9" s="401">
        <v>1984</v>
      </c>
      <c r="D9" s="402">
        <v>267</v>
      </c>
      <c r="E9" s="403">
        <v>1612</v>
      </c>
      <c r="G9" s="28">
        <v>1980</v>
      </c>
      <c r="H9" s="421">
        <v>14.3</v>
      </c>
      <c r="I9" s="1"/>
      <c r="J9" s="38">
        <v>1956</v>
      </c>
      <c r="K9" s="39">
        <v>3532.36</v>
      </c>
      <c r="L9" s="105"/>
      <c r="M9" s="40">
        <v>1942</v>
      </c>
      <c r="N9" s="437" t="s">
        <v>109</v>
      </c>
      <c r="O9" s="1"/>
      <c r="P9" s="41" t="s">
        <v>108</v>
      </c>
      <c r="Q9" s="431">
        <v>7800</v>
      </c>
      <c r="T9" s="42">
        <v>5</v>
      </c>
      <c r="U9" s="43">
        <v>79.8</v>
      </c>
      <c r="X9" s="455">
        <v>4</v>
      </c>
      <c r="Y9" s="456">
        <v>7.7000000000000001E-5</v>
      </c>
      <c r="Z9" s="457">
        <v>0.99992300000000001</v>
      </c>
      <c r="AA9" s="457">
        <v>0.8905196168263223</v>
      </c>
      <c r="AB9" s="457">
        <v>0.88742356038116155</v>
      </c>
      <c r="AC9" s="457">
        <v>27.873348655259768</v>
      </c>
      <c r="AD9" s="457">
        <v>31.409295289937706</v>
      </c>
      <c r="AE9" s="463">
        <v>30.950961956604374</v>
      </c>
    </row>
    <row r="10" spans="1:31" x14ac:dyDescent="0.35">
      <c r="B10" s="7"/>
      <c r="C10" s="401">
        <v>1985</v>
      </c>
      <c r="D10" s="402">
        <v>280</v>
      </c>
      <c r="E10" s="403">
        <v>1691</v>
      </c>
      <c r="G10" s="28">
        <v>1981</v>
      </c>
      <c r="H10" s="421">
        <v>11.2</v>
      </c>
      <c r="I10" s="1"/>
      <c r="J10" s="38">
        <v>1957</v>
      </c>
      <c r="K10" s="39">
        <v>3641.72</v>
      </c>
      <c r="L10" s="105"/>
      <c r="M10" s="427" t="s">
        <v>110</v>
      </c>
      <c r="N10" s="437">
        <v>66</v>
      </c>
      <c r="O10" s="1"/>
      <c r="P10" s="44">
        <v>1972</v>
      </c>
      <c r="Q10" s="431">
        <v>9000</v>
      </c>
      <c r="T10" s="42">
        <v>6</v>
      </c>
      <c r="U10" s="43">
        <v>78.8</v>
      </c>
      <c r="X10" s="455">
        <v>5</v>
      </c>
      <c r="Y10" s="456">
        <v>6.8999999999999997E-5</v>
      </c>
      <c r="Z10" s="457">
        <v>0.99993100000000001</v>
      </c>
      <c r="AA10" s="457">
        <v>0.86507619920271306</v>
      </c>
      <c r="AB10" s="457">
        <v>0.8620022222308118</v>
      </c>
      <c r="AC10" s="457">
        <v>26.985925094878603</v>
      </c>
      <c r="AD10" s="457">
        <v>31.306096897338143</v>
      </c>
      <c r="AE10" s="463">
        <v>30.847763564004811</v>
      </c>
    </row>
    <row r="11" spans="1:31" x14ac:dyDescent="0.35">
      <c r="B11" s="7"/>
      <c r="C11" s="401">
        <v>1986</v>
      </c>
      <c r="D11" s="402">
        <v>297</v>
      </c>
      <c r="E11" s="403">
        <v>1790</v>
      </c>
      <c r="G11" s="28">
        <v>1982</v>
      </c>
      <c r="H11" s="421">
        <v>7.4</v>
      </c>
      <c r="I11" s="1"/>
      <c r="J11" s="38">
        <v>1958</v>
      </c>
      <c r="K11" s="39">
        <v>3673.8</v>
      </c>
      <c r="L11" s="105"/>
      <c r="M11" s="40">
        <v>1955</v>
      </c>
      <c r="N11" s="437" t="s">
        <v>111</v>
      </c>
      <c r="O11" s="1"/>
      <c r="P11" s="44">
        <v>1973</v>
      </c>
      <c r="Q11" s="431">
        <v>10800</v>
      </c>
      <c r="T11" s="42">
        <v>7</v>
      </c>
      <c r="U11" s="43">
        <v>77.900000000000006</v>
      </c>
      <c r="X11" s="455">
        <v>6</v>
      </c>
      <c r="Y11" s="456">
        <v>6.3999999999999997E-5</v>
      </c>
      <c r="Z11" s="457">
        <v>0.99993600000000005</v>
      </c>
      <c r="AA11" s="457">
        <v>0.84035973636834982</v>
      </c>
      <c r="AB11" s="457">
        <v>0.83731580853240717</v>
      </c>
      <c r="AC11" s="457">
        <v>26.123922872647796</v>
      </c>
      <c r="AD11" s="457">
        <v>31.199605461213153</v>
      </c>
      <c r="AE11" s="463">
        <v>30.741272127879821</v>
      </c>
    </row>
    <row r="12" spans="1:31" x14ac:dyDescent="0.35">
      <c r="B12" s="7"/>
      <c r="C12" s="401">
        <v>1987</v>
      </c>
      <c r="D12" s="402">
        <v>310</v>
      </c>
      <c r="E12" s="403">
        <v>1866</v>
      </c>
      <c r="G12" s="28">
        <v>1983</v>
      </c>
      <c r="H12" s="421">
        <v>3.5</v>
      </c>
      <c r="I12" s="1"/>
      <c r="J12" s="38">
        <v>1959</v>
      </c>
      <c r="K12" s="39">
        <v>3855.8</v>
      </c>
      <c r="L12" s="105"/>
      <c r="M12" s="40">
        <v>1956</v>
      </c>
      <c r="N12" s="437" t="s">
        <v>112</v>
      </c>
      <c r="O12" s="1"/>
      <c r="P12" s="44">
        <v>1974</v>
      </c>
      <c r="Q12" s="431">
        <v>13200</v>
      </c>
      <c r="T12" s="42">
        <v>8</v>
      </c>
      <c r="U12" s="43">
        <v>76.900000000000006</v>
      </c>
      <c r="X12" s="455">
        <v>7</v>
      </c>
      <c r="Y12" s="456">
        <v>5.8E-5</v>
      </c>
      <c r="Z12" s="457">
        <v>0.999942</v>
      </c>
      <c r="AA12" s="457">
        <v>0.81634945818639704</v>
      </c>
      <c r="AB12" s="457">
        <v>0.81334044259721372</v>
      </c>
      <c r="AC12" s="457">
        <v>25.286607064115387</v>
      </c>
      <c r="AD12" s="457">
        <v>31.089818899658404</v>
      </c>
      <c r="AE12" s="463">
        <v>30.631485566325072</v>
      </c>
    </row>
    <row r="13" spans="1:31" x14ac:dyDescent="0.35">
      <c r="B13" s="7"/>
      <c r="C13" s="401">
        <v>1988</v>
      </c>
      <c r="D13" s="402">
        <v>319</v>
      </c>
      <c r="E13" s="403">
        <v>1922</v>
      </c>
      <c r="G13" s="28">
        <v>1984</v>
      </c>
      <c r="H13" s="421">
        <v>3.5</v>
      </c>
      <c r="I13" s="1"/>
      <c r="J13" s="38">
        <v>1960</v>
      </c>
      <c r="K13" s="39">
        <v>4007.12</v>
      </c>
      <c r="L13" s="105"/>
      <c r="M13" s="40">
        <v>1957</v>
      </c>
      <c r="N13" s="437" t="s">
        <v>113</v>
      </c>
      <c r="O13" s="1"/>
      <c r="P13" s="44">
        <v>1975</v>
      </c>
      <c r="Q13" s="431">
        <v>14100</v>
      </c>
      <c r="T13" s="42">
        <v>9</v>
      </c>
      <c r="U13" s="43">
        <v>75.900000000000006</v>
      </c>
      <c r="X13" s="455">
        <v>8</v>
      </c>
      <c r="Y13" s="456">
        <v>5.1E-5</v>
      </c>
      <c r="Z13" s="457">
        <v>0.99994899999999998</v>
      </c>
      <c r="AA13" s="457">
        <v>0.79302518795249988</v>
      </c>
      <c r="AB13" s="457">
        <v>0.79005631831292744</v>
      </c>
      <c r="AC13" s="457">
        <v>24.473266621518178</v>
      </c>
      <c r="AD13" s="457">
        <v>30.976610216570343</v>
      </c>
      <c r="AE13" s="463">
        <v>30.518276883237011</v>
      </c>
    </row>
    <row r="14" spans="1:31" x14ac:dyDescent="0.35">
      <c r="B14" s="7"/>
      <c r="C14" s="401">
        <v>1989</v>
      </c>
      <c r="D14" s="402">
        <v>339</v>
      </c>
      <c r="E14" s="403">
        <v>2044</v>
      </c>
      <c r="G14" s="28">
        <v>1985</v>
      </c>
      <c r="H14" s="421">
        <v>3.1</v>
      </c>
      <c r="I14" s="1"/>
      <c r="J14" s="38">
        <v>1961</v>
      </c>
      <c r="K14" s="39">
        <v>4086.76</v>
      </c>
      <c r="L14" s="105"/>
      <c r="M14" s="40">
        <v>1958</v>
      </c>
      <c r="N14" s="437" t="s">
        <v>114</v>
      </c>
      <c r="O14" s="1"/>
      <c r="P14" s="44">
        <v>1976</v>
      </c>
      <c r="Q14" s="431">
        <v>15300</v>
      </c>
      <c r="T14" s="42">
        <v>10</v>
      </c>
      <c r="U14" s="43">
        <v>74.900000000000006</v>
      </c>
      <c r="X14" s="455">
        <v>9</v>
      </c>
      <c r="Y14" s="456">
        <v>4.5000000000000003E-5</v>
      </c>
      <c r="Z14" s="457">
        <v>0.99995500000000004</v>
      </c>
      <c r="AA14" s="457">
        <v>0.77036732543957132</v>
      </c>
      <c r="AB14" s="457">
        <v>0.76744413899953079</v>
      </c>
      <c r="AC14" s="457">
        <v>23.68321030320525</v>
      </c>
      <c r="AD14" s="457">
        <v>30.859849075242895</v>
      </c>
      <c r="AE14" s="463">
        <v>30.401515741909563</v>
      </c>
    </row>
    <row r="15" spans="1:31" x14ac:dyDescent="0.35">
      <c r="B15" s="7"/>
      <c r="C15" s="401">
        <v>1990</v>
      </c>
      <c r="D15" s="402">
        <v>356</v>
      </c>
      <c r="E15" s="403">
        <v>2145</v>
      </c>
      <c r="G15" s="28">
        <v>1986</v>
      </c>
      <c r="H15" s="421">
        <v>1.3</v>
      </c>
      <c r="I15" s="1"/>
      <c r="J15" s="38">
        <v>1962</v>
      </c>
      <c r="K15" s="39">
        <v>4291.3999999999996</v>
      </c>
      <c r="L15" s="105"/>
      <c r="M15" s="40">
        <v>1959</v>
      </c>
      <c r="N15" s="437" t="s">
        <v>115</v>
      </c>
      <c r="O15" s="1"/>
      <c r="P15" s="44">
        <v>1977</v>
      </c>
      <c r="Q15" s="431">
        <v>16500</v>
      </c>
      <c r="T15" s="42">
        <v>11</v>
      </c>
      <c r="U15" s="43">
        <v>73.900000000000006</v>
      </c>
      <c r="X15" s="455">
        <v>10</v>
      </c>
      <c r="Y15" s="456">
        <v>4.1E-5</v>
      </c>
      <c r="Z15" s="457">
        <v>0.99995900000000004</v>
      </c>
      <c r="AA15" s="457">
        <v>0.74835683042701218</v>
      </c>
      <c r="AB15" s="457">
        <v>0.74548361532718233</v>
      </c>
      <c r="AC15" s="457">
        <v>22.915766164205714</v>
      </c>
      <c r="AD15" s="457">
        <v>30.739463206241368</v>
      </c>
      <c r="AE15" s="463">
        <v>30.281129872908036</v>
      </c>
    </row>
    <row r="16" spans="1:31" ht="15" thickBot="1" x14ac:dyDescent="0.4">
      <c r="B16" s="7"/>
      <c r="C16" s="401">
        <v>1991</v>
      </c>
      <c r="D16" s="402">
        <v>370</v>
      </c>
      <c r="E16" s="403">
        <v>2230</v>
      </c>
      <c r="G16" s="28">
        <v>1987</v>
      </c>
      <c r="H16" s="421">
        <v>4.2</v>
      </c>
      <c r="I16" s="1"/>
      <c r="J16" s="38">
        <v>1963</v>
      </c>
      <c r="K16" s="39">
        <v>4396.6400000000003</v>
      </c>
      <c r="L16" s="105"/>
      <c r="M16" s="438" t="s">
        <v>116</v>
      </c>
      <c r="N16" s="439">
        <v>67</v>
      </c>
      <c r="O16" s="1"/>
      <c r="P16" s="44">
        <v>1978</v>
      </c>
      <c r="Q16" s="431">
        <v>17700</v>
      </c>
      <c r="T16" s="42">
        <v>12</v>
      </c>
      <c r="U16" s="43">
        <v>72.900000000000006</v>
      </c>
      <c r="X16" s="455">
        <v>11</v>
      </c>
      <c r="Y16" s="456">
        <v>4.3000000000000002E-5</v>
      </c>
      <c r="Z16" s="457">
        <v>0.99995699999999998</v>
      </c>
      <c r="AA16" s="457">
        <v>0.72697520670052607</v>
      </c>
      <c r="AB16" s="457">
        <v>0.72415439191326958</v>
      </c>
      <c r="AC16" s="457">
        <v>22.170282548878532</v>
      </c>
      <c r="AD16" s="457">
        <v>30.615408532292406</v>
      </c>
      <c r="AE16" s="463">
        <v>30.157075198959074</v>
      </c>
    </row>
    <row r="17" spans="2:31" x14ac:dyDescent="0.35">
      <c r="B17" s="7"/>
      <c r="C17" s="401">
        <v>1992</v>
      </c>
      <c r="D17" s="402">
        <v>387</v>
      </c>
      <c r="E17" s="403">
        <v>2333</v>
      </c>
      <c r="G17" s="28">
        <v>1988</v>
      </c>
      <c r="H17" s="421">
        <v>4</v>
      </c>
      <c r="I17" s="1"/>
      <c r="J17" s="38">
        <v>1964</v>
      </c>
      <c r="K17" s="39">
        <v>4576.32</v>
      </c>
      <c r="L17" s="105"/>
      <c r="M17" s="105"/>
      <c r="N17" s="105"/>
      <c r="O17" s="1"/>
      <c r="P17" s="44">
        <v>1979</v>
      </c>
      <c r="Q17" s="431">
        <v>22900</v>
      </c>
      <c r="T17" s="42">
        <v>13</v>
      </c>
      <c r="U17" s="43">
        <v>71.900000000000006</v>
      </c>
      <c r="X17" s="455">
        <v>12</v>
      </c>
      <c r="Y17" s="456">
        <v>5.7000000000000003E-5</v>
      </c>
      <c r="Z17" s="457">
        <v>0.99994300000000003</v>
      </c>
      <c r="AA17" s="457">
        <v>0.70620448650908241</v>
      </c>
      <c r="AB17" s="457">
        <v>0.70343401746657674</v>
      </c>
      <c r="AC17" s="457">
        <v>21.446128156965266</v>
      </c>
      <c r="AD17" s="457">
        <v>30.487760933432916</v>
      </c>
      <c r="AE17" s="463">
        <v>30.029427600099584</v>
      </c>
    </row>
    <row r="18" spans="2:31" x14ac:dyDescent="0.35">
      <c r="B18" s="7"/>
      <c r="C18" s="401">
        <v>1993</v>
      </c>
      <c r="D18" s="402">
        <v>401</v>
      </c>
      <c r="E18" s="403">
        <v>2420</v>
      </c>
      <c r="G18" s="28">
        <v>1989</v>
      </c>
      <c r="H18" s="421">
        <v>4.7</v>
      </c>
      <c r="I18" s="1"/>
      <c r="J18" s="38">
        <v>1965</v>
      </c>
      <c r="K18" s="39">
        <v>4658.72</v>
      </c>
      <c r="L18" s="105"/>
      <c r="M18" s="105"/>
      <c r="N18" s="105"/>
      <c r="O18" s="1"/>
      <c r="P18" s="44">
        <v>1980</v>
      </c>
      <c r="Q18" s="431">
        <v>25900</v>
      </c>
      <c r="T18" s="42">
        <v>14</v>
      </c>
      <c r="U18" s="43">
        <v>70.900000000000006</v>
      </c>
      <c r="X18" s="455">
        <v>13</v>
      </c>
      <c r="Y18" s="456">
        <v>6.9999999999999994E-5</v>
      </c>
      <c r="Z18" s="457">
        <v>0.99992999999999999</v>
      </c>
      <c r="AA18" s="457">
        <v>0.68602721546596579</v>
      </c>
      <c r="AB18" s="457">
        <v>0.6832969525353646</v>
      </c>
      <c r="AC18" s="457">
        <v>20.742694139498688</v>
      </c>
      <c r="AD18" s="457">
        <v>30.356778356076646</v>
      </c>
      <c r="AE18" s="463">
        <v>29.898445022743314</v>
      </c>
    </row>
    <row r="19" spans="2:31" x14ac:dyDescent="0.35">
      <c r="B19" s="7"/>
      <c r="C19" s="401">
        <v>1994</v>
      </c>
      <c r="D19" s="402">
        <v>422</v>
      </c>
      <c r="E19" s="403">
        <v>2545</v>
      </c>
      <c r="G19" s="28">
        <v>1990</v>
      </c>
      <c r="H19" s="421">
        <v>5.4</v>
      </c>
      <c r="I19" s="1"/>
      <c r="J19" s="38">
        <v>1966</v>
      </c>
      <c r="K19" s="39">
        <v>4938.3599999999997</v>
      </c>
      <c r="L19" s="105"/>
      <c r="M19" s="105"/>
      <c r="N19" s="105"/>
      <c r="O19" s="1"/>
      <c r="P19" s="44">
        <v>1981</v>
      </c>
      <c r="Q19" s="431">
        <v>29700</v>
      </c>
      <c r="T19" s="42">
        <v>15</v>
      </c>
      <c r="U19" s="43">
        <v>69.900000000000006</v>
      </c>
      <c r="X19" s="455">
        <v>14</v>
      </c>
      <c r="Y19" s="456">
        <v>8.2999999999999998E-5</v>
      </c>
      <c r="Z19" s="457">
        <v>0.99991699999999994</v>
      </c>
      <c r="AA19" s="457">
        <v>0.66642643788122391</v>
      </c>
      <c r="AB19" s="457">
        <v>0.6637277182701532</v>
      </c>
      <c r="AC19" s="457">
        <v>20.059397186963324</v>
      </c>
      <c r="AD19" s="457">
        <v>30.222328576608675</v>
      </c>
      <c r="AE19" s="463">
        <v>29.763995243275343</v>
      </c>
    </row>
    <row r="20" spans="2:31" x14ac:dyDescent="0.35">
      <c r="B20" s="7"/>
      <c r="C20" s="401">
        <v>1995</v>
      </c>
      <c r="D20" s="402">
        <v>426</v>
      </c>
      <c r="E20" s="403">
        <v>2567</v>
      </c>
      <c r="G20" s="28">
        <v>1991</v>
      </c>
      <c r="H20" s="421">
        <v>3.7</v>
      </c>
      <c r="I20" s="1"/>
      <c r="J20" s="38">
        <v>1967</v>
      </c>
      <c r="K20" s="39">
        <v>5213.4399999999996</v>
      </c>
      <c r="L20" s="105"/>
      <c r="M20" s="105"/>
      <c r="N20" s="105"/>
      <c r="O20" s="1"/>
      <c r="P20" s="44">
        <v>1982</v>
      </c>
      <c r="Q20" s="431">
        <v>32400</v>
      </c>
      <c r="T20" s="42">
        <v>16</v>
      </c>
      <c r="U20" s="43">
        <v>69</v>
      </c>
      <c r="X20" s="455">
        <v>15</v>
      </c>
      <c r="Y20" s="456">
        <v>9.7E-5</v>
      </c>
      <c r="Z20" s="457">
        <v>0.99990299999999999</v>
      </c>
      <c r="AA20" s="457">
        <v>0.64738568251318895</v>
      </c>
      <c r="AB20" s="457">
        <v>0.64471055375897857</v>
      </c>
      <c r="AC20" s="457">
        <v>19.395669468693171</v>
      </c>
      <c r="AD20" s="457">
        <v>30.084305826245451</v>
      </c>
      <c r="AE20" s="463">
        <v>29.625972492912119</v>
      </c>
    </row>
    <row r="21" spans="2:31" x14ac:dyDescent="0.35">
      <c r="B21" s="7"/>
      <c r="C21" s="401">
        <v>1996</v>
      </c>
      <c r="D21" s="402">
        <v>437</v>
      </c>
      <c r="E21" s="403">
        <v>2635</v>
      </c>
      <c r="G21" s="28">
        <v>1992</v>
      </c>
      <c r="H21" s="421">
        <v>3</v>
      </c>
      <c r="I21" s="1"/>
      <c r="J21" s="38">
        <v>1968</v>
      </c>
      <c r="K21" s="39">
        <v>5571.76</v>
      </c>
      <c r="L21" s="105"/>
      <c r="M21" s="105"/>
      <c r="N21" s="105"/>
      <c r="O21" s="1"/>
      <c r="P21" s="44">
        <v>1983</v>
      </c>
      <c r="Q21" s="431">
        <v>35700</v>
      </c>
      <c r="T21" s="42">
        <v>17</v>
      </c>
      <c r="U21" s="43">
        <v>68</v>
      </c>
      <c r="X21" s="455">
        <v>16</v>
      </c>
      <c r="Y21" s="456">
        <v>1.1E-4</v>
      </c>
      <c r="Z21" s="457">
        <v>0.99988999999999995</v>
      </c>
      <c r="AA21" s="457">
        <v>0.62888894872709777</v>
      </c>
      <c r="AB21" s="457">
        <v>0.62622950206854211</v>
      </c>
      <c r="AC21" s="457">
        <v>18.750958914934195</v>
      </c>
      <c r="AD21" s="457">
        <v>29.942631021049952</v>
      </c>
      <c r="AE21" s="463">
        <v>29.484297687716619</v>
      </c>
    </row>
    <row r="22" spans="2:31" x14ac:dyDescent="0.35">
      <c r="B22" s="7"/>
      <c r="C22" s="401">
        <v>1997</v>
      </c>
      <c r="D22" s="402">
        <v>455</v>
      </c>
      <c r="E22" s="403">
        <v>2741</v>
      </c>
      <c r="G22" s="28">
        <v>1993</v>
      </c>
      <c r="H22" s="421">
        <v>2.6</v>
      </c>
      <c r="I22" s="1"/>
      <c r="J22" s="38">
        <v>1969</v>
      </c>
      <c r="K22" s="39">
        <v>5893.76</v>
      </c>
      <c r="L22" s="105"/>
      <c r="M22" s="105"/>
      <c r="N22" s="105"/>
      <c r="O22" s="1"/>
      <c r="P22" s="44">
        <v>1984</v>
      </c>
      <c r="Q22" s="431">
        <v>37800</v>
      </c>
      <c r="T22" s="42">
        <v>18</v>
      </c>
      <c r="U22" s="43">
        <v>67</v>
      </c>
      <c r="X22" s="455">
        <v>17</v>
      </c>
      <c r="Y22" s="456">
        <v>1.2300000000000001E-4</v>
      </c>
      <c r="Z22" s="457">
        <v>0.99987700000000002</v>
      </c>
      <c r="AA22" s="457">
        <v>0.61092069304918073</v>
      </c>
      <c r="AB22" s="457">
        <v>0.60827031348550553</v>
      </c>
      <c r="AC22" s="457">
        <v>18.124729412865651</v>
      </c>
      <c r="AD22" s="457">
        <v>29.797162562492119</v>
      </c>
      <c r="AE22" s="463">
        <v>29.338829229158787</v>
      </c>
    </row>
    <row r="23" spans="2:31" x14ac:dyDescent="0.35">
      <c r="B23" s="7"/>
      <c r="C23" s="401">
        <v>1998</v>
      </c>
      <c r="D23" s="402">
        <v>477</v>
      </c>
      <c r="E23" s="403">
        <v>2875</v>
      </c>
      <c r="G23" s="28">
        <v>1994</v>
      </c>
      <c r="H23" s="421">
        <v>2.8</v>
      </c>
      <c r="I23" s="1"/>
      <c r="J23" s="38">
        <v>1970</v>
      </c>
      <c r="K23" s="39">
        <v>6186.24</v>
      </c>
      <c r="L23" s="105"/>
      <c r="M23" s="105"/>
      <c r="N23" s="105"/>
      <c r="O23" s="1"/>
      <c r="P23" s="44">
        <v>1985</v>
      </c>
      <c r="Q23" s="431">
        <v>39600</v>
      </c>
      <c r="T23" s="42">
        <v>19</v>
      </c>
      <c r="U23" s="43">
        <v>66</v>
      </c>
      <c r="X23" s="455">
        <v>18</v>
      </c>
      <c r="Y23" s="456">
        <v>1.37E-4</v>
      </c>
      <c r="Z23" s="457">
        <v>0.99986299999999995</v>
      </c>
      <c r="AA23" s="457">
        <v>0.59346581610491833</v>
      </c>
      <c r="AB23" s="457">
        <v>0.59081848205874821</v>
      </c>
      <c r="AC23" s="457">
        <v>17.516459099380143</v>
      </c>
      <c r="AD23" s="457">
        <v>29.647784609484152</v>
      </c>
      <c r="AE23" s="463">
        <v>29.18945127615082</v>
      </c>
    </row>
    <row r="24" spans="2:31" x14ac:dyDescent="0.35">
      <c r="B24" s="7"/>
      <c r="C24" s="401">
        <v>1999</v>
      </c>
      <c r="D24" s="402">
        <v>505</v>
      </c>
      <c r="E24" s="403">
        <v>3043</v>
      </c>
      <c r="G24" s="28">
        <v>1995</v>
      </c>
      <c r="H24" s="421">
        <v>2.6</v>
      </c>
      <c r="I24" s="1"/>
      <c r="J24" s="38">
        <v>1971</v>
      </c>
      <c r="K24" s="39">
        <v>6497.08</v>
      </c>
      <c r="L24" s="105"/>
      <c r="M24" s="105"/>
      <c r="N24" s="105"/>
      <c r="O24" s="1"/>
      <c r="P24" s="44">
        <v>1986</v>
      </c>
      <c r="Q24" s="431">
        <v>42000</v>
      </c>
      <c r="T24" s="42">
        <v>20</v>
      </c>
      <c r="U24" s="43">
        <v>65</v>
      </c>
      <c r="X24" s="455">
        <v>19</v>
      </c>
      <c r="Y24" s="456">
        <v>1.5100000000000001E-4</v>
      </c>
      <c r="Z24" s="457">
        <v>0.99984899999999999</v>
      </c>
      <c r="AA24" s="457">
        <v>0.57650964993049214</v>
      </c>
      <c r="AB24" s="457">
        <v>0.57385932450022892</v>
      </c>
      <c r="AC24" s="457">
        <v>16.925640617321388</v>
      </c>
      <c r="AD24" s="457">
        <v>29.494407243555447</v>
      </c>
      <c r="AE24" s="463">
        <v>29.036073910222115</v>
      </c>
    </row>
    <row r="25" spans="2:31" x14ac:dyDescent="0.35">
      <c r="B25" s="7"/>
      <c r="C25" s="401">
        <v>2000</v>
      </c>
      <c r="D25" s="402">
        <v>531</v>
      </c>
      <c r="E25" s="403">
        <v>3202</v>
      </c>
      <c r="G25" s="28">
        <v>1996</v>
      </c>
      <c r="H25" s="421">
        <v>2.9</v>
      </c>
      <c r="I25" s="1"/>
      <c r="J25" s="38">
        <v>1972</v>
      </c>
      <c r="K25" s="39">
        <v>7133.8</v>
      </c>
      <c r="L25" s="105"/>
      <c r="M25" s="105"/>
      <c r="N25" s="105"/>
      <c r="O25" s="1"/>
      <c r="P25" s="44">
        <v>1987</v>
      </c>
      <c r="Q25" s="431">
        <v>43800</v>
      </c>
      <c r="T25" s="42">
        <v>21</v>
      </c>
      <c r="U25" s="43">
        <v>64.099999999999994</v>
      </c>
      <c r="X25" s="455">
        <v>20</v>
      </c>
      <c r="Y25" s="456">
        <v>1.63E-4</v>
      </c>
      <c r="Z25" s="457">
        <v>0.99983699999999998</v>
      </c>
      <c r="AA25" s="457">
        <v>0.56003794564676379</v>
      </c>
      <c r="AB25" s="457">
        <v>0.55737916683530853</v>
      </c>
      <c r="AC25" s="457">
        <v>16.351781292821158</v>
      </c>
      <c r="AD25" s="457">
        <v>29.336907917932098</v>
      </c>
      <c r="AE25" s="463">
        <v>28.878574584598766</v>
      </c>
    </row>
    <row r="26" spans="2:31" x14ac:dyDescent="0.35">
      <c r="B26" s="7"/>
      <c r="C26" s="401">
        <v>2001</v>
      </c>
      <c r="D26" s="402">
        <v>561</v>
      </c>
      <c r="E26" s="403">
        <v>3381</v>
      </c>
      <c r="G26" s="28">
        <v>1997</v>
      </c>
      <c r="H26" s="421">
        <v>2.1</v>
      </c>
      <c r="I26" s="1"/>
      <c r="J26" s="38">
        <v>1973</v>
      </c>
      <c r="K26" s="39">
        <v>7580.16</v>
      </c>
      <c r="L26" s="105"/>
      <c r="M26" s="105"/>
      <c r="N26" s="105"/>
      <c r="O26" s="1"/>
      <c r="P26" s="44">
        <v>1988</v>
      </c>
      <c r="Q26" s="431">
        <v>45000</v>
      </c>
      <c r="T26" s="42">
        <v>22</v>
      </c>
      <c r="U26" s="43">
        <v>63.1</v>
      </c>
      <c r="X26" s="455">
        <v>21</v>
      </c>
      <c r="Y26" s="456">
        <v>1.8000000000000001E-4</v>
      </c>
      <c r="Z26" s="457">
        <v>0.99982000000000004</v>
      </c>
      <c r="AA26" s="457">
        <v>0.54403686148542763</v>
      </c>
      <c r="AB26" s="457">
        <v>0.54136579077308244</v>
      </c>
      <c r="AC26" s="457">
        <v>15.794402125985856</v>
      </c>
      <c r="AD26" s="457">
        <v>29.175101927720807</v>
      </c>
      <c r="AE26" s="463">
        <v>28.716768594387474</v>
      </c>
    </row>
    <row r="27" spans="2:31" x14ac:dyDescent="0.35">
      <c r="B27" s="7"/>
      <c r="C27" s="401">
        <v>2002</v>
      </c>
      <c r="D27" s="402">
        <v>592</v>
      </c>
      <c r="E27" s="403">
        <v>3567</v>
      </c>
      <c r="G27" s="28">
        <v>1998</v>
      </c>
      <c r="H27" s="421">
        <v>1.3</v>
      </c>
      <c r="I27" s="1"/>
      <c r="J27" s="38">
        <v>1974</v>
      </c>
      <c r="K27" s="39">
        <v>8030.76</v>
      </c>
      <c r="L27" s="105"/>
      <c r="M27" s="105"/>
      <c r="N27" s="105"/>
      <c r="O27" s="1"/>
      <c r="P27" s="44">
        <v>1989</v>
      </c>
      <c r="Q27" s="431">
        <v>48000</v>
      </c>
      <c r="T27" s="42">
        <v>23</v>
      </c>
      <c r="U27" s="43">
        <v>62.1</v>
      </c>
      <c r="X27" s="455">
        <v>22</v>
      </c>
      <c r="Y27" s="456">
        <v>1.9599999999999999E-4</v>
      </c>
      <c r="Z27" s="457">
        <v>0.99980400000000003</v>
      </c>
      <c r="AA27" s="457">
        <v>0.52849295115727257</v>
      </c>
      <c r="AB27" s="457">
        <v>0.52580353507557931</v>
      </c>
      <c r="AC27" s="457">
        <v>15.253036335212775</v>
      </c>
      <c r="AD27" s="457">
        <v>29.00900301672619</v>
      </c>
      <c r="AE27" s="463">
        <v>28.550669683392858</v>
      </c>
    </row>
    <row r="28" spans="2:31" x14ac:dyDescent="0.35">
      <c r="B28" s="7"/>
      <c r="C28" s="401">
        <v>2003</v>
      </c>
      <c r="D28" s="402">
        <v>606</v>
      </c>
      <c r="E28" s="403">
        <v>3653</v>
      </c>
      <c r="G28" s="28">
        <v>1999</v>
      </c>
      <c r="H28" s="421">
        <v>2.5</v>
      </c>
      <c r="I28" s="1"/>
      <c r="J28" s="38">
        <v>1975</v>
      </c>
      <c r="K28" s="39">
        <v>8630.92</v>
      </c>
      <c r="L28" s="105"/>
      <c r="M28" s="105"/>
      <c r="N28" s="105"/>
      <c r="O28" s="1"/>
      <c r="P28" s="44">
        <v>1990</v>
      </c>
      <c r="Q28" s="431">
        <v>51300</v>
      </c>
      <c r="T28" s="42">
        <v>24</v>
      </c>
      <c r="U28" s="43">
        <v>61.1</v>
      </c>
      <c r="X28" s="455">
        <v>23</v>
      </c>
      <c r="Y28" s="456">
        <v>2.0900000000000001E-4</v>
      </c>
      <c r="Z28" s="457">
        <v>0.99979099999999999</v>
      </c>
      <c r="AA28" s="457">
        <v>0.51339315255277906</v>
      </c>
      <c r="AB28" s="457">
        <v>0.51068046393748434</v>
      </c>
      <c r="AC28" s="457">
        <v>14.727232800137196</v>
      </c>
      <c r="AD28" s="457">
        <v>28.838449559214098</v>
      </c>
      <c r="AE28" s="463">
        <v>28.380116225880766</v>
      </c>
    </row>
    <row r="29" spans="2:31" x14ac:dyDescent="0.35">
      <c r="B29" s="7"/>
      <c r="C29" s="401">
        <v>2004</v>
      </c>
      <c r="D29" s="402">
        <v>612</v>
      </c>
      <c r="E29" s="403">
        <v>3689</v>
      </c>
      <c r="G29" s="28">
        <v>2000</v>
      </c>
      <c r="H29" s="421">
        <v>3.5</v>
      </c>
      <c r="I29" s="1"/>
      <c r="J29" s="38">
        <v>1976</v>
      </c>
      <c r="K29" s="39">
        <v>9226.48</v>
      </c>
      <c r="L29" s="105"/>
      <c r="M29" s="105"/>
      <c r="N29" s="105"/>
      <c r="O29" s="1"/>
      <c r="P29" s="44">
        <v>1991</v>
      </c>
      <c r="Q29" s="431">
        <v>53400</v>
      </c>
      <c r="T29" s="42">
        <v>25</v>
      </c>
      <c r="U29" s="43">
        <v>60.2</v>
      </c>
      <c r="X29" s="455">
        <v>24</v>
      </c>
      <c r="Y29" s="456">
        <v>2.1900000000000001E-4</v>
      </c>
      <c r="Z29" s="457">
        <v>0.99978100000000003</v>
      </c>
      <c r="AA29" s="457">
        <v>0.49872477676555677</v>
      </c>
      <c r="AB29" s="457">
        <v>0.49598591081422072</v>
      </c>
      <c r="AC29" s="457">
        <v>14.216552336199713</v>
      </c>
      <c r="AD29" s="457">
        <v>28.663218100009185</v>
      </c>
      <c r="AE29" s="463">
        <v>28.204884766675853</v>
      </c>
    </row>
    <row r="30" spans="2:31" x14ac:dyDescent="0.35">
      <c r="B30" s="7"/>
      <c r="C30" s="401">
        <v>2005</v>
      </c>
      <c r="D30" s="402">
        <v>627</v>
      </c>
      <c r="E30" s="403">
        <v>3779</v>
      </c>
      <c r="G30" s="28">
        <v>2001</v>
      </c>
      <c r="H30" s="421">
        <v>2.6</v>
      </c>
      <c r="I30" s="1"/>
      <c r="J30" s="38">
        <v>1977</v>
      </c>
      <c r="K30" s="39">
        <v>9779.44</v>
      </c>
      <c r="L30" s="105"/>
      <c r="M30" s="105"/>
      <c r="N30" s="105"/>
      <c r="O30" s="1"/>
      <c r="P30" s="44">
        <v>1992</v>
      </c>
      <c r="Q30" s="431">
        <v>55500</v>
      </c>
      <c r="T30" s="42">
        <v>26</v>
      </c>
      <c r="U30" s="43">
        <v>59.2</v>
      </c>
      <c r="X30" s="455">
        <v>25</v>
      </c>
      <c r="Y30" s="456">
        <v>2.1599999999999999E-4</v>
      </c>
      <c r="Z30" s="457">
        <v>0.99978400000000001</v>
      </c>
      <c r="AA30" s="457">
        <v>0.48447549742939799</v>
      </c>
      <c r="AB30" s="457">
        <v>0.48170936733118808</v>
      </c>
      <c r="AC30" s="457">
        <v>13.720566425385494</v>
      </c>
      <c r="AD30" s="457">
        <v>28.483079956284591</v>
      </c>
      <c r="AE30" s="463">
        <v>28.024746622951259</v>
      </c>
    </row>
    <row r="31" spans="2:31" x14ac:dyDescent="0.35">
      <c r="B31" s="7"/>
      <c r="C31" s="401">
        <v>2006</v>
      </c>
      <c r="D31" s="402">
        <v>656</v>
      </c>
      <c r="E31" s="403">
        <v>3955</v>
      </c>
      <c r="G31" s="28">
        <v>2002</v>
      </c>
      <c r="H31" s="421">
        <v>1.4</v>
      </c>
      <c r="I31" s="1"/>
      <c r="J31" s="38">
        <v>1978</v>
      </c>
      <c r="K31" s="39">
        <v>10556.03</v>
      </c>
      <c r="L31" s="105"/>
      <c r="M31" s="105"/>
      <c r="N31" s="105"/>
      <c r="O31" s="1"/>
      <c r="P31" s="44">
        <v>1993</v>
      </c>
      <c r="Q31" s="431">
        <v>57600</v>
      </c>
      <c r="T31" s="42">
        <v>27</v>
      </c>
      <c r="U31" s="43">
        <v>58.2</v>
      </c>
      <c r="X31" s="455">
        <v>26</v>
      </c>
      <c r="Y31" s="456">
        <v>2.1599999999999999E-4</v>
      </c>
      <c r="Z31" s="457">
        <v>0.99978400000000001</v>
      </c>
      <c r="AA31" s="457">
        <v>0.47063334035998666</v>
      </c>
      <c r="AB31" s="457">
        <v>0.46784516616190613</v>
      </c>
      <c r="AC31" s="457">
        <v>13.238857058054306</v>
      </c>
      <c r="AD31" s="457">
        <v>28.297518101261655</v>
      </c>
      <c r="AE31" s="463">
        <v>27.839184767928323</v>
      </c>
    </row>
    <row r="32" spans="2:31" x14ac:dyDescent="0.35">
      <c r="B32" s="7"/>
      <c r="C32" s="401">
        <v>2007</v>
      </c>
      <c r="D32" s="402">
        <v>680</v>
      </c>
      <c r="E32" s="403">
        <v>4100</v>
      </c>
      <c r="G32" s="28">
        <v>2003</v>
      </c>
      <c r="H32" s="421">
        <v>2.1</v>
      </c>
      <c r="I32" s="1"/>
      <c r="J32" s="38">
        <v>1979</v>
      </c>
      <c r="K32" s="39">
        <v>11479.46</v>
      </c>
      <c r="L32" s="105"/>
      <c r="M32" s="105"/>
      <c r="N32" s="105"/>
      <c r="O32" s="1"/>
      <c r="P32" s="44">
        <v>1994</v>
      </c>
      <c r="Q32" s="431">
        <v>60600</v>
      </c>
      <c r="T32" s="42">
        <v>28</v>
      </c>
      <c r="U32" s="43">
        <v>57.3</v>
      </c>
      <c r="X32" s="455">
        <v>27</v>
      </c>
      <c r="Y32" s="456">
        <v>2.1900000000000001E-4</v>
      </c>
      <c r="Z32" s="457">
        <v>0.99978100000000003</v>
      </c>
      <c r="AA32" s="457">
        <v>0.45718667349255843</v>
      </c>
      <c r="AB32" s="457">
        <v>0.45437999413155755</v>
      </c>
      <c r="AC32" s="457">
        <v>12.771011891892398</v>
      </c>
      <c r="AD32" s="457">
        <v>28.106457275482029</v>
      </c>
      <c r="AE32" s="463">
        <v>27.648123942148697</v>
      </c>
    </row>
    <row r="33" spans="2:31" x14ac:dyDescent="0.35">
      <c r="B33" s="7"/>
      <c r="C33" s="401">
        <v>2008</v>
      </c>
      <c r="D33" s="402">
        <v>711</v>
      </c>
      <c r="E33" s="403">
        <v>4288</v>
      </c>
      <c r="G33" s="28">
        <v>2004</v>
      </c>
      <c r="H33" s="421">
        <v>2.7</v>
      </c>
      <c r="I33" s="1"/>
      <c r="J33" s="38">
        <v>1980</v>
      </c>
      <c r="K33" s="39">
        <v>12513.46</v>
      </c>
      <c r="L33" s="105"/>
      <c r="M33" s="105"/>
      <c r="N33" s="105"/>
      <c r="O33" s="1"/>
      <c r="P33" s="44">
        <v>1995</v>
      </c>
      <c r="Q33" s="431">
        <v>61200</v>
      </c>
      <c r="T33" s="42">
        <v>29</v>
      </c>
      <c r="U33" s="43">
        <v>56.3</v>
      </c>
      <c r="X33" s="455">
        <v>28</v>
      </c>
      <c r="Y33" s="456">
        <v>2.2599999999999999E-4</v>
      </c>
      <c r="Z33" s="457">
        <v>0.99977400000000005</v>
      </c>
      <c r="AA33" s="457">
        <v>0.44412419710705675</v>
      </c>
      <c r="AB33" s="457">
        <v>0.4413010424867615</v>
      </c>
      <c r="AC33" s="457">
        <v>12.316631897760841</v>
      </c>
      <c r="AD33" s="457">
        <v>27.909818269079491</v>
      </c>
      <c r="AE33" s="463">
        <v>27.451484935746159</v>
      </c>
    </row>
    <row r="34" spans="2:31" x14ac:dyDescent="0.35">
      <c r="B34" s="7"/>
      <c r="C34" s="401">
        <v>2009</v>
      </c>
      <c r="D34" s="402">
        <v>744</v>
      </c>
      <c r="E34" s="403">
        <v>4483</v>
      </c>
      <c r="G34" s="28">
        <v>2005</v>
      </c>
      <c r="H34" s="421">
        <v>4.0999999999999996</v>
      </c>
      <c r="I34" s="1"/>
      <c r="J34" s="38">
        <v>1981</v>
      </c>
      <c r="K34" s="39">
        <v>13773.1</v>
      </c>
      <c r="L34" s="105"/>
      <c r="M34" s="105"/>
      <c r="N34" s="105"/>
      <c r="O34" s="1"/>
      <c r="P34" s="44">
        <v>1996</v>
      </c>
      <c r="Q34" s="431">
        <v>62700</v>
      </c>
      <c r="T34" s="42">
        <v>30</v>
      </c>
      <c r="U34" s="43">
        <v>55.3</v>
      </c>
      <c r="X34" s="455">
        <v>29</v>
      </c>
      <c r="Y34" s="456">
        <v>2.3699999999999999E-4</v>
      </c>
      <c r="Z34" s="457">
        <v>0.99976299999999996</v>
      </c>
      <c r="AA34" s="457">
        <v>0.43143493433256941</v>
      </c>
      <c r="AB34" s="457">
        <v>0.42859555678112637</v>
      </c>
      <c r="AC34" s="457">
        <v>11.875330855274077</v>
      </c>
      <c r="AD34" s="457">
        <v>27.707545417552073</v>
      </c>
      <c r="AE34" s="463">
        <v>27.24921208421874</v>
      </c>
    </row>
    <row r="35" spans="2:31" x14ac:dyDescent="0.35">
      <c r="B35" s="7"/>
      <c r="C35" s="401">
        <v>2010</v>
      </c>
      <c r="D35" s="402">
        <v>761</v>
      </c>
      <c r="E35" s="403">
        <v>4586</v>
      </c>
      <c r="G35" s="28">
        <v>2006</v>
      </c>
      <c r="H35" s="421">
        <v>3.3</v>
      </c>
      <c r="I35" s="1"/>
      <c r="J35" s="38">
        <v>1982</v>
      </c>
      <c r="K35" s="39">
        <v>14531.34</v>
      </c>
      <c r="L35" s="105"/>
      <c r="M35" s="105"/>
      <c r="N35" s="105"/>
      <c r="O35" s="1"/>
      <c r="P35" s="44">
        <v>1997</v>
      </c>
      <c r="Q35" s="431">
        <v>65400</v>
      </c>
      <c r="T35" s="42">
        <v>31</v>
      </c>
      <c r="U35" s="43">
        <v>54.4</v>
      </c>
      <c r="X35" s="455">
        <v>30</v>
      </c>
      <c r="Y35" s="456">
        <v>2.5000000000000001E-4</v>
      </c>
      <c r="Z35" s="457">
        <v>0.99975000000000003</v>
      </c>
      <c r="AA35" s="457">
        <v>0.41910822192306746</v>
      </c>
      <c r="AB35" s="457">
        <v>0.4162512945017644</v>
      </c>
      <c r="AC35" s="457">
        <v>11.446735298492952</v>
      </c>
      <c r="AD35" s="457">
        <v>27.499578859434468</v>
      </c>
      <c r="AE35" s="463">
        <v>27.041245526101136</v>
      </c>
    </row>
    <row r="36" spans="2:31" x14ac:dyDescent="0.35">
      <c r="B36" s="7"/>
      <c r="C36" s="401">
        <v>2011</v>
      </c>
      <c r="D36" s="402">
        <v>749</v>
      </c>
      <c r="E36" s="403">
        <v>4517</v>
      </c>
      <c r="G36" s="28">
        <v>2007</v>
      </c>
      <c r="H36" s="421">
        <v>2.2999999999999998</v>
      </c>
      <c r="I36" s="1"/>
      <c r="J36" s="38">
        <v>1983</v>
      </c>
      <c r="K36" s="39">
        <v>15239.24</v>
      </c>
      <c r="L36" s="105"/>
      <c r="M36" s="105"/>
      <c r="N36" s="105"/>
      <c r="O36" s="1"/>
      <c r="P36" s="44">
        <v>1998</v>
      </c>
      <c r="Q36" s="431">
        <v>68400</v>
      </c>
      <c r="T36" s="42">
        <v>32</v>
      </c>
      <c r="U36" s="43">
        <v>53.4</v>
      </c>
      <c r="X36" s="455">
        <v>31</v>
      </c>
      <c r="Y36" s="456">
        <v>2.6600000000000001E-4</v>
      </c>
      <c r="Z36" s="457">
        <v>0.99973400000000001</v>
      </c>
      <c r="AA36" s="457">
        <v>0.40713370129669407</v>
      </c>
      <c r="AB36" s="457">
        <v>0.40425731077304927</v>
      </c>
      <c r="AC36" s="457">
        <v>11.030484003991186</v>
      </c>
      <c r="AD36" s="457">
        <v>27.285799687575018</v>
      </c>
      <c r="AE36" s="463">
        <v>26.827466354241686</v>
      </c>
    </row>
    <row r="37" spans="2:31" x14ac:dyDescent="0.35">
      <c r="B37" s="7"/>
      <c r="C37" s="401">
        <v>2012</v>
      </c>
      <c r="D37" s="402">
        <v>767</v>
      </c>
      <c r="E37" s="403">
        <v>4624</v>
      </c>
      <c r="G37" s="28">
        <v>2008</v>
      </c>
      <c r="H37" s="421">
        <v>5.8</v>
      </c>
      <c r="I37" s="1"/>
      <c r="J37" s="38">
        <v>1984</v>
      </c>
      <c r="K37" s="39">
        <v>16135.07</v>
      </c>
      <c r="L37" s="105"/>
      <c r="M37" s="105"/>
      <c r="N37" s="105"/>
      <c r="O37" s="1"/>
      <c r="P37" s="44">
        <v>1999</v>
      </c>
      <c r="Q37" s="431">
        <v>72600</v>
      </c>
      <c r="T37" s="42">
        <v>33</v>
      </c>
      <c r="U37" s="43">
        <v>52.5</v>
      </c>
      <c r="X37" s="455">
        <v>32</v>
      </c>
      <c r="Y37" s="456">
        <v>2.8400000000000002E-4</v>
      </c>
      <c r="Z37" s="457">
        <v>0.99971600000000005</v>
      </c>
      <c r="AA37" s="457">
        <v>0.39550130983107423</v>
      </c>
      <c r="AB37" s="457">
        <v>0.39260264180471555</v>
      </c>
      <c r="AC37" s="457">
        <v>10.626226693218142</v>
      </c>
      <c r="AD37" s="457">
        <v>27.06611102862556</v>
      </c>
      <c r="AE37" s="463">
        <v>26.607777695292228</v>
      </c>
    </row>
    <row r="38" spans="2:31" x14ac:dyDescent="0.35">
      <c r="B38" s="7"/>
      <c r="C38" s="401">
        <v>2013</v>
      </c>
      <c r="D38" s="402">
        <v>791</v>
      </c>
      <c r="E38" s="403">
        <v>4768</v>
      </c>
      <c r="G38" s="28">
        <v>2009</v>
      </c>
      <c r="H38" s="421">
        <v>0</v>
      </c>
      <c r="I38" s="1"/>
      <c r="J38" s="38">
        <v>1985</v>
      </c>
      <c r="K38" s="39">
        <v>16822.509999999998</v>
      </c>
      <c r="L38" s="105"/>
      <c r="M38" s="105"/>
      <c r="N38" s="105"/>
      <c r="O38" s="1"/>
      <c r="P38" s="44">
        <v>2000</v>
      </c>
      <c r="Q38" s="431">
        <v>76200</v>
      </c>
      <c r="T38" s="42">
        <v>34</v>
      </c>
      <c r="U38" s="43">
        <v>51.5</v>
      </c>
      <c r="X38" s="455">
        <v>33</v>
      </c>
      <c r="Y38" s="456">
        <v>3.0299999999999999E-4</v>
      </c>
      <c r="Z38" s="457">
        <v>0.99969699999999995</v>
      </c>
      <c r="AA38" s="457">
        <v>0.38420127240732926</v>
      </c>
      <c r="AB38" s="457">
        <v>0.38127711000717329</v>
      </c>
      <c r="AC38" s="457">
        <v>10.233624051413427</v>
      </c>
      <c r="AD38" s="457">
        <v>26.840384022059162</v>
      </c>
      <c r="AE38" s="463">
        <v>26.38205068872583</v>
      </c>
    </row>
    <row r="39" spans="2:31" x14ac:dyDescent="0.35">
      <c r="B39" s="7"/>
      <c r="C39" s="401">
        <v>2014</v>
      </c>
      <c r="D39" s="402">
        <v>816</v>
      </c>
      <c r="E39" s="403">
        <v>4917</v>
      </c>
      <c r="G39" s="28">
        <v>2010</v>
      </c>
      <c r="H39" s="421">
        <v>0</v>
      </c>
      <c r="I39" s="1"/>
      <c r="J39" s="38">
        <v>1986</v>
      </c>
      <c r="K39" s="39">
        <v>17321.82</v>
      </c>
      <c r="L39" s="105"/>
      <c r="M39" s="105"/>
      <c r="N39" s="105"/>
      <c r="O39" s="1"/>
      <c r="P39" s="44">
        <v>2001</v>
      </c>
      <c r="Q39" s="431">
        <v>80400</v>
      </c>
      <c r="T39" s="42">
        <v>35</v>
      </c>
      <c r="U39" s="43">
        <v>50.5</v>
      </c>
      <c r="X39" s="455">
        <v>34</v>
      </c>
      <c r="Y39" s="456">
        <v>3.21E-4</v>
      </c>
      <c r="Z39" s="457">
        <v>0.99967899999999998</v>
      </c>
      <c r="AA39" s="457">
        <v>0.37322409319569128</v>
      </c>
      <c r="AB39" s="457">
        <v>0.37027125209875994</v>
      </c>
      <c r="AC39" s="457">
        <v>9.8523469414062514</v>
      </c>
      <c r="AD39" s="457">
        <v>26.608457679502489</v>
      </c>
      <c r="AE39" s="463">
        <v>26.150124346169157</v>
      </c>
    </row>
    <row r="40" spans="2:31" x14ac:dyDescent="0.35">
      <c r="B40" s="7"/>
      <c r="C40" s="401">
        <v>2015</v>
      </c>
      <c r="D40" s="402">
        <v>826</v>
      </c>
      <c r="E40" s="403">
        <v>4980</v>
      </c>
      <c r="G40" s="28">
        <v>2011</v>
      </c>
      <c r="H40" s="421">
        <v>3.6</v>
      </c>
      <c r="I40" s="1"/>
      <c r="J40" s="38">
        <v>1987</v>
      </c>
      <c r="K40" s="39">
        <v>18426.509999999998</v>
      </c>
      <c r="L40" s="105"/>
      <c r="M40" s="105"/>
      <c r="N40" s="105"/>
      <c r="O40" s="1"/>
      <c r="P40" s="44">
        <v>2002</v>
      </c>
      <c r="Q40" s="431">
        <v>84900</v>
      </c>
      <c r="T40" s="42">
        <v>36</v>
      </c>
      <c r="U40" s="43">
        <v>49.6</v>
      </c>
      <c r="X40" s="455">
        <v>35</v>
      </c>
      <c r="Y40" s="456">
        <v>3.3799999999999998E-4</v>
      </c>
      <c r="Z40" s="457">
        <v>0.99966200000000005</v>
      </c>
      <c r="AA40" s="457">
        <v>0.36256054767581442</v>
      </c>
      <c r="AB40" s="457">
        <v>0.35957661231178378</v>
      </c>
      <c r="AC40" s="457">
        <v>9.4820756893074929</v>
      </c>
      <c r="AD40" s="457">
        <v>26.370112417338532</v>
      </c>
      <c r="AE40" s="463">
        <v>25.9117790840052</v>
      </c>
    </row>
    <row r="41" spans="2:31" x14ac:dyDescent="0.35">
      <c r="B41" s="7"/>
      <c r="C41" s="401">
        <v>2016</v>
      </c>
      <c r="D41" s="402">
        <v>856</v>
      </c>
      <c r="E41" s="403">
        <v>5157</v>
      </c>
      <c r="G41" s="28">
        <v>2012</v>
      </c>
      <c r="H41" s="421">
        <v>1.7</v>
      </c>
      <c r="I41" s="1"/>
      <c r="J41" s="38">
        <v>1988</v>
      </c>
      <c r="K41" s="39">
        <v>19334.04</v>
      </c>
      <c r="L41" s="105"/>
      <c r="M41" s="105"/>
      <c r="N41" s="105"/>
      <c r="O41" s="1"/>
      <c r="P41" s="44">
        <v>2003</v>
      </c>
      <c r="Q41" s="431">
        <v>87000</v>
      </c>
      <c r="T41" s="42">
        <v>37</v>
      </c>
      <c r="U41" s="43">
        <v>48.6</v>
      </c>
      <c r="X41" s="455">
        <v>36</v>
      </c>
      <c r="Y41" s="456">
        <v>3.5300000000000002E-4</v>
      </c>
      <c r="Z41" s="457">
        <v>0.99964699999999995</v>
      </c>
      <c r="AA41" s="457">
        <v>0.35220167488507681</v>
      </c>
      <c r="AB41" s="457">
        <v>0.34918493040491316</v>
      </c>
      <c r="AC41" s="457">
        <v>9.1224990769957071</v>
      </c>
      <c r="AD41" s="457">
        <v>26.125122485719245</v>
      </c>
      <c r="AE41" s="463">
        <v>25.666789152385913</v>
      </c>
    </row>
    <row r="42" spans="2:31" x14ac:dyDescent="0.35">
      <c r="B42" s="7"/>
      <c r="C42" s="401">
        <v>2017</v>
      </c>
      <c r="D42" s="402">
        <v>885</v>
      </c>
      <c r="E42" s="403">
        <v>5336</v>
      </c>
      <c r="G42" s="28">
        <v>2013</v>
      </c>
      <c r="H42" s="421">
        <v>1.5</v>
      </c>
      <c r="I42" s="1"/>
      <c r="J42" s="38">
        <v>1989</v>
      </c>
      <c r="K42" s="39">
        <v>20099.55</v>
      </c>
      <c r="L42" s="105"/>
      <c r="M42" s="105"/>
      <c r="N42" s="105"/>
      <c r="O42" s="1"/>
      <c r="P42" s="44">
        <v>2004</v>
      </c>
      <c r="Q42" s="431">
        <v>87900</v>
      </c>
      <c r="T42" s="42">
        <v>38</v>
      </c>
      <c r="U42" s="43">
        <v>47.7</v>
      </c>
      <c r="X42" s="455">
        <v>37</v>
      </c>
      <c r="Y42" s="456">
        <v>3.6999999999999999E-4</v>
      </c>
      <c r="Z42" s="457">
        <v>0.99963000000000002</v>
      </c>
      <c r="AA42" s="457">
        <v>0.34213876988836028</v>
      </c>
      <c r="AB42" s="457">
        <v>0.33908847760663785</v>
      </c>
      <c r="AC42" s="457">
        <v>8.773314146590792</v>
      </c>
      <c r="AD42" s="457">
        <v>25.873229926639798</v>
      </c>
      <c r="AE42" s="463">
        <v>25.414896593306466</v>
      </c>
    </row>
    <row r="43" spans="2:31" x14ac:dyDescent="0.35">
      <c r="B43" s="7"/>
      <c r="C43" s="401">
        <v>2018</v>
      </c>
      <c r="D43" s="402">
        <v>895</v>
      </c>
      <c r="E43" s="403">
        <v>5397</v>
      </c>
      <c r="G43" s="28">
        <v>2014</v>
      </c>
      <c r="H43" s="421">
        <v>1.7</v>
      </c>
      <c r="I43" s="1"/>
      <c r="J43" s="38">
        <v>1990</v>
      </c>
      <c r="K43" s="39">
        <v>21027.98</v>
      </c>
      <c r="L43" s="105"/>
      <c r="M43" s="105"/>
      <c r="N43" s="105"/>
      <c r="O43" s="1"/>
      <c r="P43" s="44">
        <v>2005</v>
      </c>
      <c r="Q43" s="431">
        <v>90000</v>
      </c>
      <c r="T43" s="42">
        <v>39</v>
      </c>
      <c r="U43" s="43">
        <v>46.7</v>
      </c>
      <c r="X43" s="455">
        <v>38</v>
      </c>
      <c r="Y43" s="456">
        <v>3.88E-4</v>
      </c>
      <c r="Z43" s="457">
        <v>0.99961199999999995</v>
      </c>
      <c r="AA43" s="457">
        <v>0.33236337646297859</v>
      </c>
      <c r="AB43" s="457">
        <v>0.32927835730221133</v>
      </c>
      <c r="AC43" s="457">
        <v>8.4342256689841566</v>
      </c>
      <c r="AD43" s="457">
        <v>25.614272793651097</v>
      </c>
      <c r="AE43" s="463">
        <v>25.155939460317764</v>
      </c>
    </row>
    <row r="44" spans="2:31" x14ac:dyDescent="0.35">
      <c r="B44" s="7"/>
      <c r="C44" s="401">
        <v>2019</v>
      </c>
      <c r="D44" s="402">
        <v>926</v>
      </c>
      <c r="E44" s="403">
        <v>5583</v>
      </c>
      <c r="G44" s="28">
        <v>2015</v>
      </c>
      <c r="H44" s="421">
        <v>0</v>
      </c>
      <c r="I44" s="1"/>
      <c r="J44" s="38">
        <v>1991</v>
      </c>
      <c r="K44" s="39">
        <v>21811.599999999999</v>
      </c>
      <c r="L44" s="105"/>
      <c r="M44" s="105"/>
      <c r="N44" s="105"/>
      <c r="O44" s="1"/>
      <c r="P44" s="44">
        <v>2006</v>
      </c>
      <c r="Q44" s="431">
        <v>94200</v>
      </c>
      <c r="T44" s="42">
        <v>40</v>
      </c>
      <c r="U44" s="43">
        <v>45.7</v>
      </c>
      <c r="X44" s="455">
        <v>39</v>
      </c>
      <c r="Y44" s="456">
        <v>4.0900000000000002E-4</v>
      </c>
      <c r="Z44" s="457">
        <v>0.99959100000000001</v>
      </c>
      <c r="AA44" s="457">
        <v>0.32286727999260778</v>
      </c>
      <c r="AB44" s="457">
        <v>0.31974629451959014</v>
      </c>
      <c r="AC44" s="457">
        <v>8.1049473116819453</v>
      </c>
      <c r="AD44" s="457">
        <v>25.348057039595727</v>
      </c>
      <c r="AE44" s="463">
        <v>24.889723706262394</v>
      </c>
    </row>
    <row r="45" spans="2:31" x14ac:dyDescent="0.35">
      <c r="B45" s="7"/>
      <c r="C45" s="401">
        <v>2020</v>
      </c>
      <c r="D45" s="402">
        <v>960</v>
      </c>
      <c r="E45" s="403">
        <v>5785</v>
      </c>
      <c r="G45" s="28">
        <v>2016</v>
      </c>
      <c r="H45" s="421">
        <v>0.3</v>
      </c>
      <c r="I45" s="1"/>
      <c r="J45" s="38">
        <v>1992</v>
      </c>
      <c r="K45" s="39">
        <v>22935.42</v>
      </c>
      <c r="L45" s="105"/>
      <c r="M45" s="105"/>
      <c r="N45" s="105"/>
      <c r="O45" s="1"/>
      <c r="P45" s="44">
        <v>2007</v>
      </c>
      <c r="Q45" s="431">
        <v>97500</v>
      </c>
      <c r="T45" s="42">
        <v>41</v>
      </c>
      <c r="U45" s="43">
        <v>44.8</v>
      </c>
      <c r="X45" s="455">
        <v>40</v>
      </c>
      <c r="Y45" s="456">
        <v>4.3300000000000001E-4</v>
      </c>
      <c r="Z45" s="457">
        <v>0.99956699999999998</v>
      </c>
      <c r="AA45" s="457">
        <v>0.31364250056424753</v>
      </c>
      <c r="AB45" s="457">
        <v>0.31048364633412784</v>
      </c>
      <c r="AC45" s="457">
        <v>7.7852010171623522</v>
      </c>
      <c r="AD45" s="457">
        <v>25.074431806898733</v>
      </c>
      <c r="AE45" s="463">
        <v>24.616098473565401</v>
      </c>
    </row>
    <row r="46" spans="2:31" x14ac:dyDescent="0.35">
      <c r="B46" s="7"/>
      <c r="C46" s="401">
        <v>2021</v>
      </c>
      <c r="D46" s="402">
        <v>996</v>
      </c>
      <c r="E46" s="403">
        <v>6002</v>
      </c>
      <c r="G46" s="28">
        <v>2017</v>
      </c>
      <c r="H46" s="421">
        <v>2</v>
      </c>
      <c r="I46" s="1"/>
      <c r="J46" s="38">
        <v>1993</v>
      </c>
      <c r="K46" s="39">
        <v>23132.67</v>
      </c>
      <c r="L46" s="105"/>
      <c r="M46" s="105"/>
      <c r="N46" s="105"/>
      <c r="O46" s="1"/>
      <c r="P46" s="44">
        <v>2008</v>
      </c>
      <c r="Q46" s="431">
        <v>102000</v>
      </c>
      <c r="T46" s="42">
        <v>42</v>
      </c>
      <c r="U46" s="43">
        <v>43.8</v>
      </c>
      <c r="X46" s="455">
        <v>41</v>
      </c>
      <c r="Y46" s="456">
        <v>4.5899999999999999E-4</v>
      </c>
      <c r="Z46" s="457">
        <v>0.99954100000000001</v>
      </c>
      <c r="AA46" s="457">
        <v>0.30468128626241187</v>
      </c>
      <c r="AB46" s="457">
        <v>0.30148208671768617</v>
      </c>
      <c r="AC46" s="457">
        <v>7.4747173708282251</v>
      </c>
      <c r="AD46" s="457">
        <v>24.793238803032764</v>
      </c>
      <c r="AE46" s="463">
        <v>24.334905469699432</v>
      </c>
    </row>
    <row r="47" spans="2:31" ht="15" thickBot="1" x14ac:dyDescent="0.4">
      <c r="B47" s="7"/>
      <c r="C47" s="404">
        <v>2022</v>
      </c>
      <c r="D47" s="405">
        <v>1024</v>
      </c>
      <c r="E47" s="406">
        <v>6172</v>
      </c>
      <c r="G47" s="28">
        <v>2018</v>
      </c>
      <c r="H47" s="421">
        <v>2.8</v>
      </c>
      <c r="I47" s="1"/>
      <c r="J47" s="38">
        <v>1994</v>
      </c>
      <c r="K47" s="39">
        <v>23753.53</v>
      </c>
      <c r="L47" s="105"/>
      <c r="M47" s="105"/>
      <c r="N47" s="105"/>
      <c r="O47" s="1"/>
      <c r="P47" s="44">
        <v>2009</v>
      </c>
      <c r="Q47" s="431">
        <v>106800</v>
      </c>
      <c r="T47" s="42">
        <v>43</v>
      </c>
      <c r="U47" s="43">
        <v>42.9</v>
      </c>
      <c r="X47" s="455">
        <v>42</v>
      </c>
      <c r="Y47" s="456">
        <v>4.8899999999999996E-4</v>
      </c>
      <c r="Z47" s="457">
        <v>0.99951100000000004</v>
      </c>
      <c r="AA47" s="457">
        <v>0.29597610665491442</v>
      </c>
      <c r="AB47" s="457">
        <v>0.29273388625588614</v>
      </c>
      <c r="AC47" s="457">
        <v>7.1732352841105396</v>
      </c>
      <c r="AD47" s="457">
        <v>24.504287412220641</v>
      </c>
      <c r="AE47" s="463">
        <v>24.045954078887309</v>
      </c>
    </row>
    <row r="48" spans="2:31" x14ac:dyDescent="0.35">
      <c r="B48" s="68" t="s">
        <v>126</v>
      </c>
      <c r="C48" s="407">
        <f>C47+1</f>
        <v>2023</v>
      </c>
      <c r="D48" s="413">
        <f>D47*1.03</f>
        <v>1054.72</v>
      </c>
      <c r="E48" s="408">
        <f>E47*1.03</f>
        <v>6357.16</v>
      </c>
      <c r="G48" s="28">
        <v>2019</v>
      </c>
      <c r="H48" s="421">
        <v>1.6</v>
      </c>
      <c r="I48" s="1"/>
      <c r="J48" s="38">
        <v>1995</v>
      </c>
      <c r="K48" s="39">
        <v>24705.66</v>
      </c>
      <c r="L48" s="105"/>
      <c r="M48" s="105"/>
      <c r="N48" s="105"/>
      <c r="O48" s="1"/>
      <c r="P48" s="44">
        <v>2010</v>
      </c>
      <c r="Q48" s="431">
        <v>106800</v>
      </c>
      <c r="T48" s="42">
        <v>44</v>
      </c>
      <c r="U48" s="43">
        <v>41.9</v>
      </c>
      <c r="X48" s="455">
        <v>43</v>
      </c>
      <c r="Y48" s="456">
        <v>5.2800000000000004E-4</v>
      </c>
      <c r="Z48" s="457">
        <v>0.99947200000000003</v>
      </c>
      <c r="AA48" s="457">
        <v>0.28751964646477401</v>
      </c>
      <c r="AB48" s="457">
        <v>0.28423100397449252</v>
      </c>
      <c r="AC48" s="457">
        <v>6.880501397854653</v>
      </c>
      <c r="AD48" s="457">
        <v>24.207427415174326</v>
      </c>
      <c r="AE48" s="463">
        <v>23.749094081840994</v>
      </c>
    </row>
    <row r="49" spans="2:31" x14ac:dyDescent="0.35">
      <c r="B49" s="68" t="s">
        <v>126</v>
      </c>
      <c r="C49" s="409">
        <f t="shared" ref="C49:C56" si="0">C48+1</f>
        <v>2024</v>
      </c>
      <c r="D49" s="414">
        <f t="shared" ref="D49:D56" si="1">D48*1.03</f>
        <v>1086.3616</v>
      </c>
      <c r="E49" s="410">
        <f t="shared" ref="E49:E56" si="2">E48*1.03</f>
        <v>6547.8747999999996</v>
      </c>
      <c r="G49" s="28">
        <v>2020</v>
      </c>
      <c r="H49" s="421">
        <v>1.3</v>
      </c>
      <c r="I49" s="1"/>
      <c r="J49" s="38">
        <v>1996</v>
      </c>
      <c r="K49" s="39">
        <v>25913.9</v>
      </c>
      <c r="L49" s="105"/>
      <c r="M49" s="105"/>
      <c r="N49" s="105"/>
      <c r="O49" s="1"/>
      <c r="P49" s="44">
        <v>2011</v>
      </c>
      <c r="Q49" s="431">
        <v>106800</v>
      </c>
      <c r="T49" s="42">
        <v>45</v>
      </c>
      <c r="U49" s="43">
        <v>41</v>
      </c>
      <c r="X49" s="455">
        <v>44</v>
      </c>
      <c r="Y49" s="456">
        <v>5.7399999999999997E-4</v>
      </c>
      <c r="Z49" s="457">
        <v>0.99942600000000004</v>
      </c>
      <c r="AA49" s="457">
        <v>0.2793047994229233</v>
      </c>
      <c r="AB49" s="457">
        <v>0.27596433200426845</v>
      </c>
      <c r="AC49" s="457">
        <v>6.5962703938801592</v>
      </c>
      <c r="AD49" s="457">
        <v>23.902619392777659</v>
      </c>
      <c r="AE49" s="463">
        <v>23.444286059444327</v>
      </c>
    </row>
    <row r="50" spans="2:31" ht="15" thickBot="1" x14ac:dyDescent="0.4">
      <c r="B50" s="68" t="s">
        <v>126</v>
      </c>
      <c r="C50" s="409">
        <f t="shared" si="0"/>
        <v>2025</v>
      </c>
      <c r="D50" s="414">
        <f t="shared" si="1"/>
        <v>1118.952448</v>
      </c>
      <c r="E50" s="410">
        <f t="shared" si="2"/>
        <v>6744.311044</v>
      </c>
      <c r="F50" s="7"/>
      <c r="G50" s="50">
        <v>2021</v>
      </c>
      <c r="H50" s="422">
        <v>5.9</v>
      </c>
      <c r="I50" s="1"/>
      <c r="J50" s="38">
        <v>1997</v>
      </c>
      <c r="K50" s="39">
        <v>27426</v>
      </c>
      <c r="L50" s="105"/>
      <c r="M50" s="105"/>
      <c r="N50" s="105"/>
      <c r="O50" s="1"/>
      <c r="P50" s="44">
        <v>2012</v>
      </c>
      <c r="Q50" s="431">
        <v>110100</v>
      </c>
      <c r="T50" s="42">
        <v>46</v>
      </c>
      <c r="U50" s="43">
        <v>40</v>
      </c>
      <c r="X50" s="455">
        <v>45</v>
      </c>
      <c r="Y50" s="456">
        <v>6.2799999999999998E-4</v>
      </c>
      <c r="Z50" s="457">
        <v>0.99937200000000004</v>
      </c>
      <c r="AA50" s="457">
        <v>0.27132466229655405</v>
      </c>
      <c r="AB50" s="457">
        <v>0.2679257590926209</v>
      </c>
      <c r="AC50" s="457">
        <v>6.3203060618758897</v>
      </c>
      <c r="AD50" s="457">
        <v>23.589766371403595</v>
      </c>
      <c r="AE50" s="463">
        <v>23.131433038070263</v>
      </c>
    </row>
    <row r="51" spans="2:31" ht="15" thickBot="1" x14ac:dyDescent="0.4">
      <c r="B51" s="68" t="s">
        <v>126</v>
      </c>
      <c r="C51" s="409">
        <f t="shared" si="0"/>
        <v>2026</v>
      </c>
      <c r="D51" s="414">
        <f t="shared" si="1"/>
        <v>1152.5210214400001</v>
      </c>
      <c r="E51" s="410">
        <f t="shared" si="2"/>
        <v>6946.6403753200002</v>
      </c>
      <c r="F51" s="7"/>
      <c r="G51" s="50">
        <v>2022</v>
      </c>
      <c r="H51" s="423">
        <v>8.6999999999999993</v>
      </c>
      <c r="I51" s="1"/>
      <c r="J51" s="38">
        <v>1998</v>
      </c>
      <c r="K51" s="39">
        <v>28861.439999999999</v>
      </c>
      <c r="L51" s="105"/>
      <c r="M51" s="105"/>
      <c r="N51" s="105"/>
      <c r="O51" s="1"/>
      <c r="P51" s="44">
        <v>2013</v>
      </c>
      <c r="Q51" s="431">
        <v>113700</v>
      </c>
      <c r="T51" s="42">
        <v>47</v>
      </c>
      <c r="U51" s="43">
        <v>39</v>
      </c>
      <c r="X51" s="455">
        <v>46</v>
      </c>
      <c r="Y51" s="456">
        <v>6.9399999999999996E-4</v>
      </c>
      <c r="Z51" s="457">
        <v>0.99930600000000003</v>
      </c>
      <c r="AA51" s="457">
        <v>0.2635725290880811</v>
      </c>
      <c r="AB51" s="457">
        <v>0.26010728738117045</v>
      </c>
      <c r="AC51" s="457">
        <v>6.052380302783269</v>
      </c>
      <c r="AD51" s="457">
        <v>23.268784061070523</v>
      </c>
      <c r="AE51" s="463">
        <v>22.810450727737191</v>
      </c>
    </row>
    <row r="52" spans="2:31" x14ac:dyDescent="0.35">
      <c r="B52" s="68" t="s">
        <v>126</v>
      </c>
      <c r="C52" s="409">
        <f t="shared" si="0"/>
        <v>2027</v>
      </c>
      <c r="D52" s="414">
        <f t="shared" si="1"/>
        <v>1187.0966520832001</v>
      </c>
      <c r="E52" s="410">
        <f t="shared" si="2"/>
        <v>7155.0395865796008</v>
      </c>
      <c r="F52" s="7"/>
      <c r="G52" s="7"/>
      <c r="H52" s="68" t="s">
        <v>356</v>
      </c>
      <c r="I52" s="7"/>
      <c r="J52" s="38">
        <v>1999</v>
      </c>
      <c r="K52" s="39">
        <v>30469.84</v>
      </c>
      <c r="L52" s="105"/>
      <c r="M52" s="105"/>
      <c r="N52" s="105"/>
      <c r="O52" s="7"/>
      <c r="P52" s="44">
        <v>2014</v>
      </c>
      <c r="Q52" s="431">
        <v>117000</v>
      </c>
      <c r="T52" s="42">
        <v>48</v>
      </c>
      <c r="U52" s="43">
        <v>38.1</v>
      </c>
      <c r="X52" s="455">
        <v>47</v>
      </c>
      <c r="Y52" s="456">
        <v>7.7200000000000001E-4</v>
      </c>
      <c r="Z52" s="457">
        <v>0.99922800000000001</v>
      </c>
      <c r="AA52" s="457">
        <v>0.25604188539985018</v>
      </c>
      <c r="AB52" s="457">
        <v>0.25250029369733568</v>
      </c>
      <c r="AC52" s="457">
        <v>5.7922730154020989</v>
      </c>
      <c r="AD52" s="457">
        <v>22.939668428049902</v>
      </c>
      <c r="AE52" s="463">
        <v>22.48133509471657</v>
      </c>
    </row>
    <row r="53" spans="2:31" x14ac:dyDescent="0.35">
      <c r="B53" s="68" t="s">
        <v>126</v>
      </c>
      <c r="C53" s="409">
        <f t="shared" si="0"/>
        <v>2028</v>
      </c>
      <c r="D53" s="414">
        <f t="shared" si="1"/>
        <v>1222.7095516456961</v>
      </c>
      <c r="E53" s="410">
        <f t="shared" si="2"/>
        <v>7369.6907741769892</v>
      </c>
      <c r="F53" s="7"/>
      <c r="G53" s="7"/>
      <c r="H53" s="420" t="s">
        <v>314</v>
      </c>
      <c r="I53" s="7"/>
      <c r="J53" s="38">
        <v>2000</v>
      </c>
      <c r="K53" s="39">
        <v>32154.82</v>
      </c>
      <c r="L53" s="105"/>
      <c r="M53" s="105"/>
      <c r="N53" s="105"/>
      <c r="O53" s="7"/>
      <c r="P53" s="44">
        <v>2015</v>
      </c>
      <c r="Q53" s="431">
        <v>118500</v>
      </c>
      <c r="T53" s="42">
        <v>49</v>
      </c>
      <c r="U53" s="43">
        <v>37.1</v>
      </c>
      <c r="X53" s="455">
        <v>48</v>
      </c>
      <c r="Y53" s="456">
        <v>8.5999999999999998E-4</v>
      </c>
      <c r="Z53" s="457">
        <v>0.99914000000000003</v>
      </c>
      <c r="AA53" s="457">
        <v>0.24872640295985446</v>
      </c>
      <c r="AB53" s="457">
        <v>0.24509663880001276</v>
      </c>
      <c r="AC53" s="457">
        <v>5.5397727217047636</v>
      </c>
      <c r="AD53" s="457">
        <v>22.602401847807286</v>
      </c>
      <c r="AE53" s="463">
        <v>22.144068514473954</v>
      </c>
    </row>
    <row r="54" spans="2:31" x14ac:dyDescent="0.35">
      <c r="B54" s="68" t="s">
        <v>126</v>
      </c>
      <c r="C54" s="409">
        <f t="shared" si="0"/>
        <v>2029</v>
      </c>
      <c r="D54" s="414">
        <f t="shared" si="1"/>
        <v>1259.3908381950671</v>
      </c>
      <c r="E54" s="410">
        <f t="shared" si="2"/>
        <v>7590.7814974022995</v>
      </c>
      <c r="F54" s="7"/>
      <c r="G54" s="7"/>
      <c r="H54" s="7"/>
      <c r="I54" s="7"/>
      <c r="J54" s="38">
        <v>2001</v>
      </c>
      <c r="K54" s="39">
        <v>32921.919999999998</v>
      </c>
      <c r="L54" s="105"/>
      <c r="M54" s="105"/>
      <c r="N54" s="105"/>
      <c r="O54" s="7"/>
      <c r="P54" s="44">
        <v>2016</v>
      </c>
      <c r="Q54" s="431">
        <v>118500</v>
      </c>
      <c r="T54" s="42">
        <v>50</v>
      </c>
      <c r="U54" s="43">
        <v>36.200000000000003</v>
      </c>
      <c r="X54" s="455">
        <v>49</v>
      </c>
      <c r="Y54" s="456">
        <v>9.6299999999999999E-4</v>
      </c>
      <c r="Z54" s="457">
        <v>0.99903699999999995</v>
      </c>
      <c r="AA54" s="457">
        <v>0.24161993430385861</v>
      </c>
      <c r="AB54" s="457">
        <v>0.23788911695662632</v>
      </c>
      <c r="AC54" s="457">
        <v>5.2946760829047514</v>
      </c>
      <c r="AD54" s="457">
        <v>22.256907548528652</v>
      </c>
      <c r="AE54" s="463">
        <v>21.79857421519532</v>
      </c>
    </row>
    <row r="55" spans="2:31" x14ac:dyDescent="0.35">
      <c r="B55" s="57" t="s">
        <v>126</v>
      </c>
      <c r="C55" s="45">
        <f t="shared" si="0"/>
        <v>2030</v>
      </c>
      <c r="D55" s="415">
        <f t="shared" si="1"/>
        <v>1297.1725633409192</v>
      </c>
      <c r="E55" s="411">
        <f t="shared" si="2"/>
        <v>7818.504942324369</v>
      </c>
      <c r="F55" s="7"/>
      <c r="G55" s="7" t="s">
        <v>362</v>
      </c>
      <c r="H55" s="7"/>
      <c r="I55" s="7"/>
      <c r="J55" s="38">
        <v>2002</v>
      </c>
      <c r="K55" s="39">
        <v>33252.089999999997</v>
      </c>
      <c r="L55" s="105"/>
      <c r="M55" s="105"/>
      <c r="N55" s="105"/>
      <c r="O55" s="7"/>
      <c r="P55" s="44">
        <v>2017</v>
      </c>
      <c r="Q55" s="431">
        <v>127200</v>
      </c>
      <c r="T55" s="42">
        <v>51</v>
      </c>
      <c r="U55" s="43">
        <v>35.299999999999997</v>
      </c>
      <c r="X55" s="455">
        <v>50</v>
      </c>
      <c r="Y55" s="456">
        <v>1.0820000000000001E-3</v>
      </c>
      <c r="Z55" s="457">
        <v>0.99891799999999997</v>
      </c>
      <c r="AA55" s="457">
        <v>0.23471650760946264</v>
      </c>
      <c r="AB55" s="457">
        <v>0.23086974317308284</v>
      </c>
      <c r="AC55" s="457">
        <v>5.0567869659481266</v>
      </c>
      <c r="AD55" s="457">
        <v>21.90320349668799</v>
      </c>
      <c r="AE55" s="463">
        <v>21.444870163354658</v>
      </c>
    </row>
    <row r="56" spans="2:31" ht="15" thickBot="1" x14ac:dyDescent="0.4">
      <c r="B56" s="57" t="s">
        <v>126</v>
      </c>
      <c r="C56" s="49">
        <f t="shared" si="0"/>
        <v>2031</v>
      </c>
      <c r="D56" s="416">
        <f t="shared" si="1"/>
        <v>1336.0877402411468</v>
      </c>
      <c r="E56" s="412">
        <f t="shared" si="2"/>
        <v>8053.0600905941001</v>
      </c>
      <c r="F56" s="7"/>
      <c r="G56" s="7"/>
      <c r="H56" s="7"/>
      <c r="I56" s="7"/>
      <c r="J56" s="38">
        <v>2003</v>
      </c>
      <c r="K56" s="39">
        <v>34064.949999999997</v>
      </c>
      <c r="L56" s="105"/>
      <c r="M56" s="105"/>
      <c r="N56" s="105"/>
      <c r="O56" s="7"/>
      <c r="P56" s="44">
        <v>2018</v>
      </c>
      <c r="Q56" s="431">
        <v>128400</v>
      </c>
      <c r="T56" s="42">
        <v>52</v>
      </c>
      <c r="U56" s="43">
        <v>34.299999999999997</v>
      </c>
      <c r="X56" s="455">
        <v>51</v>
      </c>
      <c r="Y56" s="456">
        <v>1.2030000000000001E-3</v>
      </c>
      <c r="Z56" s="457">
        <v>0.99879700000000005</v>
      </c>
      <c r="AA56" s="457">
        <v>0.22801032167776372</v>
      </c>
      <c r="AB56" s="457">
        <v>0.22403080090779903</v>
      </c>
      <c r="AC56" s="457">
        <v>4.8259172227750433</v>
      </c>
      <c r="AD56" s="457">
        <v>21.541311298356572</v>
      </c>
      <c r="AE56" s="463">
        <v>21.08297796502324</v>
      </c>
    </row>
    <row r="57" spans="2:31" x14ac:dyDescent="0.35">
      <c r="B57" s="7"/>
      <c r="C57" s="7"/>
      <c r="D57" s="7"/>
      <c r="E57" s="7"/>
      <c r="F57" s="7"/>
      <c r="G57" s="7"/>
      <c r="H57" s="7"/>
      <c r="I57" s="7"/>
      <c r="J57" s="38">
        <v>2004</v>
      </c>
      <c r="K57" s="39">
        <v>35648.550000000003</v>
      </c>
      <c r="L57" s="105"/>
      <c r="M57" s="105"/>
      <c r="N57" s="105"/>
      <c r="O57" s="7"/>
      <c r="P57" s="44">
        <v>2019</v>
      </c>
      <c r="Q57" s="431">
        <v>132900</v>
      </c>
      <c r="T57" s="42">
        <v>53</v>
      </c>
      <c r="U57" s="43">
        <v>33.4</v>
      </c>
      <c r="X57" s="455">
        <v>52</v>
      </c>
      <c r="Y57" s="456">
        <v>1.359E-3</v>
      </c>
      <c r="Z57" s="457">
        <v>0.998641</v>
      </c>
      <c r="AA57" s="457">
        <v>0.22149574105839903</v>
      </c>
      <c r="AB57" s="457">
        <v>0.21736811208704104</v>
      </c>
      <c r="AC57" s="457">
        <v>4.6018864218672428</v>
      </c>
      <c r="AD57" s="457">
        <v>21.170936149201601</v>
      </c>
      <c r="AE57" s="463">
        <v>20.712602815868269</v>
      </c>
    </row>
    <row r="58" spans="2:31" ht="15" thickBot="1" x14ac:dyDescent="0.4">
      <c r="B58" s="7"/>
      <c r="C58" s="7" t="s">
        <v>125</v>
      </c>
      <c r="D58" s="7"/>
      <c r="E58" s="7"/>
      <c r="F58" s="7"/>
      <c r="G58" s="7"/>
      <c r="H58" s="7"/>
      <c r="I58" s="7"/>
      <c r="J58" s="38">
        <v>2005</v>
      </c>
      <c r="K58" s="39">
        <v>36952.94</v>
      </c>
      <c r="L58" s="105"/>
      <c r="M58" s="105"/>
      <c r="N58" s="105"/>
      <c r="O58" s="7"/>
      <c r="P58" s="432">
        <v>2020</v>
      </c>
      <c r="Q58" s="431">
        <v>137700</v>
      </c>
      <c r="T58" s="42">
        <v>54</v>
      </c>
      <c r="U58" s="43">
        <v>32.5</v>
      </c>
      <c r="X58" s="455">
        <v>53</v>
      </c>
      <c r="Y58" s="456">
        <v>1.5380000000000001E-3</v>
      </c>
      <c r="Z58" s="457">
        <v>0.99846199999999996</v>
      </c>
      <c r="AA58" s="457">
        <v>0.21516729131387333</v>
      </c>
      <c r="AB58" s="457">
        <v>0.21087063142778004</v>
      </c>
      <c r="AC58" s="457">
        <v>4.3845183097802014</v>
      </c>
      <c r="AD58" s="457">
        <v>20.79245592472099</v>
      </c>
      <c r="AE58" s="463">
        <v>20.334122591387658</v>
      </c>
    </row>
    <row r="59" spans="2:31" x14ac:dyDescent="0.35">
      <c r="B59" s="7"/>
      <c r="C59" s="7"/>
      <c r="D59" s="7"/>
      <c r="E59" s="7"/>
      <c r="F59" s="7"/>
      <c r="G59" s="7"/>
      <c r="H59" s="7"/>
      <c r="I59" s="7"/>
      <c r="J59" s="38">
        <v>2006</v>
      </c>
      <c r="K59" s="39">
        <v>38651.410000000003</v>
      </c>
      <c r="L59" s="105"/>
      <c r="M59" s="105"/>
      <c r="N59" s="105"/>
      <c r="O59" s="68" t="s">
        <v>126</v>
      </c>
      <c r="P59" s="433">
        <f>P58+1</f>
        <v>2021</v>
      </c>
      <c r="Q59" s="434">
        <f>Q58*1.03</f>
        <v>141831</v>
      </c>
      <c r="T59" s="42">
        <v>55</v>
      </c>
      <c r="U59" s="43">
        <v>31.6</v>
      </c>
      <c r="X59" s="455">
        <v>54</v>
      </c>
      <c r="Y59" s="456">
        <v>1.748E-3</v>
      </c>
      <c r="Z59" s="457">
        <v>0.99825200000000003</v>
      </c>
      <c r="AA59" s="457">
        <v>0.20901965441919124</v>
      </c>
      <c r="AB59" s="457">
        <v>0.2045307034710257</v>
      </c>
      <c r="AC59" s="457">
        <v>4.1736476783524203</v>
      </c>
      <c r="AD59" s="457">
        <v>20.405971365290245</v>
      </c>
      <c r="AE59" s="463">
        <v>19.947638031956913</v>
      </c>
    </row>
    <row r="60" spans="2:31" x14ac:dyDescent="0.35">
      <c r="B60" s="7"/>
      <c r="C60" s="7" t="s">
        <v>363</v>
      </c>
      <c r="D60" s="7"/>
      <c r="E60" s="7"/>
      <c r="F60" s="7"/>
      <c r="G60" s="7"/>
      <c r="H60" s="7"/>
      <c r="I60" s="7"/>
      <c r="J60" s="38">
        <v>2007</v>
      </c>
      <c r="K60" s="39">
        <v>40405.480000000003</v>
      </c>
      <c r="L60" s="105"/>
      <c r="M60" s="105"/>
      <c r="N60" s="105"/>
      <c r="O60" s="68" t="s">
        <v>126</v>
      </c>
      <c r="P60" s="44">
        <f t="shared" ref="P60:P64" si="3">P59+1</f>
        <v>2022</v>
      </c>
      <c r="Q60" s="435">
        <f t="shared" ref="Q60:Q64" si="4">Q59*1.03</f>
        <v>146085.93</v>
      </c>
      <c r="T60" s="42">
        <v>56</v>
      </c>
      <c r="U60" s="43">
        <v>30.6</v>
      </c>
      <c r="X60" s="455">
        <v>55</v>
      </c>
      <c r="Y60" s="456">
        <v>2.0669999999999998E-3</v>
      </c>
      <c r="Z60" s="457">
        <v>0.99793299999999996</v>
      </c>
      <c r="AA60" s="457">
        <v>0.20304766429292864</v>
      </c>
      <c r="AB60" s="457">
        <v>0.19833966426417671</v>
      </c>
      <c r="AC60" s="457">
        <v>3.9691169748813961</v>
      </c>
      <c r="AD60" s="457">
        <v>20.011715708032899</v>
      </c>
      <c r="AE60" s="463">
        <v>19.553382374699567</v>
      </c>
    </row>
    <row r="61" spans="2:31" x14ac:dyDescent="0.35">
      <c r="B61" s="7"/>
      <c r="C61" s="7"/>
      <c r="D61" s="7"/>
      <c r="E61" s="7"/>
      <c r="F61" s="7"/>
      <c r="G61" s="7"/>
      <c r="H61" s="7"/>
      <c r="I61" s="7"/>
      <c r="J61" s="38">
        <v>2008</v>
      </c>
      <c r="K61" s="39">
        <v>41334.97</v>
      </c>
      <c r="L61" s="105"/>
      <c r="M61" s="105"/>
      <c r="N61" s="105"/>
      <c r="O61" s="68" t="s">
        <v>126</v>
      </c>
      <c r="P61" s="44">
        <f t="shared" si="3"/>
        <v>2023</v>
      </c>
      <c r="Q61" s="435">
        <f t="shared" si="4"/>
        <v>150468.5079</v>
      </c>
      <c r="T61" s="42">
        <v>57</v>
      </c>
      <c r="U61" s="43">
        <v>29.8</v>
      </c>
      <c r="X61" s="455">
        <v>56</v>
      </c>
      <c r="Y61" s="456">
        <v>2.4819999999999998E-3</v>
      </c>
      <c r="Z61" s="457">
        <v>0.99751800000000002</v>
      </c>
      <c r="AA61" s="457">
        <v>0.19724630245598779</v>
      </c>
      <c r="AB61" s="457">
        <v>0.19227456200162424</v>
      </c>
      <c r="AC61" s="457">
        <v>3.7707773106172193</v>
      </c>
      <c r="AD61" s="457">
        <v>19.611420623521511</v>
      </c>
      <c r="AE61" s="463">
        <v>19.153087290188179</v>
      </c>
    </row>
    <row r="62" spans="2:31" x14ac:dyDescent="0.35">
      <c r="B62" s="7"/>
      <c r="C62" s="7"/>
      <c r="D62" s="7"/>
      <c r="E62" s="7"/>
      <c r="F62" s="7"/>
      <c r="G62" s="7"/>
      <c r="H62" s="7"/>
      <c r="I62" s="7"/>
      <c r="J62" s="38">
        <v>2009</v>
      </c>
      <c r="K62" s="39">
        <v>40711.61</v>
      </c>
      <c r="L62" s="105"/>
      <c r="M62" s="105"/>
      <c r="N62" s="105"/>
      <c r="O62" s="68" t="s">
        <v>126</v>
      </c>
      <c r="P62" s="44">
        <f t="shared" si="3"/>
        <v>2024</v>
      </c>
      <c r="Q62" s="435">
        <f t="shared" si="4"/>
        <v>154982.56313699999</v>
      </c>
      <c r="T62" s="42">
        <v>58</v>
      </c>
      <c r="U62" s="43">
        <v>28.9</v>
      </c>
      <c r="X62" s="455">
        <v>57</v>
      </c>
      <c r="Y62" s="456">
        <v>2.8530000000000001E-3</v>
      </c>
      <c r="Z62" s="457">
        <v>0.99714700000000001</v>
      </c>
      <c r="AA62" s="457">
        <v>0.19161069381438814</v>
      </c>
      <c r="AB62" s="457">
        <v>0.18631741263762946</v>
      </c>
      <c r="AC62" s="457">
        <v>3.5785027486155947</v>
      </c>
      <c r="AD62" s="457">
        <v>19.206485845611539</v>
      </c>
      <c r="AE62" s="463">
        <v>18.748152512278207</v>
      </c>
    </row>
    <row r="63" spans="2:31" x14ac:dyDescent="0.35">
      <c r="B63" s="7"/>
      <c r="C63" s="7"/>
      <c r="D63" s="7"/>
      <c r="E63" s="7"/>
      <c r="F63" s="7"/>
      <c r="G63" s="7"/>
      <c r="H63" s="7"/>
      <c r="I63" s="7"/>
      <c r="J63" s="38">
        <v>2010</v>
      </c>
      <c r="K63" s="39">
        <v>41673.83</v>
      </c>
      <c r="L63" s="105"/>
      <c r="M63" s="105"/>
      <c r="N63" s="105"/>
      <c r="O63" s="68" t="s">
        <v>126</v>
      </c>
      <c r="P63" s="44">
        <f t="shared" si="3"/>
        <v>2025</v>
      </c>
      <c r="Q63" s="435">
        <f t="shared" si="4"/>
        <v>159632.04003110999</v>
      </c>
      <c r="T63" s="42">
        <v>59</v>
      </c>
      <c r="U63" s="43">
        <v>28</v>
      </c>
      <c r="X63" s="455">
        <v>58</v>
      </c>
      <c r="Y63" s="456">
        <v>3.2650000000000001E-3</v>
      </c>
      <c r="Z63" s="457">
        <v>0.99673500000000004</v>
      </c>
      <c r="AA63" s="457">
        <v>0.18613610256254851</v>
      </c>
      <c r="AB63" s="457">
        <v>0.1804776819433922</v>
      </c>
      <c r="AC63" s="457">
        <v>3.3921853359779655</v>
      </c>
      <c r="AD63" s="457">
        <v>18.795594554688169</v>
      </c>
      <c r="AE63" s="463">
        <v>18.337261221354836</v>
      </c>
    </row>
    <row r="64" spans="2:31" ht="15" thickBot="1" x14ac:dyDescent="0.4">
      <c r="B64" s="7"/>
      <c r="C64" s="7"/>
      <c r="D64" s="7"/>
      <c r="E64" s="7"/>
      <c r="F64" s="7"/>
      <c r="G64" s="7"/>
      <c r="H64" s="7"/>
      <c r="I64" s="7"/>
      <c r="J64" s="38">
        <v>2011</v>
      </c>
      <c r="K64" s="39">
        <v>42979.61</v>
      </c>
      <c r="L64" s="105"/>
      <c r="M64" s="105"/>
      <c r="N64" s="105"/>
      <c r="O64" s="68" t="s">
        <v>126</v>
      </c>
      <c r="P64" s="432">
        <f t="shared" si="3"/>
        <v>2026</v>
      </c>
      <c r="Q64" s="436">
        <f t="shared" si="4"/>
        <v>164421.00123204329</v>
      </c>
      <c r="T64" s="42">
        <v>60</v>
      </c>
      <c r="U64" s="43">
        <v>27.1</v>
      </c>
      <c r="X64" s="455">
        <v>59</v>
      </c>
      <c r="Y64" s="456">
        <v>3.722E-3</v>
      </c>
      <c r="Z64" s="457">
        <v>0.996278</v>
      </c>
      <c r="AA64" s="457">
        <v>0.18081792820361853</v>
      </c>
      <c r="AB64" s="457">
        <v>0.17474875310293711</v>
      </c>
      <c r="AC64" s="457">
        <v>3.2117076540345733</v>
      </c>
      <c r="AD64" s="457">
        <v>18.379001835524925</v>
      </c>
      <c r="AE64" s="463">
        <v>17.920668502191592</v>
      </c>
    </row>
    <row r="65" spans="2:31" x14ac:dyDescent="0.35">
      <c r="B65" s="7"/>
      <c r="C65" s="7"/>
      <c r="D65" s="7"/>
      <c r="E65" s="7"/>
      <c r="F65" s="7"/>
      <c r="G65" s="7"/>
      <c r="H65" s="7"/>
      <c r="I65" s="7"/>
      <c r="J65" s="38">
        <v>2012</v>
      </c>
      <c r="K65" s="39">
        <v>44321.67</v>
      </c>
      <c r="L65" s="105"/>
      <c r="M65" s="105"/>
      <c r="N65" s="105"/>
      <c r="O65" s="7"/>
      <c r="T65" s="42">
        <v>61</v>
      </c>
      <c r="U65" s="43">
        <v>26.2</v>
      </c>
      <c r="X65" s="455">
        <v>60</v>
      </c>
      <c r="Y65" s="456">
        <v>4.2519999999999997E-3</v>
      </c>
      <c r="Z65" s="457">
        <v>0.99574799999999997</v>
      </c>
      <c r="AA65" s="457">
        <v>0.17565170168351513</v>
      </c>
      <c r="AB65" s="457">
        <v>0.16912410000834829</v>
      </c>
      <c r="AC65" s="457">
        <v>3.0369589009316362</v>
      </c>
      <c r="AD65" s="457">
        <v>17.956984845931043</v>
      </c>
      <c r="AE65" s="463">
        <v>17.498651512597711</v>
      </c>
    </row>
    <row r="66" spans="2:31" x14ac:dyDescent="0.35">
      <c r="B66" s="7"/>
      <c r="C66" s="7"/>
      <c r="J66" s="38">
        <v>2013</v>
      </c>
      <c r="K66" s="39">
        <v>44888.160000000003</v>
      </c>
      <c r="L66" s="105"/>
      <c r="M66" s="105"/>
      <c r="N66" s="105"/>
      <c r="P66" s="1" t="s">
        <v>125</v>
      </c>
      <c r="T66" s="42">
        <v>62</v>
      </c>
      <c r="U66" s="43">
        <v>25.4</v>
      </c>
      <c r="X66" s="455">
        <v>61</v>
      </c>
      <c r="Y66" s="456">
        <v>4.8809999999999999E-3</v>
      </c>
      <c r="Z66" s="457">
        <v>0.99511899999999998</v>
      </c>
      <c r="AA66" s="457">
        <v>0.17063308163541471</v>
      </c>
      <c r="AB66" s="457">
        <v>0.1635934133541096</v>
      </c>
      <c r="AC66" s="457">
        <v>2.8678348009232884</v>
      </c>
      <c r="AD66" s="457">
        <v>17.530258352857128</v>
      </c>
      <c r="AE66" s="463">
        <v>17.071925019523796</v>
      </c>
    </row>
    <row r="67" spans="2:31" x14ac:dyDescent="0.35">
      <c r="B67" s="7"/>
      <c r="C67" s="7"/>
      <c r="J67" s="38">
        <v>2014</v>
      </c>
      <c r="K67" s="39">
        <v>46481.52</v>
      </c>
      <c r="L67" s="105"/>
      <c r="M67" s="105"/>
      <c r="N67" s="105"/>
      <c r="T67" s="42">
        <v>63</v>
      </c>
      <c r="U67" s="43">
        <v>24.5</v>
      </c>
      <c r="X67" s="455">
        <v>62</v>
      </c>
      <c r="Y67" s="456">
        <v>5.5750000000000001E-3</v>
      </c>
      <c r="Z67" s="457">
        <v>0.994425</v>
      </c>
      <c r="AA67" s="457">
        <v>0.16575785073154573</v>
      </c>
      <c r="AB67" s="457">
        <v>0.15814363064914166</v>
      </c>
      <c r="AC67" s="457">
        <v>2.7042413875691786</v>
      </c>
      <c r="AD67" s="457">
        <v>17.099907068459959</v>
      </c>
      <c r="AE67" s="463">
        <v>16.641573735126627</v>
      </c>
    </row>
    <row r="68" spans="2:31" x14ac:dyDescent="0.35">
      <c r="B68" s="7"/>
      <c r="C68" s="7"/>
      <c r="J68" s="38">
        <v>2015</v>
      </c>
      <c r="K68" s="39">
        <v>48098.63</v>
      </c>
      <c r="L68" s="105"/>
      <c r="M68" s="105"/>
      <c r="N68" s="105"/>
      <c r="P68" s="1" t="s">
        <v>364</v>
      </c>
      <c r="T68" s="42">
        <v>64</v>
      </c>
      <c r="U68" s="43">
        <v>23.7</v>
      </c>
      <c r="X68" s="455">
        <v>63</v>
      </c>
      <c r="Y68" s="456">
        <v>6.3579999999999999E-3</v>
      </c>
      <c r="Z68" s="457">
        <v>0.99364200000000003</v>
      </c>
      <c r="AA68" s="457">
        <v>0.16102191213921582</v>
      </c>
      <c r="AB68" s="457">
        <v>0.15276878048232204</v>
      </c>
      <c r="AC68" s="457">
        <v>2.5460977569200369</v>
      </c>
      <c r="AD68" s="457">
        <v>16.66634864061551</v>
      </c>
      <c r="AE68" s="463">
        <v>16.208015307282178</v>
      </c>
    </row>
    <row r="69" spans="2:31" x14ac:dyDescent="0.35">
      <c r="B69" s="7"/>
      <c r="C69" s="7"/>
      <c r="J69" s="38">
        <v>2016</v>
      </c>
      <c r="K69" s="39">
        <v>48642.15</v>
      </c>
      <c r="L69" s="105"/>
      <c r="M69" s="105"/>
      <c r="N69" s="105"/>
      <c r="T69" s="42">
        <v>65</v>
      </c>
      <c r="U69" s="43">
        <v>22.9</v>
      </c>
      <c r="X69" s="455">
        <v>64</v>
      </c>
      <c r="Y69" s="456">
        <v>7.1060000000000003E-3</v>
      </c>
      <c r="Z69" s="457">
        <v>0.99289400000000005</v>
      </c>
      <c r="AA69" s="457">
        <v>0.15642128607809538</v>
      </c>
      <c r="AB69" s="457">
        <v>0.14746040581670072</v>
      </c>
      <c r="AC69" s="457">
        <v>2.3933289764377155</v>
      </c>
      <c r="AD69" s="457">
        <v>16.230315949440154</v>
      </c>
      <c r="AE69" s="463">
        <v>15.77198261610682</v>
      </c>
    </row>
    <row r="70" spans="2:31" x14ac:dyDescent="0.35">
      <c r="B70" s="10"/>
      <c r="C70" s="9"/>
      <c r="J70" s="38">
        <v>2017</v>
      </c>
      <c r="K70" s="39">
        <v>50321.89</v>
      </c>
      <c r="L70" s="105"/>
      <c r="M70" s="105"/>
      <c r="N70" s="105"/>
      <c r="T70" s="42">
        <v>66</v>
      </c>
      <c r="U70" s="43">
        <v>22</v>
      </c>
      <c r="X70" s="455">
        <v>65</v>
      </c>
      <c r="Y70" s="456">
        <v>7.9229999999999995E-3</v>
      </c>
      <c r="Z70" s="457">
        <v>0.99207699999999999</v>
      </c>
      <c r="AA70" s="457">
        <v>0.15195210647586407</v>
      </c>
      <c r="AB70" s="457">
        <v>0.14222933639659674</v>
      </c>
      <c r="AC70" s="457">
        <v>2.2458685706210146</v>
      </c>
      <c r="AD70" s="457">
        <v>15.790473523398607</v>
      </c>
      <c r="AE70" s="463">
        <v>15.332140190065273</v>
      </c>
    </row>
    <row r="71" spans="2:31" x14ac:dyDescent="0.35">
      <c r="B71" s="10"/>
      <c r="C71" s="7"/>
      <c r="J71" s="38">
        <v>2018</v>
      </c>
      <c r="K71" s="39">
        <v>52145.8</v>
      </c>
      <c r="L71" s="105"/>
      <c r="M71" s="105"/>
      <c r="N71" s="105"/>
      <c r="T71" s="42">
        <v>67</v>
      </c>
      <c r="U71" s="43">
        <v>21.2</v>
      </c>
      <c r="X71" s="455">
        <v>66</v>
      </c>
      <c r="Y71" s="456">
        <v>8.8350000000000008E-3</v>
      </c>
      <c r="Z71" s="457">
        <v>0.99116499999999996</v>
      </c>
      <c r="AA71" s="457">
        <v>0.14761061771941084</v>
      </c>
      <c r="AB71" s="457">
        <v>0.13707095469677433</v>
      </c>
      <c r="AC71" s="457">
        <v>2.1036392342244175</v>
      </c>
      <c r="AD71" s="457">
        <v>15.3470823842881</v>
      </c>
      <c r="AE71" s="463">
        <v>14.888749050954766</v>
      </c>
    </row>
    <row r="72" spans="2:31" x14ac:dyDescent="0.35">
      <c r="B72" s="10"/>
      <c r="C72" s="7"/>
      <c r="J72" s="38">
        <v>2019</v>
      </c>
      <c r="K72" s="39">
        <v>54099.99</v>
      </c>
      <c r="L72" s="105"/>
      <c r="M72" s="105"/>
      <c r="N72" s="105"/>
      <c r="T72" s="42">
        <v>68</v>
      </c>
      <c r="U72" s="43">
        <v>20.399999999999999</v>
      </c>
      <c r="X72" s="455">
        <v>67</v>
      </c>
      <c r="Y72" s="456">
        <v>9.7389999999999994E-3</v>
      </c>
      <c r="Z72" s="457">
        <v>0.99026099999999995</v>
      </c>
      <c r="AA72" s="457">
        <v>0.14339317149885625</v>
      </c>
      <c r="AB72" s="457">
        <v>0.13197822044597038</v>
      </c>
      <c r="AC72" s="457">
        <v>1.966568279527642</v>
      </c>
      <c r="AD72" s="457">
        <v>14.90070310754585</v>
      </c>
      <c r="AE72" s="463">
        <v>14.442369774212516</v>
      </c>
    </row>
    <row r="73" spans="2:31" ht="15" thickBot="1" x14ac:dyDescent="0.4">
      <c r="B73" s="10"/>
      <c r="C73" s="7"/>
      <c r="J73" s="46">
        <v>2020</v>
      </c>
      <c r="K73" s="47">
        <v>55628.6</v>
      </c>
      <c r="L73" s="105"/>
      <c r="M73" s="105"/>
      <c r="N73" s="105"/>
      <c r="T73" s="42">
        <v>69</v>
      </c>
      <c r="U73" s="43">
        <v>19.600000000000001</v>
      </c>
      <c r="X73" s="455">
        <v>68</v>
      </c>
      <c r="Y73" s="456">
        <v>1.0718E-2</v>
      </c>
      <c r="Z73" s="457">
        <v>0.98928199999999999</v>
      </c>
      <c r="AA73" s="457">
        <v>0.13929622374174605</v>
      </c>
      <c r="AB73" s="457">
        <v>0.12695880214113142</v>
      </c>
      <c r="AC73" s="457">
        <v>1.8345900590816715</v>
      </c>
      <c r="AD73" s="457">
        <v>14.450278579678809</v>
      </c>
      <c r="AE73" s="463">
        <v>13.991945246345475</v>
      </c>
    </row>
    <row r="74" spans="2:31" x14ac:dyDescent="0.35">
      <c r="B74" s="10"/>
      <c r="C74" s="7"/>
      <c r="I74" s="440" t="s">
        <v>126</v>
      </c>
      <c r="J74" s="424">
        <f>J73+1</f>
        <v>2021</v>
      </c>
      <c r="K74" s="441">
        <f>K73*1.03</f>
        <v>57297.457999999999</v>
      </c>
      <c r="T74" s="42">
        <v>70</v>
      </c>
      <c r="U74" s="43">
        <v>18.8</v>
      </c>
      <c r="X74" s="455">
        <v>69</v>
      </c>
      <c r="Y74" s="456">
        <v>1.1801000000000001E-2</v>
      </c>
      <c r="Z74" s="457">
        <v>0.98819900000000005</v>
      </c>
      <c r="AA74" s="457">
        <v>0.135316331634839</v>
      </c>
      <c r="AB74" s="457">
        <v>0.12200954176550324</v>
      </c>
      <c r="AC74" s="457">
        <v>1.7076312569405401</v>
      </c>
      <c r="AD74" s="457">
        <v>13.995882881213744</v>
      </c>
      <c r="AE74" s="463">
        <v>13.53754954788041</v>
      </c>
    </row>
    <row r="75" spans="2:31" x14ac:dyDescent="0.35">
      <c r="B75" s="10"/>
      <c r="C75" s="7"/>
      <c r="I75" s="440" t="s">
        <v>126</v>
      </c>
      <c r="J75" s="38">
        <f t="shared" ref="J75:J79" si="5">J74+1</f>
        <v>2022</v>
      </c>
      <c r="K75" s="442">
        <f t="shared" ref="K75:K79" si="6">K74*1.03</f>
        <v>59016.381739999997</v>
      </c>
      <c r="T75" s="42">
        <v>71</v>
      </c>
      <c r="U75" s="43">
        <v>18</v>
      </c>
      <c r="X75" s="455">
        <v>70</v>
      </c>
      <c r="Y75" s="456">
        <v>1.2995E-2</v>
      </c>
      <c r="Z75" s="457">
        <v>0.98700500000000002</v>
      </c>
      <c r="AA75" s="457">
        <v>0.13145015073098645</v>
      </c>
      <c r="AB75" s="457">
        <v>0.11712485838703916</v>
      </c>
      <c r="AC75" s="457">
        <v>1.5856217151750369</v>
      </c>
      <c r="AD75" s="457">
        <v>13.5378751958474</v>
      </c>
      <c r="AE75" s="463">
        <v>13.079541862514066</v>
      </c>
    </row>
    <row r="76" spans="2:31" x14ac:dyDescent="0.35">
      <c r="B76" s="10"/>
      <c r="C76" s="7"/>
      <c r="I76" s="440" t="s">
        <v>126</v>
      </c>
      <c r="J76" s="38">
        <f t="shared" si="5"/>
        <v>2023</v>
      </c>
      <c r="K76" s="442">
        <f t="shared" si="6"/>
        <v>60786.873192200001</v>
      </c>
      <c r="T76" s="42">
        <v>72</v>
      </c>
      <c r="U76" s="43">
        <v>17.2</v>
      </c>
      <c r="X76" s="455">
        <v>71</v>
      </c>
      <c r="Y76" s="456">
        <v>1.4337000000000001E-2</v>
      </c>
      <c r="Z76" s="457">
        <v>0.98566299999999996</v>
      </c>
      <c r="AA76" s="457">
        <v>0.12769443213867257</v>
      </c>
      <c r="AB76" s="457">
        <v>0.11229988311366247</v>
      </c>
      <c r="AC76" s="457">
        <v>1.4684968567879979</v>
      </c>
      <c r="AD76" s="457">
        <v>13.076566208904092</v>
      </c>
      <c r="AE76" s="463">
        <v>12.618232875570758</v>
      </c>
    </row>
    <row r="77" spans="2:31" x14ac:dyDescent="0.35">
      <c r="B77" s="10"/>
      <c r="C77" s="7"/>
      <c r="I77" s="440" t="s">
        <v>126</v>
      </c>
      <c r="J77" s="38">
        <f t="shared" si="5"/>
        <v>2024</v>
      </c>
      <c r="K77" s="442">
        <f t="shared" si="6"/>
        <v>62610.479387965999</v>
      </c>
      <c r="T77" s="42">
        <v>73</v>
      </c>
      <c r="U77" s="43">
        <v>16.399999999999999</v>
      </c>
      <c r="X77" s="455">
        <v>72</v>
      </c>
      <c r="Y77" s="456">
        <v>1.5854E-2</v>
      </c>
      <c r="Z77" s="457">
        <v>0.98414599999999997</v>
      </c>
      <c r="AA77" s="457">
        <v>0.12404601979185334</v>
      </c>
      <c r="AB77" s="457">
        <v>0.10752727284119154</v>
      </c>
      <c r="AC77" s="457">
        <v>1.3561969736743353</v>
      </c>
      <c r="AD77" s="457">
        <v>12.612585977859968</v>
      </c>
      <c r="AE77" s="463">
        <v>12.154252644526634</v>
      </c>
    </row>
    <row r="78" spans="2:31" x14ac:dyDescent="0.35">
      <c r="B78" s="10"/>
      <c r="C78" s="7"/>
      <c r="I78" s="440" t="s">
        <v>126</v>
      </c>
      <c r="J78" s="38">
        <f t="shared" si="5"/>
        <v>2025</v>
      </c>
      <c r="K78" s="442">
        <f t="shared" si="6"/>
        <v>64488.793769604978</v>
      </c>
      <c r="T78" s="42">
        <v>74</v>
      </c>
      <c r="U78" s="43">
        <v>15.6</v>
      </c>
      <c r="X78" s="455">
        <v>73</v>
      </c>
      <c r="Y78" s="456">
        <v>1.7569999999999999E-2</v>
      </c>
      <c r="Z78" s="457">
        <v>0.98243000000000003</v>
      </c>
      <c r="AA78" s="457">
        <v>0.12050184779780039</v>
      </c>
      <c r="AB78" s="457">
        <v>0.10279903444449394</v>
      </c>
      <c r="AC78" s="457">
        <v>1.2486697008331438</v>
      </c>
      <c r="AD78" s="457">
        <v>12.146706509265508</v>
      </c>
      <c r="AE78" s="463">
        <v>11.688373175932174</v>
      </c>
    </row>
    <row r="79" spans="2:31" ht="15" thickBot="1" x14ac:dyDescent="0.4">
      <c r="B79" s="10"/>
      <c r="C79" s="7"/>
      <c r="I79" s="440" t="s">
        <v>126</v>
      </c>
      <c r="J79" s="46">
        <f t="shared" si="5"/>
        <v>2026</v>
      </c>
      <c r="K79" s="443">
        <f t="shared" si="6"/>
        <v>66423.457582693125</v>
      </c>
      <c r="T79" s="42">
        <v>75</v>
      </c>
      <c r="U79" s="43">
        <v>14.8</v>
      </c>
      <c r="X79" s="455">
        <v>74</v>
      </c>
      <c r="Y79" s="456">
        <v>1.9507E-2</v>
      </c>
      <c r="Z79" s="457">
        <v>0.98049299999999995</v>
      </c>
      <c r="AA79" s="457">
        <v>0.11705893786072039</v>
      </c>
      <c r="AB79" s="457">
        <v>9.8107345254752648E-2</v>
      </c>
      <c r="AC79" s="457">
        <v>1.1458706663886498</v>
      </c>
      <c r="AD79" s="457">
        <v>11.679764276703226</v>
      </c>
      <c r="AE79" s="463">
        <v>11.221430943369892</v>
      </c>
    </row>
    <row r="80" spans="2:31" x14ac:dyDescent="0.35">
      <c r="B80" s="10"/>
      <c r="C80" s="7"/>
      <c r="T80" s="42">
        <v>76</v>
      </c>
      <c r="U80" s="43">
        <v>14.1</v>
      </c>
      <c r="X80" s="455">
        <v>75</v>
      </c>
      <c r="Y80" s="456">
        <v>2.1708999999999999E-2</v>
      </c>
      <c r="Z80" s="457">
        <v>0.97829100000000002</v>
      </c>
      <c r="AA80" s="457">
        <v>0.11371439677898551</v>
      </c>
      <c r="AB80" s="457">
        <v>9.3445177691700507E-2</v>
      </c>
      <c r="AC80" s="457">
        <v>1.0477633211338975</v>
      </c>
      <c r="AD80" s="457">
        <v>11.21259916258853</v>
      </c>
      <c r="AE80" s="463">
        <v>10.754265829255196</v>
      </c>
    </row>
    <row r="81" spans="2:31" x14ac:dyDescent="0.35">
      <c r="B81" s="10"/>
      <c r="C81" s="7"/>
      <c r="J81" s="1" t="s">
        <v>125</v>
      </c>
      <c r="T81" s="42">
        <v>77</v>
      </c>
      <c r="U81" s="43">
        <v>13.3</v>
      </c>
      <c r="X81" s="455">
        <v>76</v>
      </c>
      <c r="Y81" s="456">
        <v>2.4201E-2</v>
      </c>
      <c r="Z81" s="457">
        <v>0.97579899999999997</v>
      </c>
      <c r="AA81" s="457">
        <v>0.11046541401387164</v>
      </c>
      <c r="AB81" s="457">
        <v>8.8804674148357354E-2</v>
      </c>
      <c r="AC81" s="457">
        <v>0.95431814344219767</v>
      </c>
      <c r="AD81" s="457">
        <v>10.746260290848102</v>
      </c>
      <c r="AE81" s="463">
        <v>10.287926957514768</v>
      </c>
    </row>
    <row r="82" spans="2:31" x14ac:dyDescent="0.35">
      <c r="B82" s="10"/>
      <c r="T82" s="42">
        <v>78</v>
      </c>
      <c r="U82" s="43">
        <v>12.6</v>
      </c>
      <c r="X82" s="455">
        <v>77</v>
      </c>
      <c r="Y82" s="456">
        <v>2.7052E-2</v>
      </c>
      <c r="Z82" s="457">
        <v>0.97294800000000004</v>
      </c>
      <c r="AA82" s="457">
        <v>0.10730925932776102</v>
      </c>
      <c r="AB82" s="457">
        <v>8.4179640451313154E-2</v>
      </c>
      <c r="AC82" s="457">
        <v>0.86551346929384043</v>
      </c>
      <c r="AD82" s="457">
        <v>10.28174347922555</v>
      </c>
      <c r="AE82" s="463">
        <v>9.8234101458922165</v>
      </c>
    </row>
    <row r="83" spans="2:31" x14ac:dyDescent="0.35">
      <c r="B83" s="10"/>
      <c r="J83" s="1" t="s">
        <v>361</v>
      </c>
      <c r="T83" s="42">
        <v>79</v>
      </c>
      <c r="U83" s="43">
        <v>11.9</v>
      </c>
      <c r="X83" s="455">
        <v>78</v>
      </c>
      <c r="Y83" s="456">
        <v>3.0297000000000001E-2</v>
      </c>
      <c r="Z83" s="457">
        <v>0.96970299999999998</v>
      </c>
      <c r="AA83" s="457">
        <v>0.10424328048982499</v>
      </c>
      <c r="AB83" s="457">
        <v>7.9562343880172109E-2</v>
      </c>
      <c r="AC83" s="457">
        <v>0.78133382884252733</v>
      </c>
      <c r="AD83" s="457">
        <v>9.8203973228753139</v>
      </c>
      <c r="AE83" s="463">
        <v>9.3620639895419799</v>
      </c>
    </row>
    <row r="84" spans="2:31" x14ac:dyDescent="0.35">
      <c r="B84" s="10"/>
      <c r="T84" s="42">
        <v>80</v>
      </c>
      <c r="U84" s="43">
        <v>11.2</v>
      </c>
      <c r="X84" s="455">
        <v>79</v>
      </c>
      <c r="Y84" s="456">
        <v>3.4019000000000001E-2</v>
      </c>
      <c r="Z84" s="457">
        <v>0.96598099999999998</v>
      </c>
      <c r="AA84" s="457">
        <v>0.10126490104725856</v>
      </c>
      <c r="AB84" s="457">
        <v>7.4947505160559272E-2</v>
      </c>
      <c r="AC84" s="457">
        <v>0.70177148496235509</v>
      </c>
      <c r="AD84" s="457">
        <v>9.3635069434126894</v>
      </c>
      <c r="AE84" s="463">
        <v>8.9051736100793555</v>
      </c>
    </row>
    <row r="85" spans="2:31" x14ac:dyDescent="0.35">
      <c r="B85" s="10"/>
      <c r="T85" s="42">
        <v>81</v>
      </c>
      <c r="U85" s="43">
        <v>10.5</v>
      </c>
      <c r="X85" s="455">
        <v>80</v>
      </c>
      <c r="Y85" s="456">
        <v>3.8275999999999998E-2</v>
      </c>
      <c r="Z85" s="457">
        <v>0.96172400000000002</v>
      </c>
      <c r="AA85" s="457">
        <v>9.8371618160194019E-2</v>
      </c>
      <c r="AB85" s="457">
        <v>7.0329355525859269E-2</v>
      </c>
      <c r="AC85" s="457">
        <v>0.62682397980179583</v>
      </c>
      <c r="AD85" s="457">
        <v>8.9126933570622597</v>
      </c>
      <c r="AE85" s="463">
        <v>8.4543600237289258</v>
      </c>
    </row>
    <row r="86" spans="2:31" x14ac:dyDescent="0.35">
      <c r="B86" s="10"/>
      <c r="T86" s="42">
        <v>82</v>
      </c>
      <c r="U86" s="43">
        <v>9.9</v>
      </c>
      <c r="X86" s="455">
        <v>81</v>
      </c>
      <c r="Y86" s="456">
        <v>4.2888000000000003E-2</v>
      </c>
      <c r="Z86" s="457">
        <v>0.95711199999999996</v>
      </c>
      <c r="AA86" s="457">
        <v>9.55610004984742E-2</v>
      </c>
      <c r="AB86" s="457">
        <v>6.5704931139072872E-2</v>
      </c>
      <c r="AC86" s="457">
        <v>0.55649462427593643</v>
      </c>
      <c r="AD86" s="457">
        <v>8.4696021231350898</v>
      </c>
      <c r="AE86" s="463">
        <v>8.0112687898017558</v>
      </c>
    </row>
    <row r="87" spans="2:31" x14ac:dyDescent="0.35">
      <c r="B87" s="10"/>
      <c r="T87" s="42">
        <v>83</v>
      </c>
      <c r="U87" s="43">
        <v>9.3000000000000007</v>
      </c>
      <c r="X87" s="455">
        <v>82</v>
      </c>
      <c r="Y87" s="456">
        <v>4.8149999999999998E-2</v>
      </c>
      <c r="Z87" s="457">
        <v>0.95184999999999997</v>
      </c>
      <c r="AA87" s="457">
        <v>9.2830686198517781E-2</v>
      </c>
      <c r="AB87" s="457">
        <v>6.1090207250883717E-2</v>
      </c>
      <c r="AC87" s="457">
        <v>0.49078969313686355</v>
      </c>
      <c r="AD87" s="457">
        <v>8.0338521544263362</v>
      </c>
      <c r="AE87" s="463">
        <v>7.5755188210930031</v>
      </c>
    </row>
    <row r="88" spans="2:31" x14ac:dyDescent="0.35">
      <c r="B88" s="10"/>
      <c r="T88" s="42">
        <v>84</v>
      </c>
      <c r="U88" s="43">
        <v>8.6999999999999993</v>
      </c>
      <c r="X88" s="455">
        <v>83</v>
      </c>
      <c r="Y88" s="456">
        <v>5.4155000000000002E-2</v>
      </c>
      <c r="Z88" s="457">
        <v>0.94584500000000005</v>
      </c>
      <c r="AA88" s="457">
        <v>9.017838087856013E-2</v>
      </c>
      <c r="AB88" s="457">
        <v>5.6487321949703559E-2</v>
      </c>
      <c r="AC88" s="457">
        <v>0.42969948588597984</v>
      </c>
      <c r="AD88" s="457">
        <v>7.6070075736390059</v>
      </c>
      <c r="AE88" s="463">
        <v>7.1486742403056729</v>
      </c>
    </row>
    <row r="89" spans="2:31" x14ac:dyDescent="0.35">
      <c r="B89" s="10"/>
      <c r="T89" s="42">
        <v>85</v>
      </c>
      <c r="U89" s="43">
        <v>8.1</v>
      </c>
      <c r="X89" s="455">
        <v>84</v>
      </c>
      <c r="Y89" s="456">
        <v>6.1005999999999998E-2</v>
      </c>
      <c r="Z89" s="457">
        <v>0.938994</v>
      </c>
      <c r="AA89" s="457">
        <v>8.7601855710601279E-2</v>
      </c>
      <c r="AB89" s="457">
        <v>5.1901729571531156E-2</v>
      </c>
      <c r="AC89" s="457">
        <v>0.37321216393627626</v>
      </c>
      <c r="AD89" s="457">
        <v>7.190746185479501</v>
      </c>
      <c r="AE89" s="463">
        <v>6.7324128521461679</v>
      </c>
    </row>
    <row r="90" spans="2:31" x14ac:dyDescent="0.35">
      <c r="B90" s="10"/>
      <c r="T90" s="42">
        <v>86</v>
      </c>
      <c r="U90" s="43">
        <v>7.6</v>
      </c>
      <c r="X90" s="455">
        <v>85</v>
      </c>
      <c r="Y90" s="456">
        <v>6.8755999999999998E-2</v>
      </c>
      <c r="Z90" s="457">
        <v>0.93124399999999996</v>
      </c>
      <c r="AA90" s="457">
        <v>8.5098945547441227E-2</v>
      </c>
      <c r="AB90" s="457">
        <v>4.734297229565345E-2</v>
      </c>
      <c r="AC90" s="457">
        <v>0.3213104343647451</v>
      </c>
      <c r="AD90" s="457">
        <v>6.7868665355057258</v>
      </c>
      <c r="AE90" s="463">
        <v>6.3285332021723928</v>
      </c>
    </row>
    <row r="91" spans="2:31" x14ac:dyDescent="0.35">
      <c r="B91" s="10"/>
      <c r="T91" s="42">
        <v>87</v>
      </c>
      <c r="U91" s="43">
        <v>7.1</v>
      </c>
      <c r="X91" s="455">
        <v>86</v>
      </c>
      <c r="Y91" s="456">
        <v>7.7548000000000006E-2</v>
      </c>
      <c r="Z91" s="457">
        <v>0.92245200000000005</v>
      </c>
      <c r="AA91" s="457">
        <v>8.2667547103228628E-2</v>
      </c>
      <c r="AB91" s="457">
        <v>4.2828205781279403E-2</v>
      </c>
      <c r="AC91" s="457">
        <v>0.27396746206909162</v>
      </c>
      <c r="AD91" s="457">
        <v>6.3968932872935174</v>
      </c>
      <c r="AE91" s="463">
        <v>5.9385599539601843</v>
      </c>
    </row>
    <row r="92" spans="2:31" x14ac:dyDescent="0.35">
      <c r="B92" s="10"/>
      <c r="T92" s="42">
        <v>88</v>
      </c>
      <c r="U92" s="43">
        <v>6.6</v>
      </c>
      <c r="X92" s="455">
        <v>87</v>
      </c>
      <c r="Y92" s="456">
        <v>8.7455000000000005E-2</v>
      </c>
      <c r="Z92" s="457">
        <v>0.91254499999999994</v>
      </c>
      <c r="AA92" s="457">
        <v>8.0305617185993522E-2</v>
      </c>
      <c r="AB92" s="457">
        <v>3.8378193677085531E-2</v>
      </c>
      <c r="AC92" s="457">
        <v>0.23113925628781207</v>
      </c>
      <c r="AD92" s="457">
        <v>6.0226715783608746</v>
      </c>
      <c r="AE92" s="463">
        <v>5.5643382450275416</v>
      </c>
    </row>
    <row r="93" spans="2:31" x14ac:dyDescent="0.35">
      <c r="B93" s="10"/>
      <c r="T93" s="42">
        <v>89</v>
      </c>
      <c r="U93" s="43">
        <v>6.1</v>
      </c>
      <c r="X93" s="455">
        <v>88</v>
      </c>
      <c r="Y93" s="456">
        <v>9.8527000000000003E-2</v>
      </c>
      <c r="Z93" s="457">
        <v>0.90147299999999997</v>
      </c>
      <c r="AA93" s="457">
        <v>7.8011170980679417E-2</v>
      </c>
      <c r="AB93" s="457">
        <v>3.4021205070511554E-2</v>
      </c>
      <c r="AC93" s="457">
        <v>0.19276106261072654</v>
      </c>
      <c r="AD93" s="457">
        <v>5.6659093118898776</v>
      </c>
      <c r="AE93" s="463">
        <v>5.2075759785565445</v>
      </c>
    </row>
    <row r="94" spans="2:31" x14ac:dyDescent="0.35">
      <c r="B94" s="10"/>
      <c r="T94" s="42">
        <v>90</v>
      </c>
      <c r="U94" s="43">
        <v>5.7</v>
      </c>
      <c r="X94" s="455">
        <v>89</v>
      </c>
      <c r="Y94" s="456">
        <v>0.110833</v>
      </c>
      <c r="Z94" s="457">
        <v>0.88916700000000004</v>
      </c>
      <c r="AA94" s="457">
        <v>7.5782280381231429E-2</v>
      </c>
      <c r="AB94" s="457">
        <v>2.9792935004285568E-2</v>
      </c>
      <c r="AC94" s="457">
        <v>0.15873985754021502</v>
      </c>
      <c r="AD94" s="457">
        <v>5.3281040460559215</v>
      </c>
      <c r="AE94" s="463">
        <v>4.8697707127225884</v>
      </c>
    </row>
    <row r="95" spans="2:31" x14ac:dyDescent="0.35">
      <c r="B95" s="10"/>
      <c r="T95" s="42">
        <v>91</v>
      </c>
      <c r="U95" s="43">
        <v>5.3</v>
      </c>
      <c r="X95" s="455">
        <v>90</v>
      </c>
      <c r="Y95" s="456">
        <v>0.12446699999999999</v>
      </c>
      <c r="Z95" s="457">
        <v>0.87553300000000001</v>
      </c>
      <c r="AA95" s="457">
        <v>7.3617072370339112E-2</v>
      </c>
      <c r="AB95" s="457">
        <v>2.5734011934985427E-2</v>
      </c>
      <c r="AC95" s="457">
        <v>0.12894692253592943</v>
      </c>
      <c r="AD95" s="457">
        <v>5.0107586357580685</v>
      </c>
      <c r="AE95" s="463">
        <v>4.5524253024247354</v>
      </c>
    </row>
    <row r="96" spans="2:31" x14ac:dyDescent="0.35">
      <c r="B96" s="10"/>
      <c r="T96" s="42">
        <v>92</v>
      </c>
      <c r="U96" s="43">
        <v>4.9000000000000004</v>
      </c>
      <c r="X96" s="455">
        <v>91</v>
      </c>
      <c r="Y96" s="456">
        <v>0.139075</v>
      </c>
      <c r="Z96" s="457">
        <v>0.86092499999999994</v>
      </c>
      <c r="AA96" s="457">
        <v>7.1513727445472269E-2</v>
      </c>
      <c r="AB96" s="457">
        <v>2.1887234480860062E-2</v>
      </c>
      <c r="AC96" s="457">
        <v>0.10321291060094397</v>
      </c>
      <c r="AD96" s="457">
        <v>4.715667056575902</v>
      </c>
      <c r="AE96" s="463">
        <v>4.257333723242569</v>
      </c>
    </row>
    <row r="97" spans="2:31" x14ac:dyDescent="0.35">
      <c r="B97" s="10"/>
      <c r="T97" s="42">
        <v>93</v>
      </c>
      <c r="U97" s="43">
        <v>4.5999999999999996</v>
      </c>
      <c r="X97" s="455">
        <v>92</v>
      </c>
      <c r="Y97" s="456">
        <v>0.15431900000000001</v>
      </c>
      <c r="Z97" s="457">
        <v>0.84568100000000002</v>
      </c>
      <c r="AA97" s="457">
        <v>6.947047808988735E-2</v>
      </c>
      <c r="AB97" s="457">
        <v>1.8304888278422037E-2</v>
      </c>
      <c r="AC97" s="457">
        <v>8.1325676120083915E-2</v>
      </c>
      <c r="AD97" s="457">
        <v>4.4428392505378653</v>
      </c>
      <c r="AE97" s="463">
        <v>3.9845059172045318</v>
      </c>
    </row>
    <row r="98" spans="2:31" x14ac:dyDescent="0.35">
      <c r="B98" s="10"/>
      <c r="T98" s="42">
        <v>94</v>
      </c>
      <c r="U98" s="43">
        <v>4.3</v>
      </c>
      <c r="X98" s="455">
        <v>93</v>
      </c>
      <c r="Y98" s="456">
        <v>0.16989199999999999</v>
      </c>
      <c r="Z98" s="457">
        <v>0.83010800000000007</v>
      </c>
      <c r="AA98" s="457">
        <v>6.748560728731913E-2</v>
      </c>
      <c r="AB98" s="457">
        <v>1.5037807760636105E-2</v>
      </c>
      <c r="AC98" s="457">
        <v>6.3020787841661874E-2</v>
      </c>
      <c r="AD98" s="457">
        <v>4.1908228143884765</v>
      </c>
      <c r="AE98" s="463">
        <v>3.732489481055143</v>
      </c>
    </row>
    <row r="99" spans="2:31" x14ac:dyDescent="0.35">
      <c r="B99" s="10"/>
      <c r="T99" s="42">
        <v>95</v>
      </c>
      <c r="U99" s="43">
        <v>4</v>
      </c>
      <c r="X99" s="455">
        <v>94</v>
      </c>
      <c r="Y99" s="456">
        <v>0.18577099999999999</v>
      </c>
      <c r="Z99" s="457">
        <v>0.81422899999999998</v>
      </c>
      <c r="AA99" s="457">
        <v>6.5557447079110029E-2</v>
      </c>
      <c r="AB99" s="457">
        <v>1.212634725243566E-2</v>
      </c>
      <c r="AC99" s="457">
        <v>4.7982980081025806E-2</v>
      </c>
      <c r="AD99" s="457">
        <v>3.9569195143564846</v>
      </c>
      <c r="AE99" s="463">
        <v>3.4985861810231511</v>
      </c>
    </row>
    <row r="100" spans="2:31" x14ac:dyDescent="0.35">
      <c r="B100" s="10"/>
      <c r="T100" s="42">
        <v>96</v>
      </c>
      <c r="U100" s="43">
        <v>3.7</v>
      </c>
      <c r="X100" s="455">
        <v>95</v>
      </c>
      <c r="Y100" s="456">
        <v>0.20181399999999999</v>
      </c>
      <c r="Z100" s="457">
        <v>0.79818600000000006</v>
      </c>
      <c r="AA100" s="457">
        <v>6.3684377162564018E-2</v>
      </c>
      <c r="AB100" s="457">
        <v>9.5915200656604763E-3</v>
      </c>
      <c r="AC100" s="457">
        <v>3.5856632828590154E-2</v>
      </c>
      <c r="AD100" s="457">
        <v>3.738368119247744</v>
      </c>
      <c r="AE100" s="463">
        <v>3.2800347859144106</v>
      </c>
    </row>
    <row r="101" spans="2:31" x14ac:dyDescent="0.35">
      <c r="B101" s="10"/>
      <c r="T101" s="42">
        <v>97</v>
      </c>
      <c r="U101" s="43">
        <v>3.4</v>
      </c>
      <c r="X101" s="455">
        <v>96</v>
      </c>
      <c r="Y101" s="456">
        <v>0.21976200000000001</v>
      </c>
      <c r="Z101" s="457">
        <v>0.78023799999999999</v>
      </c>
      <c r="AA101" s="457">
        <v>6.1864823529347898E-2</v>
      </c>
      <c r="AB101" s="457">
        <v>7.4370794055541511E-3</v>
      </c>
      <c r="AC101" s="457">
        <v>2.6265112762929674E-2</v>
      </c>
      <c r="AD101" s="457">
        <v>3.531643449082229</v>
      </c>
      <c r="AE101" s="463">
        <v>3.0733101157488956</v>
      </c>
    </row>
    <row r="102" spans="2:31" x14ac:dyDescent="0.35">
      <c r="B102" s="10"/>
      <c r="T102" s="42">
        <v>98</v>
      </c>
      <c r="U102" s="43">
        <v>3.2</v>
      </c>
      <c r="X102" s="455">
        <v>97</v>
      </c>
      <c r="Y102" s="456">
        <v>0.23838200000000001</v>
      </c>
      <c r="Z102" s="457">
        <v>0.76161800000000002</v>
      </c>
      <c r="AA102" s="457">
        <v>6.0097257142795103E-2</v>
      </c>
      <c r="AB102" s="457">
        <v>5.6369007623384522E-3</v>
      </c>
      <c r="AC102" s="457">
        <v>1.8828033357375519E-2</v>
      </c>
      <c r="AD102" s="457">
        <v>3.340139227422688</v>
      </c>
      <c r="AE102" s="463">
        <v>2.8818058940893545</v>
      </c>
    </row>
    <row r="103" spans="2:31" x14ac:dyDescent="0.35">
      <c r="B103" s="10"/>
      <c r="T103" s="42">
        <v>99</v>
      </c>
      <c r="U103" s="43">
        <v>3</v>
      </c>
      <c r="X103" s="455">
        <v>98</v>
      </c>
      <c r="Y103" s="456">
        <v>0.25773099999999999</v>
      </c>
      <c r="Z103" s="457">
        <v>0.74226900000000007</v>
      </c>
      <c r="AA103" s="457">
        <v>5.8380192653000956E-2</v>
      </c>
      <c r="AB103" s="457">
        <v>4.1705032252446683E-3</v>
      </c>
      <c r="AC103" s="457">
        <v>1.3191132595037075E-2</v>
      </c>
      <c r="AD103" s="457">
        <v>3.1629594517968989</v>
      </c>
      <c r="AE103" s="463">
        <v>2.7046261184635654</v>
      </c>
    </row>
    <row r="104" spans="2:31" x14ac:dyDescent="0.35">
      <c r="B104" s="10"/>
      <c r="T104" s="42">
        <v>100</v>
      </c>
      <c r="U104" s="43">
        <v>2.8</v>
      </c>
      <c r="X104" s="455">
        <v>99</v>
      </c>
      <c r="Y104" s="456">
        <v>0.27768199999999998</v>
      </c>
      <c r="Z104" s="457">
        <v>0.72231800000000002</v>
      </c>
      <c r="AA104" s="457">
        <v>5.6712187148629509E-2</v>
      </c>
      <c r="AB104" s="457">
        <v>3.0071885368277316E-3</v>
      </c>
      <c r="AC104" s="457">
        <v>9.0206293697924055E-3</v>
      </c>
      <c r="AD104" s="457">
        <v>2.9996886657822337</v>
      </c>
      <c r="AE104" s="463">
        <v>2.5413553324489002</v>
      </c>
    </row>
    <row r="105" spans="2:31" x14ac:dyDescent="0.35">
      <c r="B105" s="10"/>
      <c r="T105" s="42">
        <v>101</v>
      </c>
      <c r="U105" s="43">
        <v>2.6</v>
      </c>
      <c r="X105" s="455">
        <v>100</v>
      </c>
      <c r="Y105" s="456">
        <v>0.298176</v>
      </c>
      <c r="Z105" s="457">
        <v>0.701824</v>
      </c>
      <c r="AA105" s="457">
        <v>5.5091838944382944E-2</v>
      </c>
      <c r="AB105" s="457">
        <v>2.1100850835573518E-3</v>
      </c>
      <c r="AC105" s="457">
        <v>6.013440832964673E-3</v>
      </c>
      <c r="AD105" s="457">
        <v>2.8498570412273274</v>
      </c>
      <c r="AE105" s="463">
        <v>2.3915237078939939</v>
      </c>
    </row>
    <row r="106" spans="2:31" x14ac:dyDescent="0.35">
      <c r="B106" s="10"/>
      <c r="T106" s="42">
        <v>102</v>
      </c>
      <c r="U106" s="43">
        <v>2.5</v>
      </c>
      <c r="X106" s="455">
        <v>101</v>
      </c>
      <c r="Y106" s="456">
        <v>0.31892300000000001</v>
      </c>
      <c r="Z106" s="457">
        <v>0.68107699999999993</v>
      </c>
      <c r="AA106" s="457">
        <v>5.3517786403114852E-2</v>
      </c>
      <c r="AB106" s="457">
        <v>1.4385966864344818E-3</v>
      </c>
      <c r="AC106" s="457">
        <v>3.9033557494073212E-3</v>
      </c>
      <c r="AD106" s="457">
        <v>2.713307896657033</v>
      </c>
      <c r="AE106" s="463">
        <v>2.2549745633236995</v>
      </c>
    </row>
    <row r="107" spans="2:31" x14ac:dyDescent="0.35">
      <c r="B107" s="10"/>
      <c r="T107" s="42">
        <v>103</v>
      </c>
      <c r="U107" s="43">
        <v>2.2999999999999998</v>
      </c>
      <c r="X107" s="455">
        <v>102</v>
      </c>
      <c r="Y107" s="456">
        <v>0.33959699999999998</v>
      </c>
      <c r="Z107" s="457">
        <v>0.66040300000000007</v>
      </c>
      <c r="AA107" s="457">
        <v>5.198870679159729E-2</v>
      </c>
      <c r="AB107" s="457">
        <v>9.5180096925225933E-4</v>
      </c>
      <c r="AC107" s="457">
        <v>2.4647590629728391E-3</v>
      </c>
      <c r="AD107" s="457">
        <v>2.5895740208261913</v>
      </c>
      <c r="AE107" s="463">
        <v>2.1312406874928578</v>
      </c>
    </row>
    <row r="108" spans="2:31" x14ac:dyDescent="0.35">
      <c r="B108" s="10"/>
      <c r="T108" s="42" t="s">
        <v>117</v>
      </c>
      <c r="U108" s="43">
        <v>2.2000000000000002</v>
      </c>
      <c r="X108" s="455">
        <v>103</v>
      </c>
      <c r="Y108" s="456">
        <v>0.36011100000000001</v>
      </c>
      <c r="Z108" s="457">
        <v>0.63988899999999993</v>
      </c>
      <c r="AA108" s="457">
        <v>5.0503315168980226E-2</v>
      </c>
      <c r="AB108" s="457">
        <v>6.1061300934003989E-4</v>
      </c>
      <c r="AC108" s="457">
        <v>1.5129580937205797E-3</v>
      </c>
      <c r="AD108" s="457">
        <v>2.4777691771680534</v>
      </c>
      <c r="AE108" s="463">
        <v>2.01943584383472</v>
      </c>
    </row>
    <row r="109" spans="2:31" x14ac:dyDescent="0.35">
      <c r="B109" s="10"/>
      <c r="T109" s="42" t="s">
        <v>118</v>
      </c>
      <c r="U109" s="43">
        <v>2.1</v>
      </c>
      <c r="X109" s="455">
        <v>104</v>
      </c>
      <c r="Y109" s="456">
        <v>0.380241</v>
      </c>
      <c r="Z109" s="457">
        <v>0.61975899999999995</v>
      </c>
      <c r="AA109" s="457">
        <v>4.9060363307009358E-2</v>
      </c>
      <c r="AB109" s="457">
        <v>3.7956098942120044E-4</v>
      </c>
      <c r="AC109" s="457">
        <v>9.0234508438053981E-4</v>
      </c>
      <c r="AD109" s="457">
        <v>2.3773388454818356</v>
      </c>
      <c r="AE109" s="463">
        <v>1.9190055121485023</v>
      </c>
    </row>
    <row r="110" spans="2:31" x14ac:dyDescent="0.35">
      <c r="B110" s="10"/>
      <c r="T110" s="42">
        <v>106</v>
      </c>
      <c r="U110" s="43">
        <v>2.1</v>
      </c>
      <c r="X110" s="455">
        <v>105</v>
      </c>
      <c r="Y110" s="456">
        <v>0.399509</v>
      </c>
      <c r="Z110" s="457">
        <v>0.600491</v>
      </c>
      <c r="AA110" s="457">
        <v>4.7658638641094798E-2</v>
      </c>
      <c r="AB110" s="457">
        <v>2.2851530097861675E-4</v>
      </c>
      <c r="AC110" s="457">
        <v>5.2278409495933921E-4</v>
      </c>
      <c r="AD110" s="457">
        <v>2.2877421893436298</v>
      </c>
      <c r="AE110" s="463">
        <v>1.8294088560102966</v>
      </c>
    </row>
    <row r="111" spans="2:31" x14ac:dyDescent="0.35">
      <c r="B111" s="10"/>
      <c r="T111" s="42">
        <v>107</v>
      </c>
      <c r="U111" s="43">
        <v>2.1</v>
      </c>
      <c r="X111" s="455">
        <v>106</v>
      </c>
      <c r="Y111" s="456">
        <v>0.41831000000000002</v>
      </c>
      <c r="Z111" s="457">
        <v>0.58169000000000004</v>
      </c>
      <c r="AA111" s="457">
        <v>4.6296963251349237E-2</v>
      </c>
      <c r="AB111" s="457">
        <v>1.3330077069709483E-4</v>
      </c>
      <c r="AC111" s="457">
        <v>2.9426879398072246E-4</v>
      </c>
      <c r="AD111" s="457">
        <v>2.2075550834541109</v>
      </c>
      <c r="AE111" s="463">
        <v>1.7492217501207776</v>
      </c>
    </row>
    <row r="112" spans="2:31" x14ac:dyDescent="0.35">
      <c r="B112" s="10"/>
      <c r="T112" s="42">
        <v>108</v>
      </c>
      <c r="U112" s="43">
        <v>2</v>
      </c>
      <c r="X112" s="455">
        <v>107</v>
      </c>
      <c r="Y112" s="456">
        <v>0.43604599999999999</v>
      </c>
      <c r="Z112" s="457">
        <v>0.56395400000000007</v>
      </c>
      <c r="AA112" s="457">
        <v>4.4974192872739259E-2</v>
      </c>
      <c r="AB112" s="457">
        <v>7.5324304583741867E-5</v>
      </c>
      <c r="AC112" s="457">
        <v>1.6096802328362765E-4</v>
      </c>
      <c r="AD112" s="457">
        <v>2.1369997927384952</v>
      </c>
      <c r="AE112" s="463">
        <v>1.6786664594051619</v>
      </c>
    </row>
    <row r="113" spans="2:31" x14ac:dyDescent="0.35">
      <c r="B113" s="10"/>
      <c r="T113" s="42">
        <v>109</v>
      </c>
      <c r="U113" s="43">
        <v>2</v>
      </c>
      <c r="X113" s="455">
        <v>108</v>
      </c>
      <c r="Y113" s="456">
        <v>0.452706</v>
      </c>
      <c r="Z113" s="457">
        <v>0.54729399999999995</v>
      </c>
      <c r="AA113" s="457">
        <v>4.3689215933518134E-2</v>
      </c>
      <c r="AB113" s="457">
        <v>4.1265744499584722E-5</v>
      </c>
      <c r="AC113" s="457">
        <v>8.5643718699885812E-5</v>
      </c>
      <c r="AD113" s="457">
        <v>2.0754192063770396</v>
      </c>
      <c r="AE113" s="463">
        <v>1.6170858730437063</v>
      </c>
    </row>
    <row r="114" spans="2:31" x14ac:dyDescent="0.35">
      <c r="B114" s="10"/>
      <c r="T114" s="42">
        <v>110</v>
      </c>
      <c r="U114" s="43">
        <v>2</v>
      </c>
      <c r="X114" s="455">
        <v>109</v>
      </c>
      <c r="Y114" s="456">
        <v>0.468526</v>
      </c>
      <c r="Z114" s="457">
        <v>0.531474</v>
      </c>
      <c r="AA114" s="457">
        <v>4.24409526211319E-2</v>
      </c>
      <c r="AB114" s="457">
        <v>2.1939223102436981E-5</v>
      </c>
      <c r="AC114" s="457">
        <v>4.4377974200301096E-5</v>
      </c>
      <c r="AD114" s="457">
        <v>2.0227687185227468</v>
      </c>
      <c r="AE114" s="463">
        <v>1.5644353851894135</v>
      </c>
    </row>
    <row r="115" spans="2:31" x14ac:dyDescent="0.35">
      <c r="B115" s="10"/>
      <c r="T115" s="42">
        <v>111</v>
      </c>
      <c r="U115" s="43">
        <v>2</v>
      </c>
      <c r="X115" s="455">
        <v>110</v>
      </c>
      <c r="Y115" s="456">
        <v>0.48324499999999998</v>
      </c>
      <c r="Z115" s="457">
        <v>0.51675500000000008</v>
      </c>
      <c r="AA115" s="457">
        <v>4.122835397481385E-2</v>
      </c>
      <c r="AB115" s="457">
        <v>1.1326980183169034E-5</v>
      </c>
      <c r="AC115" s="457">
        <v>2.2438751097864112E-5</v>
      </c>
      <c r="AD115" s="457">
        <v>1.9810002961960029</v>
      </c>
      <c r="AE115" s="463">
        <v>1.5226669628626697</v>
      </c>
    </row>
    <row r="116" spans="2:31" x14ac:dyDescent="0.35">
      <c r="B116" s="10"/>
      <c r="T116" s="42">
        <v>112</v>
      </c>
      <c r="U116" s="43">
        <v>2</v>
      </c>
      <c r="X116" s="455">
        <v>111</v>
      </c>
      <c r="Y116" s="456">
        <v>0.49296600000000002</v>
      </c>
      <c r="Z116" s="457">
        <v>0.50703399999999998</v>
      </c>
      <c r="AA116" s="457">
        <v>4.0050401004104876E-2</v>
      </c>
      <c r="AB116" s="457">
        <v>5.6860372547091285E-6</v>
      </c>
      <c r="AC116" s="457">
        <v>1.1111770914695073E-5</v>
      </c>
      <c r="AD116" s="457">
        <v>1.9542205611636465</v>
      </c>
      <c r="AE116" s="463">
        <v>1.4958872278303132</v>
      </c>
    </row>
    <row r="117" spans="2:31" x14ac:dyDescent="0.35">
      <c r="B117" s="10"/>
      <c r="T117" s="42">
        <v>113</v>
      </c>
      <c r="U117" s="43">
        <v>1.9</v>
      </c>
      <c r="X117" s="455">
        <v>112</v>
      </c>
      <c r="Y117" s="456">
        <v>0.49943300000000002</v>
      </c>
      <c r="Z117" s="457">
        <v>0.50056699999999998</v>
      </c>
      <c r="AA117" s="457">
        <v>3.8906103832559026E-2</v>
      </c>
      <c r="AB117" s="457">
        <v>2.8006423787354975E-6</v>
      </c>
      <c r="AC117" s="457">
        <v>5.4257336599859453E-6</v>
      </c>
      <c r="AD117" s="457">
        <v>1.9373175601362171</v>
      </c>
      <c r="AE117" s="463">
        <v>1.4789842268028839</v>
      </c>
    </row>
    <row r="118" spans="2:31" x14ac:dyDescent="0.35">
      <c r="B118" s="10"/>
      <c r="T118" s="42">
        <v>114</v>
      </c>
      <c r="U118" s="43">
        <v>1.9</v>
      </c>
      <c r="X118" s="455">
        <v>113</v>
      </c>
      <c r="Y118" s="456">
        <v>0.50198500000000001</v>
      </c>
      <c r="Z118" s="457">
        <v>0.49801499999999999</v>
      </c>
      <c r="AA118" s="457">
        <v>3.7794500865914481E-2</v>
      </c>
      <c r="AB118" s="457">
        <v>1.3618546063508776E-6</v>
      </c>
      <c r="AC118" s="457">
        <v>2.6250912812504478E-6</v>
      </c>
      <c r="AD118" s="457">
        <v>1.9275855653082112</v>
      </c>
      <c r="AE118" s="463">
        <v>1.469252231974878</v>
      </c>
    </row>
    <row r="119" spans="2:31" x14ac:dyDescent="0.35">
      <c r="B119" s="10"/>
      <c r="T119" s="42">
        <v>115</v>
      </c>
      <c r="U119" s="43">
        <v>1.8</v>
      </c>
      <c r="X119" s="455">
        <v>114</v>
      </c>
      <c r="Y119" s="456">
        <v>0.50085199999999996</v>
      </c>
      <c r="Z119" s="457">
        <v>0.49914800000000004</v>
      </c>
      <c r="AA119" s="457">
        <v>3.6714657984031208E-2</v>
      </c>
      <c r="AB119" s="457">
        <v>6.5884619258806554E-7</v>
      </c>
      <c r="AC119" s="457">
        <v>1.26323667489957E-6</v>
      </c>
      <c r="AD119" s="457">
        <v>1.9173468544112713</v>
      </c>
      <c r="AE119" s="463">
        <v>1.459013521077938</v>
      </c>
    </row>
    <row r="120" spans="2:31" x14ac:dyDescent="0.35">
      <c r="B120" s="10"/>
      <c r="T120" s="42">
        <v>116</v>
      </c>
      <c r="U120" s="43">
        <v>1.8</v>
      </c>
      <c r="X120" s="455">
        <v>115</v>
      </c>
      <c r="Y120" s="456">
        <v>0.5</v>
      </c>
      <c r="Z120" s="457">
        <v>0.5</v>
      </c>
      <c r="AA120" s="457">
        <v>3.5665667755916029E-2</v>
      </c>
      <c r="AB120" s="457">
        <v>3.1946570907114927E-7</v>
      </c>
      <c r="AC120" s="457">
        <v>6.0439048231150481E-7</v>
      </c>
      <c r="AD120" s="457">
        <v>1.8918790503956686</v>
      </c>
      <c r="AE120" s="463">
        <v>1.4335457170623354</v>
      </c>
    </row>
    <row r="121" spans="2:31" x14ac:dyDescent="0.35">
      <c r="B121" s="10"/>
      <c r="T121" s="42">
        <v>117</v>
      </c>
      <c r="U121" s="43">
        <v>1.6</v>
      </c>
      <c r="X121" s="455">
        <v>116</v>
      </c>
      <c r="Y121" s="456">
        <v>0.5</v>
      </c>
      <c r="Z121" s="457">
        <v>0.5</v>
      </c>
      <c r="AA121" s="457">
        <v>3.4646648677175575E-2</v>
      </c>
      <c r="AB121" s="457">
        <v>1.5516905869170108E-7</v>
      </c>
      <c r="AC121" s="457">
        <v>2.8492477324035549E-7</v>
      </c>
      <c r="AD121" s="457">
        <v>1.8362215743440231</v>
      </c>
      <c r="AE121" s="463">
        <v>1.3778882410106899</v>
      </c>
    </row>
    <row r="122" spans="2:31" x14ac:dyDescent="0.35">
      <c r="B122" s="10"/>
      <c r="T122" s="42">
        <v>118</v>
      </c>
      <c r="U122" s="43">
        <v>1.4</v>
      </c>
      <c r="X122" s="455">
        <v>117</v>
      </c>
      <c r="Y122" s="456">
        <v>0.5</v>
      </c>
      <c r="Z122" s="457">
        <v>0.5</v>
      </c>
      <c r="AA122" s="457">
        <v>3.3656744429256265E-2</v>
      </c>
      <c r="AB122" s="457">
        <v>7.5367828507397645E-8</v>
      </c>
      <c r="AC122" s="457">
        <v>1.297557145486544E-7</v>
      </c>
      <c r="AD122" s="457">
        <v>1.7216326530612247</v>
      </c>
      <c r="AE122" s="463">
        <v>1.2632993197278914</v>
      </c>
    </row>
    <row r="123" spans="2:31" x14ac:dyDescent="0.35">
      <c r="B123" s="10"/>
      <c r="T123" s="42">
        <v>119</v>
      </c>
      <c r="U123" s="43">
        <v>1.1000000000000001</v>
      </c>
      <c r="X123" s="455">
        <v>118</v>
      </c>
      <c r="Y123" s="456">
        <v>0.5</v>
      </c>
      <c r="Z123" s="457">
        <v>0.5</v>
      </c>
      <c r="AA123" s="457">
        <v>3.2695123159848946E-2</v>
      </c>
      <c r="AB123" s="457">
        <v>3.6607230989307436E-8</v>
      </c>
      <c r="AC123" s="457">
        <v>5.4387886041256758E-8</v>
      </c>
      <c r="AD123" s="457">
        <v>1.4857142857142855</v>
      </c>
      <c r="AE123" s="463">
        <v>1.0273809523809523</v>
      </c>
    </row>
    <row r="124" spans="2:31" ht="15" thickBot="1" x14ac:dyDescent="0.4">
      <c r="B124" s="10"/>
      <c r="T124" s="51" t="s">
        <v>119</v>
      </c>
      <c r="U124" s="52">
        <v>1</v>
      </c>
      <c r="X124" s="455">
        <v>119</v>
      </c>
      <c r="Y124" s="456">
        <v>0.5</v>
      </c>
      <c r="Z124" s="457">
        <v>0.5</v>
      </c>
      <c r="AA124" s="457">
        <v>3.1760976783853263E-2</v>
      </c>
      <c r="AB124" s="457">
        <v>1.7780655051949326E-8</v>
      </c>
      <c r="AC124" s="457">
        <v>1.7780655051949326E-8</v>
      </c>
      <c r="AD124" s="457">
        <v>1</v>
      </c>
      <c r="AE124" s="463">
        <v>0.54166666666666674</v>
      </c>
    </row>
    <row r="125" spans="2:31" ht="15" thickBot="1" x14ac:dyDescent="0.4">
      <c r="B125" s="10"/>
      <c r="X125" s="458">
        <v>120</v>
      </c>
      <c r="Y125" s="459">
        <v>1</v>
      </c>
      <c r="Z125" s="460">
        <v>0</v>
      </c>
      <c r="AA125" s="460">
        <v>3.0853520304314593E-2</v>
      </c>
      <c r="AB125" s="460">
        <v>8.6363181680896708E-9</v>
      </c>
      <c r="AC125" s="460">
        <v>2.6416973220038995E-8</v>
      </c>
      <c r="AD125" s="460">
        <v>3.0588235294117649</v>
      </c>
      <c r="AE125" s="464">
        <v>2.6004901960784315</v>
      </c>
    </row>
  </sheetData>
  <mergeCells count="7">
    <mergeCell ref="T2:U2"/>
    <mergeCell ref="X3:AE3"/>
    <mergeCell ref="P2:Q2"/>
    <mergeCell ref="J2:K2"/>
    <mergeCell ref="C2:E2"/>
    <mergeCell ref="G2:H2"/>
    <mergeCell ref="M2:N2"/>
  </mergeCells>
  <hyperlinks>
    <hyperlink ref="H53" r:id="rId1" location=":~:text=The%20latest%20COLA%20is%208.7,payments%20made%20for%20January%202023" display="https://www.ssa.gov/oact/cola/latestCOLA.html#:~:text=The%20latest%20COLA%20is%208.7,payments%20made%20for%20January%202023" xr:uid="{A32AC3C7-1C30-4787-8D39-44058913F80D}"/>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E42F-0F1D-4EE1-AA70-7EEBB76751D2}">
  <sheetPr>
    <tabColor theme="2" tint="-9.9978637043366805E-2"/>
  </sheetPr>
  <dimension ref="A1:I14"/>
  <sheetViews>
    <sheetView workbookViewId="0">
      <pane ySplit="1" topLeftCell="A2" activePane="bottomLeft" state="frozen"/>
      <selection pane="bottomLeft" activeCell="A15" sqref="A15"/>
    </sheetView>
  </sheetViews>
  <sheetFormatPr defaultRowHeight="14.5" x14ac:dyDescent="0.35"/>
  <cols>
    <col min="1" max="2" width="8.7265625" style="1"/>
    <col min="3" max="3" width="8.7265625" style="90"/>
    <col min="4" max="16384" width="8.7265625" style="1"/>
  </cols>
  <sheetData>
    <row r="1" spans="1:9" x14ac:dyDescent="0.35">
      <c r="A1" s="56" t="s">
        <v>369</v>
      </c>
    </row>
    <row r="3" spans="1:9" s="93" customFormat="1" x14ac:dyDescent="0.35">
      <c r="B3" s="93" t="s">
        <v>270</v>
      </c>
      <c r="C3" s="92" t="s">
        <v>271</v>
      </c>
    </row>
    <row r="4" spans="1:9" x14ac:dyDescent="0.35">
      <c r="B4" s="1" t="s">
        <v>122</v>
      </c>
      <c r="C4" s="90" t="s">
        <v>280</v>
      </c>
    </row>
    <row r="5" spans="1:9" x14ac:dyDescent="0.35">
      <c r="B5" s="1" t="s">
        <v>272</v>
      </c>
      <c r="C5" s="90" t="s">
        <v>275</v>
      </c>
    </row>
    <row r="6" spans="1:9" x14ac:dyDescent="0.35">
      <c r="B6" s="1" t="s">
        <v>24</v>
      </c>
      <c r="C6" s="90" t="s">
        <v>276</v>
      </c>
    </row>
    <row r="7" spans="1:9" x14ac:dyDescent="0.35">
      <c r="B7" s="1" t="s">
        <v>1</v>
      </c>
      <c r="C7" s="90" t="s">
        <v>274</v>
      </c>
    </row>
    <row r="8" spans="1:9" x14ac:dyDescent="0.35">
      <c r="B8" s="1" t="s">
        <v>401</v>
      </c>
      <c r="C8" s="90" t="s">
        <v>444</v>
      </c>
    </row>
    <row r="9" spans="1:9" x14ac:dyDescent="0.35">
      <c r="B9" s="1" t="s">
        <v>27</v>
      </c>
      <c r="C9" s="90" t="s">
        <v>277</v>
      </c>
    </row>
    <row r="10" spans="1:9" x14ac:dyDescent="0.35">
      <c r="B10" s="1" t="s">
        <v>445</v>
      </c>
      <c r="C10" s="90" t="s">
        <v>449</v>
      </c>
    </row>
    <row r="11" spans="1:9" x14ac:dyDescent="0.35">
      <c r="B11" s="1" t="s">
        <v>447</v>
      </c>
      <c r="C11" s="90" t="s">
        <v>448</v>
      </c>
    </row>
    <row r="12" spans="1:9" x14ac:dyDescent="0.35">
      <c r="B12" s="1" t="s">
        <v>273</v>
      </c>
      <c r="C12" s="90" t="s">
        <v>62</v>
      </c>
    </row>
    <row r="13" spans="1:9" x14ac:dyDescent="0.35">
      <c r="B13" s="1" t="s">
        <v>450</v>
      </c>
      <c r="C13" s="90" t="s">
        <v>279</v>
      </c>
      <c r="H13" s="1" t="s">
        <v>411</v>
      </c>
    </row>
    <row r="14" spans="1:9" x14ac:dyDescent="0.35">
      <c r="B14" s="1" t="s">
        <v>23</v>
      </c>
      <c r="C14" s="90" t="s">
        <v>278</v>
      </c>
      <c r="I14" s="1" t="s">
        <v>412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129A-71AB-4F7A-99EC-AA7B879796CB}">
  <dimension ref="A1:R38"/>
  <sheetViews>
    <sheetView zoomScale="83" workbookViewId="0">
      <selection activeCell="K30" sqref="K30"/>
    </sheetView>
  </sheetViews>
  <sheetFormatPr defaultRowHeight="14.5" x14ac:dyDescent="0.35"/>
  <sheetData>
    <row r="1" spans="1:18" x14ac:dyDescent="0.35">
      <c r="A1" s="12">
        <v>44896</v>
      </c>
    </row>
    <row r="2" spans="1:18" x14ac:dyDescent="0.35">
      <c r="B2" t="s">
        <v>52</v>
      </c>
    </row>
    <row r="3" spans="1:18" x14ac:dyDescent="0.35">
      <c r="B3" t="s">
        <v>28</v>
      </c>
    </row>
    <row r="4" spans="1:18" x14ac:dyDescent="0.35">
      <c r="B4" t="s">
        <v>29</v>
      </c>
    </row>
    <row r="5" spans="1:18" x14ac:dyDescent="0.35">
      <c r="B5" t="s">
        <v>30</v>
      </c>
    </row>
    <row r="6" spans="1:18" x14ac:dyDescent="0.35">
      <c r="A6" s="12">
        <v>44901</v>
      </c>
    </row>
    <row r="7" spans="1:18" x14ac:dyDescent="0.35">
      <c r="B7" t="s">
        <v>58</v>
      </c>
      <c r="C7" s="35" t="s">
        <v>62</v>
      </c>
      <c r="F7" t="s">
        <v>53</v>
      </c>
      <c r="J7" t="s">
        <v>54</v>
      </c>
      <c r="M7" t="s">
        <v>55</v>
      </c>
      <c r="R7" t="s">
        <v>56</v>
      </c>
    </row>
    <row r="8" spans="1:18" x14ac:dyDescent="0.35">
      <c r="C8" s="35" t="s">
        <v>61</v>
      </c>
      <c r="F8" t="s">
        <v>57</v>
      </c>
      <c r="J8" t="s">
        <v>59</v>
      </c>
      <c r="R8" t="s">
        <v>60</v>
      </c>
    </row>
    <row r="9" spans="1:18" x14ac:dyDescent="0.35">
      <c r="C9" s="35"/>
      <c r="G9" t="s">
        <v>64</v>
      </c>
      <c r="J9" t="s">
        <v>63</v>
      </c>
      <c r="N9" t="s">
        <v>65</v>
      </c>
    </row>
    <row r="10" spans="1:18" x14ac:dyDescent="0.35">
      <c r="C10" s="35" t="s">
        <v>67</v>
      </c>
      <c r="F10" t="s">
        <v>66</v>
      </c>
      <c r="J10" t="s">
        <v>70</v>
      </c>
      <c r="P10" t="s">
        <v>74</v>
      </c>
    </row>
    <row r="11" spans="1:18" x14ac:dyDescent="0.35">
      <c r="C11" s="35"/>
      <c r="G11" t="s">
        <v>76</v>
      </c>
    </row>
    <row r="12" spans="1:18" x14ac:dyDescent="0.35">
      <c r="C12" s="35" t="s">
        <v>68</v>
      </c>
      <c r="F12" t="s">
        <v>69</v>
      </c>
      <c r="Q12" t="s">
        <v>72</v>
      </c>
    </row>
    <row r="13" spans="1:18" x14ac:dyDescent="0.35">
      <c r="F13" t="s">
        <v>71</v>
      </c>
      <c r="Q13" t="s">
        <v>73</v>
      </c>
    </row>
    <row r="14" spans="1:18" x14ac:dyDescent="0.35">
      <c r="F14" t="s">
        <v>75</v>
      </c>
    </row>
    <row r="15" spans="1:18" x14ac:dyDescent="0.35">
      <c r="C15" s="35" t="s">
        <v>77</v>
      </c>
      <c r="F15" t="s">
        <v>79</v>
      </c>
      <c r="J15" t="s">
        <v>80</v>
      </c>
      <c r="M15" t="s">
        <v>81</v>
      </c>
      <c r="Q15" t="s">
        <v>84</v>
      </c>
    </row>
    <row r="16" spans="1:18" x14ac:dyDescent="0.35">
      <c r="C16" t="s">
        <v>78</v>
      </c>
    </row>
    <row r="18" spans="2:10" x14ac:dyDescent="0.35">
      <c r="B18" t="s">
        <v>82</v>
      </c>
    </row>
    <row r="19" spans="2:10" x14ac:dyDescent="0.35">
      <c r="B19" t="s">
        <v>83</v>
      </c>
    </row>
    <row r="21" spans="2:10" x14ac:dyDescent="0.35">
      <c r="B21" t="s">
        <v>85</v>
      </c>
      <c r="F21" t="s">
        <v>86</v>
      </c>
      <c r="J21" t="s">
        <v>87</v>
      </c>
    </row>
    <row r="23" spans="2:10" x14ac:dyDescent="0.35">
      <c r="B23" s="7">
        <v>1000</v>
      </c>
      <c r="C23" s="7" t="s">
        <v>31</v>
      </c>
      <c r="D23" s="7"/>
      <c r="E23" s="7"/>
      <c r="F23" s="7"/>
      <c r="G23" s="7"/>
      <c r="H23" s="7"/>
    </row>
    <row r="24" spans="2:10" x14ac:dyDescent="0.35">
      <c r="B24" s="8" t="s">
        <v>32</v>
      </c>
      <c r="C24" s="8" t="s">
        <v>34</v>
      </c>
      <c r="D24" s="8"/>
      <c r="E24" s="8"/>
      <c r="F24" s="8"/>
      <c r="G24" s="8"/>
      <c r="H24" s="8"/>
    </row>
    <row r="25" spans="2:10" x14ac:dyDescent="0.35">
      <c r="B25" s="13">
        <f>B23*12*appendix!AE70</f>
        <v>183985.68228078328</v>
      </c>
      <c r="C25" s="7" t="s">
        <v>25</v>
      </c>
      <c r="D25" s="7"/>
      <c r="E25" s="7"/>
      <c r="F25" s="7"/>
      <c r="G25" s="7"/>
      <c r="H25" s="7"/>
    </row>
    <row r="26" spans="2:10" x14ac:dyDescent="0.35">
      <c r="B26" s="7" t="s">
        <v>35</v>
      </c>
      <c r="C26" s="7"/>
      <c r="D26" s="7"/>
      <c r="E26" s="7"/>
      <c r="F26" s="7"/>
      <c r="G26" s="7"/>
      <c r="H26" s="7"/>
    </row>
    <row r="27" spans="2:10" x14ac:dyDescent="0.35">
      <c r="B27" s="7"/>
      <c r="C27" s="7"/>
      <c r="D27" s="7"/>
      <c r="E27" s="7"/>
      <c r="F27" s="7"/>
      <c r="G27" s="7"/>
      <c r="H27" s="7"/>
    </row>
    <row r="28" spans="2:10" x14ac:dyDescent="0.35">
      <c r="B28" s="7" t="s">
        <v>36</v>
      </c>
      <c r="C28" s="7"/>
      <c r="D28" s="7"/>
      <c r="E28" s="7"/>
      <c r="F28" s="7"/>
      <c r="G28" s="7"/>
      <c r="H28" s="7"/>
    </row>
    <row r="29" spans="2:10" x14ac:dyDescent="0.35">
      <c r="B29" s="7" t="s">
        <v>37</v>
      </c>
      <c r="C29" s="7"/>
      <c r="D29" s="7"/>
      <c r="E29" s="7"/>
      <c r="F29" s="7"/>
      <c r="G29" s="7"/>
      <c r="H29" s="7"/>
    </row>
    <row r="30" spans="2:10" x14ac:dyDescent="0.35">
      <c r="B30" s="7"/>
      <c r="C30" s="7"/>
      <c r="D30" s="7"/>
      <c r="E30" s="7"/>
      <c r="F30" s="7"/>
      <c r="G30" s="7"/>
      <c r="H30" s="7"/>
    </row>
    <row r="31" spans="2:10" x14ac:dyDescent="0.35">
      <c r="B31" s="7" t="s">
        <v>38</v>
      </c>
      <c r="C31" s="7"/>
      <c r="D31" s="7"/>
      <c r="E31" s="7"/>
      <c r="F31" s="7"/>
      <c r="G31" s="7"/>
      <c r="H31" s="7"/>
    </row>
    <row r="32" spans="2:10" x14ac:dyDescent="0.35">
      <c r="B32" s="7" t="s">
        <v>39</v>
      </c>
      <c r="C32" s="7"/>
      <c r="D32" s="7"/>
      <c r="E32" s="7"/>
      <c r="F32" s="7"/>
      <c r="G32" s="7"/>
      <c r="H32" s="7"/>
    </row>
    <row r="33" spans="2:8" x14ac:dyDescent="0.35">
      <c r="B33" s="7" t="s">
        <v>40</v>
      </c>
      <c r="C33" s="7"/>
      <c r="D33" s="7"/>
      <c r="E33" s="7"/>
      <c r="F33" s="7"/>
      <c r="G33" s="7"/>
      <c r="H33" s="7"/>
    </row>
    <row r="34" spans="2:8" x14ac:dyDescent="0.35">
      <c r="B34" s="7" t="s">
        <v>41</v>
      </c>
      <c r="C34" s="7"/>
      <c r="D34" s="7"/>
      <c r="E34" s="7"/>
      <c r="F34" s="7"/>
      <c r="G34" s="7"/>
      <c r="H34" s="7"/>
    </row>
    <row r="35" spans="2:8" x14ac:dyDescent="0.35">
      <c r="B35" s="7" t="s">
        <v>42</v>
      </c>
      <c r="C35" s="7"/>
      <c r="D35" s="7"/>
      <c r="E35" s="7"/>
      <c r="F35" s="7"/>
      <c r="G35" s="7"/>
      <c r="H35" s="7"/>
    </row>
    <row r="36" spans="2:8" x14ac:dyDescent="0.35">
      <c r="B36" s="7"/>
      <c r="C36" s="7" t="s">
        <v>43</v>
      </c>
      <c r="D36" s="7"/>
      <c r="E36" s="7"/>
      <c r="F36" s="7"/>
      <c r="G36" s="7"/>
      <c r="H36" s="7"/>
    </row>
    <row r="37" spans="2:8" x14ac:dyDescent="0.35">
      <c r="B37" s="7" t="s">
        <v>44</v>
      </c>
      <c r="C37" s="7"/>
      <c r="D37" s="7"/>
      <c r="E37" s="7"/>
      <c r="F37" s="7"/>
      <c r="G37" s="7"/>
      <c r="H37" s="7"/>
    </row>
    <row r="38" spans="2:8" x14ac:dyDescent="0.35">
      <c r="B38" s="7"/>
      <c r="C38" s="7" t="s">
        <v>45</v>
      </c>
      <c r="D38" s="7"/>
      <c r="E38" s="7"/>
      <c r="F38" s="7"/>
      <c r="G38" s="7"/>
      <c r="H38"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99B3-EEF1-42BC-AF37-8771AC3DA3CC}">
  <dimension ref="A1:T128"/>
  <sheetViews>
    <sheetView zoomScale="75" workbookViewId="0">
      <selection activeCell="I75" sqref="I75"/>
    </sheetView>
  </sheetViews>
  <sheetFormatPr defaultRowHeight="14.5" x14ac:dyDescent="0.35"/>
  <cols>
    <col min="5" max="5" width="10.7265625" customWidth="1"/>
    <col min="9" max="9" width="14" customWidth="1"/>
    <col min="10" max="10" width="12.90625" customWidth="1"/>
    <col min="11" max="11" width="12.08984375" bestFit="1" customWidth="1"/>
    <col min="15" max="15" width="10.7265625" customWidth="1"/>
    <col min="19" max="19" width="14" customWidth="1"/>
    <col min="20" max="20" width="12.90625" customWidth="1"/>
  </cols>
  <sheetData>
    <row r="1" spans="1:20" ht="15" thickBot="1" x14ac:dyDescent="0.4">
      <c r="A1" s="69" t="s">
        <v>127</v>
      </c>
    </row>
    <row r="2" spans="1:20" x14ac:dyDescent="0.35">
      <c r="D2" s="25" t="s">
        <v>47</v>
      </c>
      <c r="E2" s="26"/>
      <c r="F2" s="27">
        <v>0.05</v>
      </c>
      <c r="I2" t="s">
        <v>50</v>
      </c>
      <c r="J2">
        <v>1000</v>
      </c>
      <c r="N2" s="25" t="s">
        <v>47</v>
      </c>
      <c r="O2" s="26"/>
      <c r="P2" s="27">
        <v>0.05</v>
      </c>
      <c r="S2" t="s">
        <v>50</v>
      </c>
      <c r="T2">
        <v>1000</v>
      </c>
    </row>
    <row r="3" spans="1:20" x14ac:dyDescent="0.35">
      <c r="D3" s="28" t="s">
        <v>48</v>
      </c>
      <c r="E3" s="29"/>
      <c r="F3" s="17">
        <v>1.03</v>
      </c>
      <c r="I3" t="s">
        <v>25</v>
      </c>
      <c r="J3">
        <v>67</v>
      </c>
      <c r="N3" s="28" t="s">
        <v>48</v>
      </c>
      <c r="O3" s="29"/>
      <c r="P3" s="17">
        <v>1.04</v>
      </c>
      <c r="S3" t="s">
        <v>25</v>
      </c>
      <c r="T3">
        <v>65</v>
      </c>
    </row>
    <row r="4" spans="1:20" ht="15" thickBot="1" x14ac:dyDescent="0.4">
      <c r="B4" s="14"/>
      <c r="C4" s="14"/>
      <c r="D4" s="30" t="s">
        <v>49</v>
      </c>
      <c r="E4" s="31"/>
      <c r="F4" s="24">
        <f>F3/(1+F2)</f>
        <v>0.98095238095238091</v>
      </c>
      <c r="H4" s="14"/>
      <c r="I4" t="s">
        <v>51</v>
      </c>
      <c r="J4" s="2">
        <f>J2*12*VLOOKUP(J3,B8:I128,8,FALSE)</f>
        <v>191407.22317973801</v>
      </c>
      <c r="L4" s="14"/>
      <c r="M4" s="14"/>
      <c r="N4" s="30" t="s">
        <v>49</v>
      </c>
      <c r="O4" s="31"/>
      <c r="P4" s="24">
        <f>P3/(1+P2)</f>
        <v>0.99047619047619051</v>
      </c>
      <c r="R4" s="14"/>
      <c r="S4" t="s">
        <v>51</v>
      </c>
      <c r="T4" s="2">
        <f>T2*12*VLOOKUP(T3,L8:S128,8,FALSE)</f>
        <v>106562.06218355751</v>
      </c>
    </row>
    <row r="5" spans="1:20" ht="15" thickBot="1" x14ac:dyDescent="0.4">
      <c r="B5" s="14"/>
      <c r="C5" s="14"/>
      <c r="D5" s="14"/>
      <c r="F5" s="14"/>
      <c r="H5" s="14"/>
      <c r="I5" s="14"/>
      <c r="L5" s="14"/>
      <c r="M5" s="14"/>
      <c r="N5" s="14"/>
      <c r="P5" s="14"/>
      <c r="R5" s="14"/>
      <c r="S5" s="14"/>
    </row>
    <row r="6" spans="1:20" ht="15" thickBot="1" x14ac:dyDescent="0.4">
      <c r="B6" s="613" t="s">
        <v>22</v>
      </c>
      <c r="C6" s="614"/>
      <c r="D6" s="614"/>
      <c r="E6" s="614"/>
      <c r="F6" s="614"/>
      <c r="G6" s="614"/>
      <c r="H6" s="614"/>
      <c r="I6" s="615"/>
      <c r="L6" s="613" t="s">
        <v>22</v>
      </c>
      <c r="M6" s="614"/>
      <c r="N6" s="614"/>
      <c r="O6" s="614"/>
      <c r="P6" s="614"/>
      <c r="Q6" s="614"/>
      <c r="R6" s="614"/>
      <c r="S6" s="615"/>
    </row>
    <row r="7" spans="1:20" x14ac:dyDescent="0.35">
      <c r="B7" s="32" t="s">
        <v>12</v>
      </c>
      <c r="C7" s="33" t="s">
        <v>13</v>
      </c>
      <c r="D7" s="33" t="s">
        <v>14</v>
      </c>
      <c r="E7" s="33" t="s">
        <v>15</v>
      </c>
      <c r="F7" s="33" t="s">
        <v>16</v>
      </c>
      <c r="G7" s="33" t="s">
        <v>17</v>
      </c>
      <c r="H7" s="33" t="s">
        <v>18</v>
      </c>
      <c r="I7" s="34" t="s">
        <v>19</v>
      </c>
      <c r="L7" s="32" t="s">
        <v>12</v>
      </c>
      <c r="M7" s="33" t="s">
        <v>13</v>
      </c>
      <c r="N7" s="33" t="s">
        <v>14</v>
      </c>
      <c r="O7" s="33" t="s">
        <v>15</v>
      </c>
      <c r="P7" s="33" t="s">
        <v>16</v>
      </c>
      <c r="Q7" s="33" t="s">
        <v>17</v>
      </c>
      <c r="R7" s="33" t="s">
        <v>18</v>
      </c>
      <c r="S7" s="34" t="s">
        <v>19</v>
      </c>
    </row>
    <row r="8" spans="1:20" x14ac:dyDescent="0.35">
      <c r="B8" s="16">
        <v>0</v>
      </c>
      <c r="C8" s="18">
        <v>3.0669999999999998E-3</v>
      </c>
      <c r="D8" s="14">
        <f>1-C8</f>
        <v>0.99693299999999996</v>
      </c>
      <c r="E8" s="14">
        <v>1</v>
      </c>
      <c r="F8" s="14">
        <v>1</v>
      </c>
      <c r="G8" s="14">
        <f>SUM(F8:$F$127)</f>
        <v>41.811081099369851</v>
      </c>
      <c r="H8" s="14">
        <f>G8/F8</f>
        <v>41.811081099369851</v>
      </c>
      <c r="I8" s="22">
        <f>H8-11/24</f>
        <v>41.352747766036515</v>
      </c>
      <c r="L8" s="16">
        <v>0</v>
      </c>
      <c r="M8" s="18">
        <v>3.0669999999999998E-3</v>
      </c>
      <c r="N8" s="14">
        <f>1-M8</f>
        <v>0.99693299999999996</v>
      </c>
      <c r="O8" s="14">
        <v>1</v>
      </c>
      <c r="P8" s="14">
        <v>1</v>
      </c>
      <c r="Q8" s="14">
        <f>SUM($F8:F$127)</f>
        <v>41.811081099369851</v>
      </c>
      <c r="R8" s="14">
        <f>Q8/P8</f>
        <v>41.811081099369851</v>
      </c>
      <c r="S8" s="22">
        <f>R8-11/24</f>
        <v>41.352747766036515</v>
      </c>
    </row>
    <row r="9" spans="1:20" x14ac:dyDescent="0.35">
      <c r="B9" s="16">
        <v>1</v>
      </c>
      <c r="C9" s="18">
        <v>1.8599999999999999E-4</v>
      </c>
      <c r="D9" s="14">
        <f t="shared" ref="D9:D72" si="0">1-C9</f>
        <v>0.99981399999999998</v>
      </c>
      <c r="E9" s="14">
        <f>$F$4^B9</f>
        <v>0.98095238095238091</v>
      </c>
      <c r="F9" s="14">
        <f>E9*PRODUCT($D$8:D8)</f>
        <v>0.97794379999999992</v>
      </c>
      <c r="G9" s="14">
        <f>SUM(F9:$F$127)</f>
        <v>40.811081099369851</v>
      </c>
      <c r="H9" s="14">
        <f t="shared" ref="H9:H72" si="1">G9/F9</f>
        <v>41.731519847428714</v>
      </c>
      <c r="I9" s="22">
        <f t="shared" ref="I9:I72" si="2">H9-11/24</f>
        <v>41.273186514095379</v>
      </c>
      <c r="L9" s="16">
        <v>1</v>
      </c>
      <c r="M9" s="18">
        <v>1.8599999999999999E-4</v>
      </c>
      <c r="N9" s="14">
        <f t="shared" ref="N9:N72" si="3">1-M9</f>
        <v>0.99981399999999998</v>
      </c>
      <c r="O9" s="14">
        <f>$P$4^L9</f>
        <v>0.99047619047619051</v>
      </c>
      <c r="P9" s="14">
        <f>O9*PRODUCT($N$8:N8)</f>
        <v>0.98743839999999994</v>
      </c>
      <c r="Q9" s="14">
        <f>SUM($F9:F$127)</f>
        <v>40.811081099369851</v>
      </c>
      <c r="R9" s="14">
        <f t="shared" ref="R9:R72" si="4">Q9/P9</f>
        <v>41.330255233511124</v>
      </c>
      <c r="S9" s="22">
        <f t="shared" ref="S9:S72" si="5">R9-11/24</f>
        <v>40.871921900177789</v>
      </c>
    </row>
    <row r="10" spans="1:20" x14ac:dyDescent="0.35">
      <c r="B10" s="16">
        <v>2</v>
      </c>
      <c r="C10" s="18">
        <v>1.25E-4</v>
      </c>
      <c r="D10" s="14">
        <f t="shared" si="0"/>
        <v>0.99987499999999996</v>
      </c>
      <c r="E10" s="14">
        <f t="shared" ref="E10:E73" si="6">$F$4^B10</f>
        <v>0.96226757369614502</v>
      </c>
      <c r="F10" s="14">
        <f>E10*PRODUCT($D$8:D9)</f>
        <v>0.95913786621599595</v>
      </c>
      <c r="G10" s="14">
        <f>SUM(F10:$F$127)</f>
        <v>39.833137299369852</v>
      </c>
      <c r="H10" s="14">
        <f t="shared" si="1"/>
        <v>41.530147752919085</v>
      </c>
      <c r="I10" s="22">
        <f t="shared" si="2"/>
        <v>41.071814419585749</v>
      </c>
      <c r="L10" s="16">
        <v>2</v>
      </c>
      <c r="M10" s="18">
        <v>1.25E-4</v>
      </c>
      <c r="N10" s="14">
        <f t="shared" si="3"/>
        <v>0.99987499999999996</v>
      </c>
      <c r="O10" s="14">
        <f t="shared" ref="O10:O73" si="7">$P$4^L10</f>
        <v>0.98104308390022688</v>
      </c>
      <c r="P10" s="14">
        <f>O10*PRODUCT($N$8:N9)</f>
        <v>0.9778523103960991</v>
      </c>
      <c r="Q10" s="14">
        <f>SUM($F10:F$127)</f>
        <v>39.833137299369852</v>
      </c>
      <c r="R10" s="14">
        <f t="shared" si="4"/>
        <v>40.73533076097619</v>
      </c>
      <c r="S10" s="22">
        <f t="shared" si="5"/>
        <v>40.276997427642854</v>
      </c>
    </row>
    <row r="11" spans="1:20" x14ac:dyDescent="0.35">
      <c r="B11" s="16">
        <v>3</v>
      </c>
      <c r="C11" s="18">
        <v>1E-4</v>
      </c>
      <c r="D11" s="14">
        <f t="shared" si="0"/>
        <v>0.99990000000000001</v>
      </c>
      <c r="E11" s="14">
        <f t="shared" si="6"/>
        <v>0.94393866753050415</v>
      </c>
      <c r="F11" s="14">
        <f>E11*PRODUCT($D$8:D10)</f>
        <v>0.94075096495447674</v>
      </c>
      <c r="G11" s="14">
        <f>SUM(F11:$F$127)</f>
        <v>38.873999433153863</v>
      </c>
      <c r="H11" s="14">
        <f t="shared" si="1"/>
        <v>41.32230620144513</v>
      </c>
      <c r="I11" s="22">
        <f t="shared" si="2"/>
        <v>40.863972868111794</v>
      </c>
      <c r="L11" s="16">
        <v>3</v>
      </c>
      <c r="M11" s="18">
        <v>1E-4</v>
      </c>
      <c r="N11" s="14">
        <f t="shared" si="3"/>
        <v>0.99990000000000001</v>
      </c>
      <c r="O11" s="14">
        <f t="shared" si="7"/>
        <v>0.97169981643451042</v>
      </c>
      <c r="P11" s="14">
        <f>O11*PRODUCT($N$8:N10)</f>
        <v>0.96841836382056334</v>
      </c>
      <c r="Q11" s="14">
        <f>SUM($F11:F$127)</f>
        <v>38.873999433153863</v>
      </c>
      <c r="R11" s="14">
        <f t="shared" si="4"/>
        <v>40.141741302581046</v>
      </c>
      <c r="S11" s="22">
        <f t="shared" si="5"/>
        <v>39.68340796924771</v>
      </c>
    </row>
    <row r="12" spans="1:20" x14ac:dyDescent="0.35">
      <c r="B12" s="16">
        <v>4</v>
      </c>
      <c r="C12" s="18">
        <v>7.7000000000000001E-5</v>
      </c>
      <c r="D12" s="14">
        <f t="shared" si="0"/>
        <v>0.99992300000000001</v>
      </c>
      <c r="E12" s="14">
        <f t="shared" si="6"/>
        <v>0.92595888338706589</v>
      </c>
      <c r="F12" s="14">
        <f>E12*PRODUCT($D$8:D11)</f>
        <v>0.92273961576544827</v>
      </c>
      <c r="G12" s="14">
        <f>SUM(F12:$F$127)</f>
        <v>37.93324846819938</v>
      </c>
      <c r="H12" s="14">
        <f t="shared" si="1"/>
        <v>41.10937454086902</v>
      </c>
      <c r="I12" s="22">
        <f t="shared" si="2"/>
        <v>40.651041207535684</v>
      </c>
      <c r="L12" s="16">
        <v>4</v>
      </c>
      <c r="M12" s="18">
        <v>7.7000000000000001E-5</v>
      </c>
      <c r="N12" s="14">
        <f t="shared" si="3"/>
        <v>0.99992300000000001</v>
      </c>
      <c r="O12" s="14">
        <f t="shared" si="7"/>
        <v>0.96244553246846754</v>
      </c>
      <c r="P12" s="14">
        <f>O12*PRODUCT($N$8:N11)</f>
        <v>0.95909941225099871</v>
      </c>
      <c r="Q12" s="14">
        <f>SUM($F12:F$127)</f>
        <v>37.93324846819938</v>
      </c>
      <c r="R12" s="14">
        <f t="shared" si="4"/>
        <v>39.550903674490165</v>
      </c>
      <c r="S12" s="22">
        <f t="shared" si="5"/>
        <v>39.092570341156829</v>
      </c>
    </row>
    <row r="13" spans="1:20" x14ac:dyDescent="0.35">
      <c r="B13" s="16">
        <v>5</v>
      </c>
      <c r="C13" s="18">
        <v>6.8999999999999997E-5</v>
      </c>
      <c r="D13" s="14">
        <f t="shared" si="0"/>
        <v>0.99993100000000001</v>
      </c>
      <c r="E13" s="14">
        <f t="shared" si="6"/>
        <v>0.90832157132255031</v>
      </c>
      <c r="F13" s="14">
        <f>E13*PRODUCT($D$8:D12)</f>
        <v>0.90509392548522405</v>
      </c>
      <c r="G13" s="14">
        <f>SUM(F13:$F$127)</f>
        <v>37.010508852433922</v>
      </c>
      <c r="H13" s="14">
        <f t="shared" si="1"/>
        <v>40.891345981128374</v>
      </c>
      <c r="I13" s="22">
        <f t="shared" si="2"/>
        <v>40.433012647795039</v>
      </c>
      <c r="L13" s="16">
        <v>5</v>
      </c>
      <c r="M13" s="18">
        <v>6.8999999999999997E-5</v>
      </c>
      <c r="N13" s="14">
        <f t="shared" si="3"/>
        <v>0.99993100000000001</v>
      </c>
      <c r="O13" s="14">
        <f t="shared" si="7"/>
        <v>0.95327938454019645</v>
      </c>
      <c r="P13" s="14">
        <f>O13*PRODUCT($N$8:N12)</f>
        <v>0.94989198481914816</v>
      </c>
      <c r="Q13" s="14">
        <f>SUM($F13:F$127)</f>
        <v>37.010508852433922</v>
      </c>
      <c r="R13" s="14">
        <f t="shared" si="4"/>
        <v>38.962860455634257</v>
      </c>
      <c r="S13" s="22">
        <f t="shared" si="5"/>
        <v>38.504527122300921</v>
      </c>
    </row>
    <row r="14" spans="1:20" x14ac:dyDescent="0.35">
      <c r="B14" s="16">
        <v>6</v>
      </c>
      <c r="C14" s="18">
        <v>6.3999999999999997E-5</v>
      </c>
      <c r="D14" s="14">
        <f t="shared" si="0"/>
        <v>0.99993600000000005</v>
      </c>
      <c r="E14" s="14">
        <f t="shared" si="6"/>
        <v>0.89102020805926363</v>
      </c>
      <c r="F14" s="14">
        <f>E14*PRODUCT($D$8:D13)</f>
        <v>0.8877927792614253</v>
      </c>
      <c r="G14" s="14">
        <f>SUM(F14:$F$127)</f>
        <v>36.105414926948697</v>
      </c>
      <c r="H14" s="14">
        <f t="shared" si="1"/>
        <v>40.668741366634677</v>
      </c>
      <c r="I14" s="22">
        <f t="shared" si="2"/>
        <v>40.210408033301341</v>
      </c>
      <c r="L14" s="16">
        <v>6</v>
      </c>
      <c r="M14" s="18">
        <v>6.3999999999999997E-5</v>
      </c>
      <c r="N14" s="14">
        <f t="shared" si="3"/>
        <v>0.99993600000000005</v>
      </c>
      <c r="O14" s="14">
        <f t="shared" si="7"/>
        <v>0.94420053325886133</v>
      </c>
      <c r="P14" s="14">
        <f>O14*PRODUCT($N$8:N13)</f>
        <v>0.94078047615531779</v>
      </c>
      <c r="Q14" s="14">
        <f>SUM($F14:F$127)</f>
        <v>36.105414926948697</v>
      </c>
      <c r="R14" s="14">
        <f t="shared" si="4"/>
        <v>38.378150739799032</v>
      </c>
      <c r="S14" s="22">
        <f t="shared" si="5"/>
        <v>37.919817406465697</v>
      </c>
    </row>
    <row r="15" spans="1:20" x14ac:dyDescent="0.35">
      <c r="B15" s="16">
        <v>7</v>
      </c>
      <c r="C15" s="18">
        <v>5.8E-5</v>
      </c>
      <c r="D15" s="14">
        <f t="shared" si="0"/>
        <v>0.999942</v>
      </c>
      <c r="E15" s="14">
        <f t="shared" si="6"/>
        <v>0.87404839457242045</v>
      </c>
      <c r="F15" s="14">
        <f>E15*PRODUCT($D$8:D14)</f>
        <v>0.87082670413262775</v>
      </c>
      <c r="G15" s="14">
        <f>SUM(F15:$F$127)</f>
        <v>35.217622147687273</v>
      </c>
      <c r="H15" s="14">
        <f t="shared" si="1"/>
        <v>40.441596451460676</v>
      </c>
      <c r="I15" s="22">
        <f t="shared" si="2"/>
        <v>39.98326311812734</v>
      </c>
      <c r="L15" s="16">
        <v>7</v>
      </c>
      <c r="M15" s="18">
        <v>5.8E-5</v>
      </c>
      <c r="N15" s="14">
        <f t="shared" si="3"/>
        <v>0.999942</v>
      </c>
      <c r="O15" s="14">
        <f t="shared" si="7"/>
        <v>0.93520814722782453</v>
      </c>
      <c r="P15" s="14">
        <f>O15*PRODUCT($N$8:N14)</f>
        <v>0.93176102557432161</v>
      </c>
      <c r="Q15" s="14">
        <f>SUM($F15:F$127)</f>
        <v>35.217622147687273</v>
      </c>
      <c r="R15" s="14">
        <f t="shared" si="4"/>
        <v>37.79683972720337</v>
      </c>
      <c r="S15" s="22">
        <f t="shared" si="5"/>
        <v>37.338506393870034</v>
      </c>
    </row>
    <row r="16" spans="1:20" x14ac:dyDescent="0.35">
      <c r="B16" s="16">
        <v>8</v>
      </c>
      <c r="C16" s="18">
        <v>5.1E-5</v>
      </c>
      <c r="D16" s="14">
        <f t="shared" si="0"/>
        <v>0.99994899999999998</v>
      </c>
      <c r="E16" s="14">
        <f t="shared" si="6"/>
        <v>0.85739985372342187</v>
      </c>
      <c r="F16" s="14">
        <f>E16*PRODUCT($D$8:D15)</f>
        <v>0.85418998292314441</v>
      </c>
      <c r="G16" s="14">
        <f>SUM(F16:$F$127)</f>
        <v>34.346795443554647</v>
      </c>
      <c r="H16" s="14">
        <f t="shared" si="1"/>
        <v>40.209784860758539</v>
      </c>
      <c r="I16" s="22">
        <f t="shared" si="2"/>
        <v>39.751451527425203</v>
      </c>
      <c r="L16" s="16">
        <v>8</v>
      </c>
      <c r="M16" s="18">
        <v>5.1E-5</v>
      </c>
      <c r="N16" s="14">
        <f t="shared" si="3"/>
        <v>0.99994899999999998</v>
      </c>
      <c r="O16" s="14">
        <f t="shared" si="7"/>
        <v>0.92630140296851204</v>
      </c>
      <c r="P16" s="14">
        <f>O16*PRODUCT($N$8:N15)</f>
        <v>0.92283358359260181</v>
      </c>
      <c r="Q16" s="14">
        <f>SUM($F16:F$127)</f>
        <v>34.346795443554647</v>
      </c>
      <c r="R16" s="14">
        <f t="shared" si="4"/>
        <v>37.218839944946708</v>
      </c>
      <c r="S16" s="22">
        <f t="shared" si="5"/>
        <v>36.760506611613373</v>
      </c>
    </row>
    <row r="17" spans="2:19" x14ac:dyDescent="0.35">
      <c r="B17" s="16">
        <v>9</v>
      </c>
      <c r="C17" s="18">
        <v>4.5000000000000003E-5</v>
      </c>
      <c r="D17" s="14">
        <f t="shared" si="0"/>
        <v>0.99995500000000004</v>
      </c>
      <c r="E17" s="14">
        <f t="shared" si="6"/>
        <v>0.84106842793821379</v>
      </c>
      <c r="F17" s="14">
        <f>E17*PRODUCT($D$8:D16)</f>
        <v>0.83787696362955788</v>
      </c>
      <c r="G17" s="14">
        <f>SUM(F17:$F$127)</f>
        <v>33.492605460631495</v>
      </c>
      <c r="H17" s="14">
        <f t="shared" si="1"/>
        <v>39.973178538703976</v>
      </c>
      <c r="I17" s="22">
        <f t="shared" si="2"/>
        <v>39.514845205370641</v>
      </c>
      <c r="L17" s="16">
        <v>9</v>
      </c>
      <c r="M17" s="18">
        <v>4.5000000000000003E-5</v>
      </c>
      <c r="N17" s="14">
        <f t="shared" si="3"/>
        <v>0.99995500000000004</v>
      </c>
      <c r="O17" s="14">
        <f t="shared" si="7"/>
        <v>0.91747948484500241</v>
      </c>
      <c r="P17" s="14">
        <f>O17*PRODUCT($N$8:N16)</f>
        <v>0.91399807604098293</v>
      </c>
      <c r="Q17" s="14">
        <f>SUM($F17:F$127)</f>
        <v>33.492605460631495</v>
      </c>
      <c r="R17" s="14">
        <f t="shared" si="4"/>
        <v>36.644065604280016</v>
      </c>
      <c r="S17" s="22">
        <f t="shared" si="5"/>
        <v>36.18573227094668</v>
      </c>
    </row>
    <row r="18" spans="2:19" x14ac:dyDescent="0.35">
      <c r="B18" s="16">
        <v>10</v>
      </c>
      <c r="C18" s="18">
        <v>4.1E-5</v>
      </c>
      <c r="D18" s="14">
        <f t="shared" si="0"/>
        <v>0.99995900000000004</v>
      </c>
      <c r="E18" s="14">
        <f t="shared" si="6"/>
        <v>0.82504807692986681</v>
      </c>
      <c r="F18" s="14">
        <f>E18*PRODUCT($D$8:D17)</f>
        <v>0.8218804161344575</v>
      </c>
      <c r="G18" s="14">
        <f>SUM(F18:$F$127)</f>
        <v>32.654728497001933</v>
      </c>
      <c r="H18" s="14">
        <f t="shared" si="1"/>
        <v>39.731727214752986</v>
      </c>
      <c r="I18" s="22">
        <f t="shared" si="2"/>
        <v>39.273393881419651</v>
      </c>
      <c r="L18" s="16">
        <v>10</v>
      </c>
      <c r="M18" s="18">
        <v>4.1E-5</v>
      </c>
      <c r="N18" s="14">
        <f t="shared" si="3"/>
        <v>0.99995900000000004</v>
      </c>
      <c r="O18" s="14">
        <f t="shared" si="7"/>
        <v>0.90874158498933577</v>
      </c>
      <c r="P18" s="14">
        <f>O18*PRODUCT($N$8:N17)</f>
        <v>0.90525259425967974</v>
      </c>
      <c r="Q18" s="14">
        <f>SUM($F18:F$127)</f>
        <v>32.654728497001933</v>
      </c>
      <c r="R18" s="14">
        <f t="shared" si="4"/>
        <v>36.072504739638042</v>
      </c>
      <c r="S18" s="22">
        <f t="shared" si="5"/>
        <v>35.614171406304706</v>
      </c>
    </row>
    <row r="19" spans="2:19" x14ac:dyDescent="0.35">
      <c r="B19" s="16">
        <v>11</v>
      </c>
      <c r="C19" s="18">
        <v>4.3000000000000002E-5</v>
      </c>
      <c r="D19" s="14">
        <f t="shared" si="0"/>
        <v>0.99995699999999998</v>
      </c>
      <c r="E19" s="14">
        <f t="shared" si="6"/>
        <v>0.80933287546453603</v>
      </c>
      <c r="F19" s="14">
        <f>E19*PRODUCT($D$8:D18)</f>
        <v>0.80619249581763608</v>
      </c>
      <c r="G19" s="14">
        <f>SUM(F19:$F$127)</f>
        <v>31.832848080867507</v>
      </c>
      <c r="H19" s="14">
        <f t="shared" si="1"/>
        <v>39.48541849001311</v>
      </c>
      <c r="I19" s="22">
        <f t="shared" si="2"/>
        <v>39.027085156679775</v>
      </c>
      <c r="L19" s="16">
        <v>11</v>
      </c>
      <c r="M19" s="18">
        <v>4.3000000000000002E-5</v>
      </c>
      <c r="N19" s="14">
        <f t="shared" si="3"/>
        <v>0.99995699999999998</v>
      </c>
      <c r="O19" s="14">
        <f t="shared" si="7"/>
        <v>0.9000869032275326</v>
      </c>
      <c r="P19" s="14">
        <f>O19*PRODUCT($N$8:N18)</f>
        <v>0.89659437910423601</v>
      </c>
      <c r="Q19" s="14">
        <f>SUM($F19:F$127)</f>
        <v>31.832848080867507</v>
      </c>
      <c r="R19" s="14">
        <f t="shared" si="4"/>
        <v>35.504179841804131</v>
      </c>
      <c r="S19" s="22">
        <f t="shared" si="5"/>
        <v>35.045846508470795</v>
      </c>
    </row>
    <row r="20" spans="2:19" x14ac:dyDescent="0.35">
      <c r="B20" s="16">
        <v>12</v>
      </c>
      <c r="C20" s="18">
        <v>5.7000000000000003E-5</v>
      </c>
      <c r="D20" s="14">
        <f t="shared" si="0"/>
        <v>0.99994300000000003</v>
      </c>
      <c r="E20" s="14">
        <f t="shared" si="6"/>
        <v>0.79391701116997337</v>
      </c>
      <c r="F20" s="14">
        <f>E20*PRODUCT($D$8:D19)</f>
        <v>0.79080244231097652</v>
      </c>
      <c r="G20" s="14">
        <f>SUM(F20:$F$127)</f>
        <v>31.026655585049873</v>
      </c>
      <c r="H20" s="14">
        <f t="shared" si="1"/>
        <v>39.23439524842653</v>
      </c>
      <c r="I20" s="22">
        <f t="shared" si="2"/>
        <v>38.776061915093194</v>
      </c>
      <c r="L20" s="16">
        <v>12</v>
      </c>
      <c r="M20" s="18">
        <v>5.7000000000000003E-5</v>
      </c>
      <c r="N20" s="14">
        <f t="shared" si="3"/>
        <v>0.99994300000000003</v>
      </c>
      <c r="O20" s="14">
        <f t="shared" si="7"/>
        <v>0.89151464700631811</v>
      </c>
      <c r="P20" s="14">
        <f>O20*PRODUCT($N$8:N19)</f>
        <v>0.88801719863597328</v>
      </c>
      <c r="Q20" s="14">
        <f>SUM($F20:F$127)</f>
        <v>31.026655585049873</v>
      </c>
      <c r="R20" s="14">
        <f t="shared" si="4"/>
        <v>34.939250763057231</v>
      </c>
      <c r="S20" s="22">
        <f t="shared" si="5"/>
        <v>34.480917429723895</v>
      </c>
    </row>
    <row r="21" spans="2:19" x14ac:dyDescent="0.35">
      <c r="B21" s="16">
        <v>13</v>
      </c>
      <c r="C21" s="18">
        <v>6.9999999999999994E-5</v>
      </c>
      <c r="D21" s="14">
        <f t="shared" si="0"/>
        <v>0.99992999999999999</v>
      </c>
      <c r="E21" s="14">
        <f t="shared" si="6"/>
        <v>0.77879478238578337</v>
      </c>
      <c r="F21" s="14">
        <f>E21*PRODUCT($D$8:D20)</f>
        <v>0.77569532149420739</v>
      </c>
      <c r="G21" s="14">
        <f>SUM(F21:$F$127)</f>
        <v>30.235853142738893</v>
      </c>
      <c r="H21" s="14">
        <f t="shared" si="1"/>
        <v>38.979032494995764</v>
      </c>
      <c r="I21" s="22">
        <f t="shared" si="2"/>
        <v>38.520699161662428</v>
      </c>
      <c r="L21" s="16">
        <v>13</v>
      </c>
      <c r="M21" s="18">
        <v>6.9999999999999994E-5</v>
      </c>
      <c r="N21" s="14">
        <f t="shared" si="3"/>
        <v>0.99992999999999999</v>
      </c>
      <c r="O21" s="14">
        <f t="shared" si="7"/>
        <v>0.88302403132054363</v>
      </c>
      <c r="P21" s="14">
        <f>O21*PRODUCT($N$8:N20)</f>
        <v>0.87950975706845447</v>
      </c>
      <c r="Q21" s="14">
        <f>SUM($F21:F$127)</f>
        <v>30.235853142738893</v>
      </c>
      <c r="R21" s="14">
        <f t="shared" si="4"/>
        <v>34.378075853893634</v>
      </c>
      <c r="S21" s="22">
        <f t="shared" si="5"/>
        <v>33.919742520560298</v>
      </c>
    </row>
    <row r="22" spans="2:19" x14ac:dyDescent="0.35">
      <c r="B22" s="16">
        <v>14</v>
      </c>
      <c r="C22" s="18">
        <v>8.2999999999999998E-5</v>
      </c>
      <c r="D22" s="14">
        <f t="shared" si="0"/>
        <v>0.99991699999999994</v>
      </c>
      <c r="E22" s="14">
        <f t="shared" si="6"/>
        <v>0.76396059605462552</v>
      </c>
      <c r="F22" s="14">
        <f>E22*PRODUCT($D$8:D21)</f>
        <v>0.76086690810128943</v>
      </c>
      <c r="G22" s="14">
        <f>SUM(F22:$F$127)</f>
        <v>29.460157821244692</v>
      </c>
      <c r="H22" s="14">
        <f t="shared" si="1"/>
        <v>38.719199780630817</v>
      </c>
      <c r="I22" s="22">
        <f t="shared" si="2"/>
        <v>38.260866447297481</v>
      </c>
      <c r="L22" s="16">
        <v>14</v>
      </c>
      <c r="M22" s="18">
        <v>8.2999999999999998E-5</v>
      </c>
      <c r="N22" s="14">
        <f t="shared" si="3"/>
        <v>0.99991699999999994</v>
      </c>
      <c r="O22" s="14">
        <f t="shared" si="7"/>
        <v>0.87461427864130048</v>
      </c>
      <c r="P22" s="14">
        <f>O22*PRODUCT($N$8:N21)</f>
        <v>0.87107249432464584</v>
      </c>
      <c r="Q22" s="14">
        <f>SUM($F22:F$127)</f>
        <v>29.460157821244692</v>
      </c>
      <c r="R22" s="14">
        <f t="shared" si="4"/>
        <v>33.820558005433917</v>
      </c>
      <c r="S22" s="22">
        <f t="shared" si="5"/>
        <v>33.362224672100581</v>
      </c>
    </row>
    <row r="23" spans="2:19" x14ac:dyDescent="0.35">
      <c r="B23" s="16">
        <v>15</v>
      </c>
      <c r="C23" s="18">
        <v>9.7E-5</v>
      </c>
      <c r="D23" s="14">
        <f t="shared" si="0"/>
        <v>0.99990299999999999</v>
      </c>
      <c r="E23" s="14">
        <f t="shared" si="6"/>
        <v>0.74940896565358506</v>
      </c>
      <c r="F23" s="14">
        <f>E23*PRODUCT($D$8:D22)</f>
        <v>0.74631225603081375</v>
      </c>
      <c r="G23" s="14">
        <f>SUM(F23:$F$127)</f>
        <v>28.6992909131434</v>
      </c>
      <c r="H23" s="14">
        <f t="shared" si="1"/>
        <v>38.454803175520226</v>
      </c>
      <c r="I23" s="22">
        <f t="shared" si="2"/>
        <v>37.99646984218689</v>
      </c>
      <c r="L23" s="16">
        <v>15</v>
      </c>
      <c r="M23" s="18">
        <v>9.7E-5</v>
      </c>
      <c r="N23" s="14">
        <f t="shared" si="3"/>
        <v>0.99990299999999999</v>
      </c>
      <c r="O23" s="14">
        <f t="shared" si="7"/>
        <v>0.86628461884471664</v>
      </c>
      <c r="P23" s="14">
        <f>O23*PRODUCT($N$8:N22)</f>
        <v>0.86270495535230618</v>
      </c>
      <c r="Q23" s="14">
        <f>SUM($F23:F$127)</f>
        <v>28.6992909131434</v>
      </c>
      <c r="R23" s="14">
        <f t="shared" si="4"/>
        <v>33.266635058823049</v>
      </c>
      <c r="S23" s="22">
        <f t="shared" si="5"/>
        <v>32.808301725489713</v>
      </c>
    </row>
    <row r="24" spans="2:19" x14ac:dyDescent="0.35">
      <c r="B24" s="16">
        <v>16</v>
      </c>
      <c r="C24" s="18">
        <v>1.1E-4</v>
      </c>
      <c r="D24" s="14">
        <f t="shared" si="0"/>
        <v>0.99988999999999995</v>
      </c>
      <c r="E24" s="14">
        <f t="shared" si="6"/>
        <v>0.73513450916494516</v>
      </c>
      <c r="F24" s="14">
        <f>E24*PRODUCT($D$8:D23)</f>
        <v>0.73202577109927425</v>
      </c>
      <c r="G24" s="14">
        <f>SUM(F24:$F$127)</f>
        <v>27.952978657112588</v>
      </c>
      <c r="H24" s="14">
        <f t="shared" si="1"/>
        <v>38.185784928221771</v>
      </c>
      <c r="I24" s="22">
        <f t="shared" si="2"/>
        <v>37.727451594888436</v>
      </c>
      <c r="L24" s="16">
        <v>16</v>
      </c>
      <c r="M24" s="18">
        <v>1.1E-4</v>
      </c>
      <c r="N24" s="14">
        <f t="shared" si="3"/>
        <v>0.99988999999999995</v>
      </c>
      <c r="O24" s="14">
        <f t="shared" si="7"/>
        <v>0.85803428914143376</v>
      </c>
      <c r="P24" s="14">
        <f>O24*PRODUCT($N$8:N23)</f>
        <v>0.85440583227666922</v>
      </c>
      <c r="Q24" s="14">
        <f>SUM($F24:F$127)</f>
        <v>27.952978657112588</v>
      </c>
      <c r="R24" s="14">
        <f t="shared" si="4"/>
        <v>32.716277910496522</v>
      </c>
      <c r="S24" s="22">
        <f t="shared" si="5"/>
        <v>32.257944577163187</v>
      </c>
    </row>
    <row r="25" spans="2:19" x14ac:dyDescent="0.35">
      <c r="B25" s="16">
        <v>17</v>
      </c>
      <c r="C25" s="18">
        <v>1.2300000000000001E-4</v>
      </c>
      <c r="D25" s="14">
        <f t="shared" si="0"/>
        <v>0.99987700000000002</v>
      </c>
      <c r="E25" s="14">
        <f t="shared" si="6"/>
        <v>0.72113194708561279</v>
      </c>
      <c r="F25" s="14">
        <f>E25*PRODUCT($D$8:D24)</f>
        <v>0.71800343401179689</v>
      </c>
      <c r="G25" s="14">
        <f>SUM(F25:$F$127)</f>
        <v>27.220952886013311</v>
      </c>
      <c r="H25" s="14">
        <f t="shared" si="1"/>
        <v>37.912009325523741</v>
      </c>
      <c r="I25" s="22">
        <f t="shared" si="2"/>
        <v>37.453675992190405</v>
      </c>
      <c r="L25" s="16">
        <v>17</v>
      </c>
      <c r="M25" s="18">
        <v>1.2300000000000001E-4</v>
      </c>
      <c r="N25" s="14">
        <f t="shared" si="3"/>
        <v>0.99987700000000002</v>
      </c>
      <c r="O25" s="14">
        <f t="shared" si="7"/>
        <v>0.84986253400675349</v>
      </c>
      <c r="P25" s="14">
        <f>O25*PRODUCT($N$8:N24)</f>
        <v>0.84617554432430808</v>
      </c>
      <c r="Q25" s="14">
        <f>SUM($F25:F$127)</f>
        <v>27.220952886013311</v>
      </c>
      <c r="R25" s="14">
        <f t="shared" si="4"/>
        <v>32.169392117979385</v>
      </c>
      <c r="S25" s="22">
        <f t="shared" si="5"/>
        <v>31.711058784646053</v>
      </c>
    </row>
    <row r="26" spans="2:19" x14ac:dyDescent="0.35">
      <c r="B26" s="16">
        <v>18</v>
      </c>
      <c r="C26" s="18">
        <v>1.37E-4</v>
      </c>
      <c r="D26" s="14">
        <f t="shared" si="0"/>
        <v>0.99986299999999995</v>
      </c>
      <c r="E26" s="14">
        <f t="shared" si="6"/>
        <v>0.70739610047445822</v>
      </c>
      <c r="F26" s="14">
        <f>E26*PRODUCT($D$8:D25)</f>
        <v>0.70424054588294838</v>
      </c>
      <c r="G26" s="14">
        <f>SUM(F26:$F$127)</f>
        <v>26.502949452001513</v>
      </c>
      <c r="H26" s="14">
        <f t="shared" si="1"/>
        <v>37.633376275961481</v>
      </c>
      <c r="I26" s="22">
        <f t="shared" si="2"/>
        <v>37.175042942628146</v>
      </c>
      <c r="L26" s="16">
        <v>18</v>
      </c>
      <c r="M26" s="18">
        <v>1.37E-4</v>
      </c>
      <c r="N26" s="14">
        <f t="shared" si="3"/>
        <v>0.99986299999999995</v>
      </c>
      <c r="O26" s="14">
        <f t="shared" si="7"/>
        <v>0.84176860511145113</v>
      </c>
      <c r="P26" s="14">
        <f>O26*PRODUCT($N$8:N25)</f>
        <v>0.8380136412587148</v>
      </c>
      <c r="Q26" s="14">
        <f>SUM($F26:F$127)</f>
        <v>26.502949452001513</v>
      </c>
      <c r="R26" s="14">
        <f t="shared" si="4"/>
        <v>31.625916509179376</v>
      </c>
      <c r="S26" s="22">
        <f t="shared" si="5"/>
        <v>31.167583175846044</v>
      </c>
    </row>
    <row r="27" spans="2:19" x14ac:dyDescent="0.35">
      <c r="B27" s="16">
        <v>19</v>
      </c>
      <c r="C27" s="18">
        <v>1.5100000000000001E-4</v>
      </c>
      <c r="D27" s="14">
        <f t="shared" si="0"/>
        <v>0.99984899999999999</v>
      </c>
      <c r="E27" s="14">
        <f t="shared" si="6"/>
        <v>0.69392188903684948</v>
      </c>
      <c r="F27" s="14">
        <f>E27*PRODUCT($D$8:D26)</f>
        <v>0.69073179702476883</v>
      </c>
      <c r="G27" s="14">
        <f>SUM(F27:$F$127)</f>
        <v>25.798708906118566</v>
      </c>
      <c r="H27" s="14">
        <f t="shared" si="1"/>
        <v>37.349820896103118</v>
      </c>
      <c r="I27" s="22">
        <f t="shared" si="2"/>
        <v>36.891487562769782</v>
      </c>
      <c r="L27" s="16">
        <v>19</v>
      </c>
      <c r="M27" s="18">
        <v>1.5100000000000001E-4</v>
      </c>
      <c r="N27" s="14">
        <f t="shared" si="3"/>
        <v>0.99984899999999999</v>
      </c>
      <c r="O27" s="14">
        <f t="shared" si="7"/>
        <v>0.83375176125324679</v>
      </c>
      <c r="P27" s="14">
        <f>O27*PRODUCT($N$8:N26)</f>
        <v>0.82991884450043507</v>
      </c>
      <c r="Q27" s="14">
        <f>SUM($F27:F$127)</f>
        <v>25.798708906118566</v>
      </c>
      <c r="R27" s="14">
        <f t="shared" si="4"/>
        <v>31.085821315032259</v>
      </c>
      <c r="S27" s="22">
        <f t="shared" si="5"/>
        <v>30.627487981698927</v>
      </c>
    </row>
    <row r="28" spans="2:19" x14ac:dyDescent="0.35">
      <c r="B28" s="16">
        <v>20</v>
      </c>
      <c r="C28" s="18">
        <v>1.63E-4</v>
      </c>
      <c r="D28" s="14">
        <f t="shared" si="0"/>
        <v>0.99983699999999998</v>
      </c>
      <c r="E28" s="14">
        <f t="shared" si="6"/>
        <v>0.68070432924567137</v>
      </c>
      <c r="F28" s="14">
        <f>E28*PRODUCT($D$8:D27)</f>
        <v>0.67747268706582919</v>
      </c>
      <c r="G28" s="14">
        <f>SUM(F28:$F$127)</f>
        <v>25.107977109093795</v>
      </c>
      <c r="H28" s="14">
        <f t="shared" si="1"/>
        <v>37.061238908151118</v>
      </c>
      <c r="I28" s="22">
        <f t="shared" si="2"/>
        <v>36.602905574817783</v>
      </c>
      <c r="L28" s="16">
        <v>20</v>
      </c>
      <c r="M28" s="18">
        <v>1.63E-4</v>
      </c>
      <c r="N28" s="14">
        <f t="shared" si="3"/>
        <v>0.99983699999999998</v>
      </c>
      <c r="O28" s="14">
        <f t="shared" si="7"/>
        <v>0.82581126828893026</v>
      </c>
      <c r="P28" s="14">
        <f>O28*PRODUCT($N$8:N27)</f>
        <v>0.82189073126201162</v>
      </c>
      <c r="Q28" s="14">
        <f>SUM($F28:F$127)</f>
        <v>25.107977109093795</v>
      </c>
      <c r="R28" s="14">
        <f t="shared" si="4"/>
        <v>30.5490452125437</v>
      </c>
      <c r="S28" s="22">
        <f t="shared" si="5"/>
        <v>30.090711879210367</v>
      </c>
    </row>
    <row r="29" spans="2:19" x14ac:dyDescent="0.35">
      <c r="B29" s="16">
        <v>21</v>
      </c>
      <c r="C29" s="18">
        <v>1.8000000000000001E-4</v>
      </c>
      <c r="D29" s="14">
        <f t="shared" si="0"/>
        <v>0.99982000000000004</v>
      </c>
      <c r="E29" s="14">
        <f t="shared" si="6"/>
        <v>0.66773853249813475</v>
      </c>
      <c r="F29" s="14">
        <f>E29*PRODUCT($D$8:D28)</f>
        <v>0.66446012075083094</v>
      </c>
      <c r="G29" s="14">
        <f>SUM(F29:$F$127)</f>
        <v>24.430504422027969</v>
      </c>
      <c r="H29" s="14">
        <f t="shared" si="1"/>
        <v>36.767450233765466</v>
      </c>
      <c r="I29" s="22">
        <f t="shared" si="2"/>
        <v>36.30911690043213</v>
      </c>
      <c r="L29" s="16">
        <v>21</v>
      </c>
      <c r="M29" s="18">
        <v>1.8000000000000001E-4</v>
      </c>
      <c r="N29" s="14">
        <f t="shared" si="3"/>
        <v>0.99982000000000004</v>
      </c>
      <c r="O29" s="14">
        <f t="shared" si="7"/>
        <v>0.81794639906713096</v>
      </c>
      <c r="P29" s="14">
        <f>O29*PRODUCT($N$8:N28)</f>
        <v>0.81393050818640811</v>
      </c>
      <c r="Q29" s="14">
        <f>SUM($F29:F$127)</f>
        <v>24.430504422027969</v>
      </c>
      <c r="R29" s="14">
        <f t="shared" si="4"/>
        <v>30.015467139158815</v>
      </c>
      <c r="S29" s="22">
        <f t="shared" si="5"/>
        <v>29.557133805825483</v>
      </c>
    </row>
    <row r="30" spans="2:19" x14ac:dyDescent="0.35">
      <c r="B30" s="16">
        <v>22</v>
      </c>
      <c r="C30" s="18">
        <v>1.9599999999999999E-4</v>
      </c>
      <c r="D30" s="14">
        <f t="shared" si="0"/>
        <v>0.99980400000000003</v>
      </c>
      <c r="E30" s="14">
        <f t="shared" si="6"/>
        <v>0.6550197033076941</v>
      </c>
      <c r="F30" s="14">
        <f>E30*PRODUCT($D$8:D29)</f>
        <v>0.65168641282568451</v>
      </c>
      <c r="G30" s="14">
        <f>SUM(F30:$F$127)</f>
        <v>23.766044301277137</v>
      </c>
      <c r="H30" s="14">
        <f t="shared" si="1"/>
        <v>36.468528165607417</v>
      </c>
      <c r="I30" s="22">
        <f t="shared" si="2"/>
        <v>36.010194832274081</v>
      </c>
      <c r="L30" s="16">
        <v>22</v>
      </c>
      <c r="M30" s="18">
        <v>1.9599999999999999E-4</v>
      </c>
      <c r="N30" s="14">
        <f t="shared" si="3"/>
        <v>0.99980400000000003</v>
      </c>
      <c r="O30" s="14">
        <f t="shared" si="7"/>
        <v>0.81015643336172971</v>
      </c>
      <c r="P30" s="14">
        <f>O30*PRODUCT($N$8:N29)</f>
        <v>0.80603367687879235</v>
      </c>
      <c r="Q30" s="14">
        <f>SUM($F30:F$127)</f>
        <v>23.766044301277137</v>
      </c>
      <c r="R30" s="14">
        <f t="shared" si="4"/>
        <v>29.485175350621194</v>
      </c>
      <c r="S30" s="22">
        <f t="shared" si="5"/>
        <v>29.026842017287862</v>
      </c>
    </row>
    <row r="31" spans="2:19" x14ac:dyDescent="0.35">
      <c r="B31" s="16">
        <v>23</v>
      </c>
      <c r="C31" s="18">
        <v>2.0900000000000001E-4</v>
      </c>
      <c r="D31" s="14">
        <f t="shared" si="0"/>
        <v>0.99979099999999999</v>
      </c>
      <c r="E31" s="14">
        <f t="shared" si="6"/>
        <v>0.6425431375304046</v>
      </c>
      <c r="F31" s="14">
        <f>E31*PRODUCT($D$8:D30)</f>
        <v>0.63914804072136544</v>
      </c>
      <c r="G31" s="14">
        <f>SUM(F31:$F$127)</f>
        <v>23.114357888451455</v>
      </c>
      <c r="H31" s="14">
        <f t="shared" si="1"/>
        <v>36.164325658205506</v>
      </c>
      <c r="I31" s="22">
        <f t="shared" si="2"/>
        <v>35.70599232487217</v>
      </c>
      <c r="L31" s="16">
        <v>23</v>
      </c>
      <c r="M31" s="18">
        <v>2.0900000000000001E-4</v>
      </c>
      <c r="N31" s="14">
        <f t="shared" si="3"/>
        <v>0.99979099999999999</v>
      </c>
      <c r="O31" s="14">
        <f t="shared" si="7"/>
        <v>0.80244065780590379</v>
      </c>
      <c r="P31" s="14">
        <f>O31*PRODUCT($N$8:N30)</f>
        <v>0.79820068766595165</v>
      </c>
      <c r="Q31" s="14">
        <f>SUM($F31:F$127)</f>
        <v>23.114357888451455</v>
      </c>
      <c r="R31" s="14">
        <f t="shared" si="4"/>
        <v>28.958078144534063</v>
      </c>
      <c r="S31" s="22">
        <f t="shared" si="5"/>
        <v>28.499744811200731</v>
      </c>
    </row>
    <row r="32" spans="2:19" x14ac:dyDescent="0.35">
      <c r="B32" s="16">
        <v>24</v>
      </c>
      <c r="C32" s="18">
        <v>2.1900000000000001E-4</v>
      </c>
      <c r="D32" s="14">
        <f t="shared" si="0"/>
        <v>0.99978100000000003</v>
      </c>
      <c r="E32" s="14">
        <f t="shared" si="6"/>
        <v>0.63030422062506353</v>
      </c>
      <c r="F32" s="14">
        <f>E32*PRODUCT($D$8:D31)</f>
        <v>0.62684275480407647</v>
      </c>
      <c r="G32" s="14">
        <f>SUM(F32:$F$127)</f>
        <v>22.475209847730092</v>
      </c>
      <c r="H32" s="14">
        <f t="shared" si="1"/>
        <v>35.854621714108916</v>
      </c>
      <c r="I32" s="22">
        <f t="shared" si="2"/>
        <v>35.39628838077558</v>
      </c>
      <c r="L32" s="16">
        <v>24</v>
      </c>
      <c r="M32" s="18">
        <v>2.1900000000000001E-4</v>
      </c>
      <c r="N32" s="14">
        <f t="shared" si="3"/>
        <v>0.99978100000000003</v>
      </c>
      <c r="O32" s="14">
        <f t="shared" si="7"/>
        <v>0.79479836582679997</v>
      </c>
      <c r="P32" s="14">
        <f>O32*PRODUCT($N$8:N31)</f>
        <v>0.79043354121058917</v>
      </c>
      <c r="Q32" s="14">
        <f>SUM($F32:F$127)</f>
        <v>22.475209847730092</v>
      </c>
      <c r="R32" s="14">
        <f t="shared" si="4"/>
        <v>28.434028512135459</v>
      </c>
      <c r="S32" s="22">
        <f t="shared" si="5"/>
        <v>27.975695178802127</v>
      </c>
    </row>
    <row r="33" spans="2:19" x14ac:dyDescent="0.35">
      <c r="B33" s="16">
        <v>25</v>
      </c>
      <c r="C33" s="18">
        <v>2.1599999999999999E-4</v>
      </c>
      <c r="D33" s="14">
        <f t="shared" si="0"/>
        <v>0.99978400000000001</v>
      </c>
      <c r="E33" s="14">
        <f t="shared" si="6"/>
        <v>0.61829842594649087</v>
      </c>
      <c r="F33" s="14">
        <f>E33*PRODUCT($D$8:D32)</f>
        <v>0.61476822907428341</v>
      </c>
      <c r="G33" s="14">
        <f>SUM(F33:$F$127)</f>
        <v>21.848367092926019</v>
      </c>
      <c r="H33" s="14">
        <f t="shared" si="1"/>
        <v>35.539193568648201</v>
      </c>
      <c r="I33" s="22">
        <f t="shared" si="2"/>
        <v>35.080860235314866</v>
      </c>
      <c r="L33" s="16">
        <v>25</v>
      </c>
      <c r="M33" s="18">
        <v>2.1599999999999999E-4</v>
      </c>
      <c r="N33" s="14">
        <f t="shared" si="3"/>
        <v>0.99978400000000001</v>
      </c>
      <c r="O33" s="14">
        <f t="shared" si="7"/>
        <v>0.7872288575808305</v>
      </c>
      <c r="P33" s="14">
        <f>O33*PRODUCT($N$8:N32)</f>
        <v>0.78273414639587302</v>
      </c>
      <c r="Q33" s="14">
        <f>SUM($F33:F$127)</f>
        <v>21.848367092926019</v>
      </c>
      <c r="R33" s="14">
        <f t="shared" si="4"/>
        <v>27.91288356784688</v>
      </c>
      <c r="S33" s="22">
        <f t="shared" si="5"/>
        <v>27.454550234513547</v>
      </c>
    </row>
    <row r="34" spans="2:19" x14ac:dyDescent="0.35">
      <c r="B34" s="16">
        <v>26</v>
      </c>
      <c r="C34" s="18">
        <v>2.1599999999999999E-4</v>
      </c>
      <c r="D34" s="14">
        <f t="shared" si="0"/>
        <v>0.99978400000000001</v>
      </c>
      <c r="E34" s="14">
        <f t="shared" si="6"/>
        <v>0.60652131307131951</v>
      </c>
      <c r="F34" s="14">
        <f>E34*PRODUCT($D$8:D33)</f>
        <v>0.60292809743895937</v>
      </c>
      <c r="G34" s="14">
        <f>SUM(F34:$F$127)</f>
        <v>21.233598863851736</v>
      </c>
      <c r="H34" s="14">
        <f t="shared" si="1"/>
        <v>35.217464493768148</v>
      </c>
      <c r="I34" s="22">
        <f t="shared" si="2"/>
        <v>34.759131160434812</v>
      </c>
      <c r="L34" s="16">
        <v>26</v>
      </c>
      <c r="M34" s="18">
        <v>2.1599999999999999E-4</v>
      </c>
      <c r="N34" s="14">
        <f t="shared" si="3"/>
        <v>0.99978400000000001</v>
      </c>
      <c r="O34" s="14">
        <f t="shared" si="7"/>
        <v>0.77973143988958449</v>
      </c>
      <c r="P34" s="14">
        <f>O34*PRODUCT($N$8:N33)</f>
        <v>0.77511207509815383</v>
      </c>
      <c r="Q34" s="14">
        <f>SUM($F34:F$127)</f>
        <v>21.233598863851736</v>
      </c>
      <c r="R34" s="14">
        <f t="shared" si="4"/>
        <v>27.39423051971276</v>
      </c>
      <c r="S34" s="22">
        <f t="shared" si="5"/>
        <v>26.935897186379428</v>
      </c>
    </row>
    <row r="35" spans="2:19" x14ac:dyDescent="0.35">
      <c r="B35" s="16">
        <v>27</v>
      </c>
      <c r="C35" s="18">
        <v>2.1900000000000001E-4</v>
      </c>
      <c r="D35" s="14">
        <f t="shared" si="0"/>
        <v>0.99978100000000003</v>
      </c>
      <c r="E35" s="14">
        <f t="shared" si="6"/>
        <v>0.59496852615567541</v>
      </c>
      <c r="F35" s="14">
        <f>E35*PRODUCT($D$8:D34)</f>
        <v>0.5913160008752476</v>
      </c>
      <c r="G35" s="14">
        <f>SUM(F35:$F$127)</f>
        <v>20.630670766412777</v>
      </c>
      <c r="H35" s="14">
        <f t="shared" si="1"/>
        <v>34.88941739421206</v>
      </c>
      <c r="I35" s="22">
        <f t="shared" si="2"/>
        <v>34.431084060878725</v>
      </c>
      <c r="L35" s="16">
        <v>27</v>
      </c>
      <c r="M35" s="18">
        <v>2.1900000000000001E-4</v>
      </c>
      <c r="N35" s="14">
        <f t="shared" si="3"/>
        <v>0.99978100000000003</v>
      </c>
      <c r="O35" s="14">
        <f t="shared" si="7"/>
        <v>0.77230542617635045</v>
      </c>
      <c r="P35" s="14">
        <f>O35*PRODUCT($N$8:N34)</f>
        <v>0.76756422564336202</v>
      </c>
      <c r="Q35" s="14">
        <f>SUM($F35:F$127)</f>
        <v>20.630670766412777</v>
      </c>
      <c r="R35" s="14">
        <f t="shared" si="4"/>
        <v>26.878103586863269</v>
      </c>
      <c r="S35" s="22">
        <f t="shared" si="5"/>
        <v>26.419770253529936</v>
      </c>
    </row>
    <row r="36" spans="2:19" x14ac:dyDescent="0.35">
      <c r="B36" s="16">
        <v>28</v>
      </c>
      <c r="C36" s="18">
        <v>2.2599999999999999E-4</v>
      </c>
      <c r="D36" s="14">
        <f t="shared" si="0"/>
        <v>0.99977400000000005</v>
      </c>
      <c r="E36" s="14">
        <f t="shared" si="6"/>
        <v>0.58363579232413865</v>
      </c>
      <c r="F36" s="14">
        <f>E36*PRODUCT($D$8:D35)</f>
        <v>0.57992580738208344</v>
      </c>
      <c r="G36" s="14">
        <f>SUM(F36:$F$127)</f>
        <v>20.039354765537528</v>
      </c>
      <c r="H36" s="14">
        <f t="shared" si="1"/>
        <v>34.555031885888503</v>
      </c>
      <c r="I36" s="22">
        <f t="shared" si="2"/>
        <v>34.096698552555168</v>
      </c>
      <c r="L36" s="16">
        <v>28</v>
      </c>
      <c r="M36" s="18">
        <v>2.2599999999999999E-4</v>
      </c>
      <c r="N36" s="14">
        <f t="shared" si="3"/>
        <v>0.99977400000000005</v>
      </c>
      <c r="O36" s="14">
        <f t="shared" si="7"/>
        <v>0.76495013640324239</v>
      </c>
      <c r="P36" s="14">
        <f>O36*PRODUCT($N$8:N35)</f>
        <v>0.76008759451529906</v>
      </c>
      <c r="Q36" s="14">
        <f>SUM($F36:F$127)</f>
        <v>20.039354765537528</v>
      </c>
      <c r="R36" s="14">
        <f t="shared" si="4"/>
        <v>26.364533390807992</v>
      </c>
      <c r="S36" s="22">
        <f t="shared" si="5"/>
        <v>25.90620005747466</v>
      </c>
    </row>
    <row r="37" spans="2:19" x14ac:dyDescent="0.35">
      <c r="B37" s="16">
        <v>29</v>
      </c>
      <c r="C37" s="18">
        <v>2.3699999999999999E-4</v>
      </c>
      <c r="D37" s="14">
        <f t="shared" si="0"/>
        <v>0.99976299999999996</v>
      </c>
      <c r="E37" s="14">
        <f t="shared" si="6"/>
        <v>0.57251892008939309</v>
      </c>
      <c r="F37" s="14">
        <f>E37*PRODUCT($D$8:D36)</f>
        <v>0.56875103473724131</v>
      </c>
      <c r="G37" s="14">
        <f>SUM(F37:$F$127)</f>
        <v>19.459428958155442</v>
      </c>
      <c r="H37" s="14">
        <f t="shared" si="1"/>
        <v>34.214318339034847</v>
      </c>
      <c r="I37" s="22">
        <f t="shared" si="2"/>
        <v>33.755985005701511</v>
      </c>
      <c r="L37" s="16">
        <v>29</v>
      </c>
      <c r="M37" s="18">
        <v>2.3699999999999999E-4</v>
      </c>
      <c r="N37" s="14">
        <f t="shared" si="3"/>
        <v>0.99976299999999996</v>
      </c>
      <c r="O37" s="14">
        <f t="shared" si="7"/>
        <v>0.75766489700892581</v>
      </c>
      <c r="P37" s="14">
        <f>O37*PRODUCT($N$8:N36)</f>
        <v>0.75267852124542489</v>
      </c>
      <c r="Q37" s="14">
        <f>SUM($F37:F$127)</f>
        <v>19.459428958155442</v>
      </c>
      <c r="R37" s="14">
        <f t="shared" si="4"/>
        <v>25.853572818786908</v>
      </c>
      <c r="S37" s="22">
        <f t="shared" si="5"/>
        <v>25.395239485453576</v>
      </c>
    </row>
    <row r="38" spans="2:19" x14ac:dyDescent="0.35">
      <c r="B38" s="16">
        <v>30</v>
      </c>
      <c r="C38" s="18">
        <v>2.5000000000000001E-4</v>
      </c>
      <c r="D38" s="14">
        <f t="shared" si="0"/>
        <v>0.99975000000000003</v>
      </c>
      <c r="E38" s="14">
        <f t="shared" si="6"/>
        <v>0.56161379780197607</v>
      </c>
      <c r="F38" s="14">
        <f>E38*PRODUCT($D$8:D37)</f>
        <v>0.55778545520406553</v>
      </c>
      <c r="G38" s="14">
        <f>SUM(F38:$F$127)</f>
        <v>18.890677923418203</v>
      </c>
      <c r="H38" s="14">
        <f t="shared" si="1"/>
        <v>33.86728310530625</v>
      </c>
      <c r="I38" s="22">
        <f t="shared" si="2"/>
        <v>33.408949771972914</v>
      </c>
      <c r="L38" s="16">
        <v>30</v>
      </c>
      <c r="M38" s="18">
        <v>2.5000000000000001E-4</v>
      </c>
      <c r="N38" s="14">
        <f t="shared" si="3"/>
        <v>0.99975000000000003</v>
      </c>
      <c r="O38" s="14">
        <f t="shared" si="7"/>
        <v>0.75044904084693609</v>
      </c>
      <c r="P38" s="14">
        <f>O38*PRODUCT($N$8:N37)</f>
        <v>0.74533346846983362</v>
      </c>
      <c r="Q38" s="14">
        <f>SUM($F38:F$127)</f>
        <v>18.890677923418203</v>
      </c>
      <c r="R38" s="14">
        <f t="shared" si="4"/>
        <v>25.345269899392392</v>
      </c>
      <c r="S38" s="22">
        <f t="shared" si="5"/>
        <v>24.88693656605906</v>
      </c>
    </row>
    <row r="39" spans="2:19" x14ac:dyDescent="0.35">
      <c r="B39" s="16">
        <v>31</v>
      </c>
      <c r="C39" s="18">
        <v>2.6600000000000001E-4</v>
      </c>
      <c r="D39" s="14">
        <f t="shared" si="0"/>
        <v>0.99973400000000001</v>
      </c>
      <c r="E39" s="14">
        <f t="shared" si="6"/>
        <v>0.55091639212955745</v>
      </c>
      <c r="F39" s="14">
        <f>E39*PRODUCT($D$8:D38)</f>
        <v>0.54702418010044995</v>
      </c>
      <c r="G39" s="14">
        <f>SUM(F39:$F$127)</f>
        <v>18.332892468214141</v>
      </c>
      <c r="H39" s="14">
        <f t="shared" si="1"/>
        <v>33.513861242564587</v>
      </c>
      <c r="I39" s="22">
        <f t="shared" si="2"/>
        <v>33.055527909231252</v>
      </c>
      <c r="L39" s="16">
        <v>31</v>
      </c>
      <c r="M39" s="18">
        <v>2.6600000000000001E-4</v>
      </c>
      <c r="N39" s="14">
        <f t="shared" si="3"/>
        <v>0.99973400000000001</v>
      </c>
      <c r="O39" s="14">
        <f t="shared" si="7"/>
        <v>0.74330190712458433</v>
      </c>
      <c r="P39" s="14">
        <f>O39*PRODUCT($N$8:N38)</f>
        <v>0.73805049572078563</v>
      </c>
      <c r="Q39" s="14">
        <f>SUM($F39:F$127)</f>
        <v>18.332892468214141</v>
      </c>
      <c r="R39" s="14">
        <f t="shared" si="4"/>
        <v>24.839618121670796</v>
      </c>
      <c r="S39" s="22">
        <f t="shared" si="5"/>
        <v>24.381284788337464</v>
      </c>
    </row>
    <row r="40" spans="2:19" x14ac:dyDescent="0.35">
      <c r="B40" s="16">
        <v>32</v>
      </c>
      <c r="C40" s="18">
        <v>2.8400000000000002E-4</v>
      </c>
      <c r="D40" s="14">
        <f t="shared" si="0"/>
        <v>0.99971600000000005</v>
      </c>
      <c r="E40" s="14">
        <f t="shared" si="6"/>
        <v>0.54042274656518485</v>
      </c>
      <c r="F40" s="14">
        <f>E40*PRODUCT($D$8:D39)</f>
        <v>0.53646193506533291</v>
      </c>
      <c r="G40" s="14">
        <f>SUM(F40:$F$127)</f>
        <v>17.785868288113686</v>
      </c>
      <c r="H40" s="14">
        <f t="shared" si="1"/>
        <v>33.15401732267852</v>
      </c>
      <c r="I40" s="22">
        <f t="shared" si="2"/>
        <v>32.695683989345184</v>
      </c>
      <c r="L40" s="16">
        <v>32</v>
      </c>
      <c r="M40" s="18">
        <v>2.8400000000000002E-4</v>
      </c>
      <c r="N40" s="14">
        <f t="shared" si="3"/>
        <v>0.99971600000000005</v>
      </c>
      <c r="O40" s="14">
        <f t="shared" si="7"/>
        <v>0.73622284134244553</v>
      </c>
      <c r="P40" s="14">
        <f>O40*PRODUCT($N$8:N39)</f>
        <v>0.73082699167664855</v>
      </c>
      <c r="Q40" s="14">
        <f>SUM($F40:F$127)</f>
        <v>17.785868288113686</v>
      </c>
      <c r="R40" s="14">
        <f t="shared" si="4"/>
        <v>24.336633007094751</v>
      </c>
      <c r="S40" s="22">
        <f t="shared" si="5"/>
        <v>23.878299673761418</v>
      </c>
    </row>
    <row r="41" spans="2:19" x14ac:dyDescent="0.35">
      <c r="B41" s="16">
        <v>33</v>
      </c>
      <c r="C41" s="18">
        <v>3.0299999999999999E-4</v>
      </c>
      <c r="D41" s="14">
        <f t="shared" si="0"/>
        <v>0.99969699999999995</v>
      </c>
      <c r="E41" s="14">
        <f t="shared" si="6"/>
        <v>0.53012897996394326</v>
      </c>
      <c r="F41" s="14">
        <f>E41*PRODUCT($D$8:D40)</f>
        <v>0.52609415930671199</v>
      </c>
      <c r="G41" s="14">
        <f>SUM(F41:$F$127)</f>
        <v>17.24940635304835</v>
      </c>
      <c r="H41" s="14">
        <f t="shared" si="1"/>
        <v>32.787678874404641</v>
      </c>
      <c r="I41" s="22">
        <f t="shared" si="2"/>
        <v>32.329345541071305</v>
      </c>
      <c r="L41" s="16">
        <v>33</v>
      </c>
      <c r="M41" s="18">
        <v>3.0299999999999999E-4</v>
      </c>
      <c r="N41" s="14">
        <f t="shared" si="3"/>
        <v>0.99969699999999995</v>
      </c>
      <c r="O41" s="14">
        <f t="shared" si="7"/>
        <v>0.72921119523442224</v>
      </c>
      <c r="P41" s="14">
        <f>O41*PRODUCT($N$8:N40)</f>
        <v>0.72366115646043139</v>
      </c>
      <c r="Q41" s="14">
        <f>SUM($F41:F$127)</f>
        <v>17.24940635304835</v>
      </c>
      <c r="R41" s="14">
        <f t="shared" si="4"/>
        <v>23.836302666041355</v>
      </c>
      <c r="S41" s="22">
        <f t="shared" si="5"/>
        <v>23.377969332708023</v>
      </c>
    </row>
    <row r="42" spans="2:19" x14ac:dyDescent="0.35">
      <c r="B42" s="16">
        <v>34</v>
      </c>
      <c r="C42" s="18">
        <v>3.21E-4</v>
      </c>
      <c r="D42" s="14">
        <f t="shared" si="0"/>
        <v>0.99967899999999998</v>
      </c>
      <c r="E42" s="14">
        <f t="shared" si="6"/>
        <v>0.52003128510748708</v>
      </c>
      <c r="F42" s="14">
        <f>E42*PRODUCT($D$8:D41)</f>
        <v>0.51591694796165266</v>
      </c>
      <c r="G42" s="14">
        <f>SUM(F42:$F$127)</f>
        <v>16.723312193741641</v>
      </c>
      <c r="H42" s="14">
        <f t="shared" si="1"/>
        <v>32.414737022720679</v>
      </c>
      <c r="I42" s="22">
        <f t="shared" si="2"/>
        <v>31.956403689387347</v>
      </c>
      <c r="L42" s="16">
        <v>34</v>
      </c>
      <c r="M42" s="18">
        <v>3.21E-4</v>
      </c>
      <c r="N42" s="14">
        <f t="shared" si="3"/>
        <v>0.99967899999999998</v>
      </c>
      <c r="O42" s="14">
        <f t="shared" si="7"/>
        <v>0.7222663267083802</v>
      </c>
      <c r="P42" s="14">
        <f>O42*PRODUCT($N$8:N41)</f>
        <v>0.71655196439545232</v>
      </c>
      <c r="Q42" s="14">
        <f>SUM($F42:F$127)</f>
        <v>16.723312193741641</v>
      </c>
      <c r="R42" s="14">
        <f t="shared" si="4"/>
        <v>23.338589557633732</v>
      </c>
      <c r="S42" s="22">
        <f t="shared" si="5"/>
        <v>22.8802562243004</v>
      </c>
    </row>
    <row r="43" spans="2:19" x14ac:dyDescent="0.35">
      <c r="B43" s="16">
        <v>35</v>
      </c>
      <c r="C43" s="18">
        <v>3.3799999999999998E-4</v>
      </c>
      <c r="D43" s="14">
        <f t="shared" si="0"/>
        <v>0.99966200000000005</v>
      </c>
      <c r="E43" s="14">
        <f t="shared" si="6"/>
        <v>0.51012592729591588</v>
      </c>
      <c r="F43" s="14">
        <f>E43*PRODUCT($D$8:D42)</f>
        <v>0.50592750359999772</v>
      </c>
      <c r="G43" s="14">
        <f>SUM(F43:$F$127)</f>
        <v>16.207395245779992</v>
      </c>
      <c r="H43" s="14">
        <f t="shared" si="1"/>
        <v>32.035015156230905</v>
      </c>
      <c r="I43" s="22">
        <f t="shared" si="2"/>
        <v>31.576681822897573</v>
      </c>
      <c r="L43" s="16">
        <v>35</v>
      </c>
      <c r="M43" s="18">
        <v>3.3799999999999998E-4</v>
      </c>
      <c r="N43" s="14">
        <f t="shared" si="3"/>
        <v>0.99966200000000005</v>
      </c>
      <c r="O43" s="14">
        <f t="shared" si="7"/>
        <v>0.71538759978734801</v>
      </c>
      <c r="P43" s="14">
        <f>O43*PRODUCT($N$8:N42)</f>
        <v>0.70949983739378719</v>
      </c>
      <c r="Q43" s="14">
        <f>SUM($F43:F$127)</f>
        <v>16.207395245779992</v>
      </c>
      <c r="R43" s="14">
        <f t="shared" si="4"/>
        <v>22.843409387259026</v>
      </c>
      <c r="S43" s="22">
        <f t="shared" si="5"/>
        <v>22.385076053925694</v>
      </c>
    </row>
    <row r="44" spans="2:19" x14ac:dyDescent="0.35">
      <c r="B44" s="16">
        <v>36</v>
      </c>
      <c r="C44" s="18">
        <v>3.5300000000000002E-4</v>
      </c>
      <c r="D44" s="14">
        <f t="shared" si="0"/>
        <v>0.99964699999999995</v>
      </c>
      <c r="E44" s="14">
        <f t="shared" si="6"/>
        <v>0.50040924296646982</v>
      </c>
      <c r="F44" s="14">
        <f>E44*PRODUCT($D$8:D43)</f>
        <v>0.49612304295894699</v>
      </c>
      <c r="G44" s="14">
        <f>SUM(F44:$F$127)</f>
        <v>15.701467742179982</v>
      </c>
      <c r="H44" s="14">
        <f t="shared" si="1"/>
        <v>31.648333946623886</v>
      </c>
      <c r="I44" s="22">
        <f t="shared" si="2"/>
        <v>31.190000613290554</v>
      </c>
      <c r="L44" s="16">
        <v>36</v>
      </c>
      <c r="M44" s="18">
        <v>3.5300000000000002E-4</v>
      </c>
      <c r="N44" s="14">
        <f t="shared" si="3"/>
        <v>0.99964699999999995</v>
      </c>
      <c r="O44" s="14">
        <f t="shared" si="7"/>
        <v>0.70857438455127808</v>
      </c>
      <c r="P44" s="14">
        <f>O44*PRODUCT($N$8:N43)</f>
        <v>0.70250516905399818</v>
      </c>
      <c r="Q44" s="14">
        <f>SUM($F44:F$127)</f>
        <v>15.701467742179982</v>
      </c>
      <c r="R44" s="14">
        <f t="shared" si="4"/>
        <v>22.350679302934903</v>
      </c>
      <c r="S44" s="22">
        <f t="shared" si="5"/>
        <v>21.892345969601571</v>
      </c>
    </row>
    <row r="45" spans="2:19" x14ac:dyDescent="0.35">
      <c r="B45" s="16">
        <v>37</v>
      </c>
      <c r="C45" s="18">
        <v>3.6999999999999999E-4</v>
      </c>
      <c r="D45" s="14">
        <f t="shared" si="0"/>
        <v>0.99963000000000002</v>
      </c>
      <c r="E45" s="14">
        <f t="shared" si="6"/>
        <v>0.49087763833853709</v>
      </c>
      <c r="F45" s="14">
        <f>E45*PRODUCT($D$8:D44)</f>
        <v>0.48650128463859615</v>
      </c>
      <c r="G45" s="14">
        <f>SUM(F45:$F$127)</f>
        <v>15.205344699221035</v>
      </c>
      <c r="H45" s="14">
        <f t="shared" si="1"/>
        <v>31.254480058601541</v>
      </c>
      <c r="I45" s="22">
        <f t="shared" si="2"/>
        <v>30.796146725268208</v>
      </c>
      <c r="L45" s="16">
        <v>37</v>
      </c>
      <c r="M45" s="18">
        <v>3.6999999999999999E-4</v>
      </c>
      <c r="N45" s="14">
        <f t="shared" si="3"/>
        <v>0.99963000000000002</v>
      </c>
      <c r="O45" s="14">
        <f t="shared" si="7"/>
        <v>0.70182605707936119</v>
      </c>
      <c r="P45" s="14">
        <f>O45*PRODUCT($N$8:N44)</f>
        <v>0.69556902106523344</v>
      </c>
      <c r="Q45" s="14">
        <f>SUM($F45:F$127)</f>
        <v>15.205344699221035</v>
      </c>
      <c r="R45" s="14">
        <f t="shared" si="4"/>
        <v>21.860296014814917</v>
      </c>
      <c r="S45" s="22">
        <f t="shared" si="5"/>
        <v>21.401962681481585</v>
      </c>
    </row>
    <row r="46" spans="2:19" x14ac:dyDescent="0.35">
      <c r="B46" s="16">
        <v>38</v>
      </c>
      <c r="C46" s="18">
        <v>3.88E-4</v>
      </c>
      <c r="D46" s="14">
        <f t="shared" si="0"/>
        <v>0.99961199999999995</v>
      </c>
      <c r="E46" s="14">
        <f t="shared" si="6"/>
        <v>0.48152758808446972</v>
      </c>
      <c r="F46" s="14">
        <f>E46*PRODUCT($D$8:D45)</f>
        <v>0.47705801670302694</v>
      </c>
      <c r="G46" s="14">
        <f>SUM(F46:$F$127)</f>
        <v>14.718843414582439</v>
      </c>
      <c r="H46" s="14">
        <f t="shared" si="1"/>
        <v>30.853361434538172</v>
      </c>
      <c r="I46" s="22">
        <f t="shared" si="2"/>
        <v>30.39502810120484</v>
      </c>
      <c r="L46" s="16">
        <v>38</v>
      </c>
      <c r="M46" s="18">
        <v>3.88E-4</v>
      </c>
      <c r="N46" s="14">
        <f t="shared" si="3"/>
        <v>0.99961199999999995</v>
      </c>
      <c r="O46" s="14">
        <f t="shared" si="7"/>
        <v>0.69514199939289112</v>
      </c>
      <c r="P46" s="14">
        <f>O46*PRODUCT($N$8:N45)</f>
        <v>0.68868964471289229</v>
      </c>
      <c r="Q46" s="14">
        <f>SUM($F46:F$127)</f>
        <v>14.718843414582439</v>
      </c>
      <c r="R46" s="14">
        <f t="shared" si="4"/>
        <v>21.372244417466995</v>
      </c>
      <c r="S46" s="22">
        <f t="shared" si="5"/>
        <v>20.913911084133662</v>
      </c>
    </row>
    <row r="47" spans="2:19" x14ac:dyDescent="0.35">
      <c r="B47" s="16">
        <v>39</v>
      </c>
      <c r="C47" s="18">
        <v>4.0900000000000002E-4</v>
      </c>
      <c r="D47" s="14">
        <f t="shared" si="0"/>
        <v>0.99959100000000001</v>
      </c>
      <c r="E47" s="14">
        <f t="shared" si="6"/>
        <v>0.4723556340257179</v>
      </c>
      <c r="F47" s="14">
        <f>E47*PRODUCT($D$8:D46)</f>
        <v>0.46778962451268813</v>
      </c>
      <c r="G47" s="14">
        <f>SUM(F47:$F$127)</f>
        <v>14.241785397879411</v>
      </c>
      <c r="H47" s="14">
        <f t="shared" si="1"/>
        <v>30.444850957768779</v>
      </c>
      <c r="I47" s="22">
        <f t="shared" si="2"/>
        <v>29.986517624435447</v>
      </c>
      <c r="L47" s="16">
        <v>39</v>
      </c>
      <c r="M47" s="18">
        <v>4.0900000000000002E-4</v>
      </c>
      <c r="N47" s="14">
        <f t="shared" si="3"/>
        <v>0.99959100000000001</v>
      </c>
      <c r="O47" s="14">
        <f t="shared" si="7"/>
        <v>0.68852159939867308</v>
      </c>
      <c r="P47" s="14">
        <f>O47*PRODUCT($N$8:N46)</f>
        <v>0.68186602900568893</v>
      </c>
      <c r="Q47" s="14">
        <f>SUM($F47:F$127)</f>
        <v>14.241785397879411</v>
      </c>
      <c r="R47" s="14">
        <f t="shared" si="4"/>
        <v>20.886486189445566</v>
      </c>
      <c r="S47" s="22">
        <f t="shared" si="5"/>
        <v>20.428152856112234</v>
      </c>
    </row>
    <row r="48" spans="2:19" x14ac:dyDescent="0.35">
      <c r="B48" s="16">
        <v>40</v>
      </c>
      <c r="C48" s="18">
        <v>4.3300000000000001E-4</v>
      </c>
      <c r="D48" s="14">
        <f t="shared" si="0"/>
        <v>0.99956699999999998</v>
      </c>
      <c r="E48" s="14">
        <f t="shared" si="6"/>
        <v>0.4633583838537994</v>
      </c>
      <c r="F48" s="14">
        <f>E48*PRODUCT($D$8:D47)</f>
        <v>0.45869166429804786</v>
      </c>
      <c r="G48" s="14">
        <f>SUM(F48:$F$127)</f>
        <v>13.773995773366725</v>
      </c>
      <c r="H48" s="14">
        <f t="shared" si="1"/>
        <v>30.028877447436415</v>
      </c>
      <c r="I48" s="22">
        <f t="shared" si="2"/>
        <v>29.570544114103082</v>
      </c>
      <c r="L48" s="16">
        <v>40</v>
      </c>
      <c r="M48" s="18">
        <v>4.3300000000000001E-4</v>
      </c>
      <c r="N48" s="14">
        <f t="shared" si="3"/>
        <v>0.99956699999999998</v>
      </c>
      <c r="O48" s="14">
        <f t="shared" si="7"/>
        <v>0.68196425083297152</v>
      </c>
      <c r="P48" s="14">
        <f>O48*PRODUCT($N$8:N47)</f>
        <v>0.67509583964935116</v>
      </c>
      <c r="Q48" s="14">
        <f>SUM($F48:F$127)</f>
        <v>13.773995773366725</v>
      </c>
      <c r="R48" s="14">
        <f t="shared" si="4"/>
        <v>20.403022747882762</v>
      </c>
      <c r="S48" s="22">
        <f t="shared" si="5"/>
        <v>19.94468941454943</v>
      </c>
    </row>
    <row r="49" spans="2:19" x14ac:dyDescent="0.35">
      <c r="B49" s="16">
        <v>41</v>
      </c>
      <c r="C49" s="18">
        <v>4.5899999999999999E-4</v>
      </c>
      <c r="D49" s="14">
        <f t="shared" si="0"/>
        <v>0.99954100000000001</v>
      </c>
      <c r="E49" s="14">
        <f t="shared" si="6"/>
        <v>0.45453250987563176</v>
      </c>
      <c r="F49" s="14">
        <f>E49*PRODUCT($D$8:D48)</f>
        <v>0.44975984983964662</v>
      </c>
      <c r="G49" s="14">
        <f>SUM(F49:$F$127)</f>
        <v>13.315304109068677</v>
      </c>
      <c r="H49" s="14">
        <f t="shared" si="1"/>
        <v>29.605364093340029</v>
      </c>
      <c r="I49" s="22">
        <f t="shared" si="2"/>
        <v>29.147030760006697</v>
      </c>
      <c r="L49" s="16">
        <v>41</v>
      </c>
      <c r="M49" s="18">
        <v>4.5899999999999999E-4</v>
      </c>
      <c r="N49" s="14">
        <f t="shared" si="3"/>
        <v>0.99954100000000001</v>
      </c>
      <c r="O49" s="14">
        <f t="shared" si="7"/>
        <v>0.67546935320599089</v>
      </c>
      <c r="P49" s="14">
        <f>O49*PRODUCT($N$8:N48)</f>
        <v>0.66837682293029943</v>
      </c>
      <c r="Q49" s="14">
        <f>SUM($F49:F$127)</f>
        <v>13.315304109068677</v>
      </c>
      <c r="R49" s="14">
        <f t="shared" si="4"/>
        <v>19.921851943775795</v>
      </c>
      <c r="S49" s="22">
        <f t="shared" si="5"/>
        <v>19.463518610442463</v>
      </c>
    </row>
    <row r="50" spans="2:19" x14ac:dyDescent="0.35">
      <c r="B50" s="16">
        <v>42</v>
      </c>
      <c r="C50" s="18">
        <v>4.8899999999999996E-4</v>
      </c>
      <c r="D50" s="14">
        <f t="shared" si="0"/>
        <v>0.99951100000000004</v>
      </c>
      <c r="E50" s="14">
        <f t="shared" si="6"/>
        <v>0.44587474778276254</v>
      </c>
      <c r="F50" s="14">
        <f>E50*PRODUCT($D$8:D49)</f>
        <v>0.440990487972026</v>
      </c>
      <c r="G50" s="14">
        <f>SUM(F50:$F$127)</f>
        <v>12.865544259229029</v>
      </c>
      <c r="H50" s="14">
        <f t="shared" si="1"/>
        <v>29.174199013664776</v>
      </c>
      <c r="I50" s="22">
        <f t="shared" si="2"/>
        <v>28.715865680331444</v>
      </c>
      <c r="L50" s="16">
        <v>42</v>
      </c>
      <c r="M50" s="18">
        <v>4.8899999999999996E-4</v>
      </c>
      <c r="N50" s="14">
        <f t="shared" si="3"/>
        <v>0.99951100000000004</v>
      </c>
      <c r="O50" s="14">
        <f t="shared" si="7"/>
        <v>0.66903631174688627</v>
      </c>
      <c r="P50" s="14">
        <f>O50*PRODUCT($N$8:N49)</f>
        <v>0.6617074661783976</v>
      </c>
      <c r="Q50" s="14">
        <f>SUM($F50:F$127)</f>
        <v>12.865544259229029</v>
      </c>
      <c r="R50" s="14">
        <f t="shared" si="4"/>
        <v>19.442948609197728</v>
      </c>
      <c r="S50" s="22">
        <f t="shared" si="5"/>
        <v>18.984615275864396</v>
      </c>
    </row>
    <row r="51" spans="2:19" x14ac:dyDescent="0.35">
      <c r="B51" s="16">
        <v>43</v>
      </c>
      <c r="C51" s="18">
        <v>5.2800000000000004E-4</v>
      </c>
      <c r="D51" s="14">
        <f t="shared" si="0"/>
        <v>0.99947200000000003</v>
      </c>
      <c r="E51" s="14">
        <f t="shared" si="6"/>
        <v>0.43738189544404327</v>
      </c>
      <c r="F51" s="14">
        <f>E51*PRODUCT($D$8:D50)</f>
        <v>0.43237913231629516</v>
      </c>
      <c r="G51" s="14">
        <f>SUM(F51:$F$127)</f>
        <v>12.424553771257001</v>
      </c>
      <c r="H51" s="14">
        <f t="shared" si="1"/>
        <v>28.735322411832211</v>
      </c>
      <c r="I51" s="22">
        <f t="shared" si="2"/>
        <v>28.276989078498879</v>
      </c>
      <c r="L51" s="16">
        <v>43</v>
      </c>
      <c r="M51" s="18">
        <v>5.2800000000000004E-4</v>
      </c>
      <c r="N51" s="14">
        <f t="shared" si="3"/>
        <v>0.99947200000000003</v>
      </c>
      <c r="O51" s="14">
        <f t="shared" si="7"/>
        <v>0.66266453734929687</v>
      </c>
      <c r="P51" s="14">
        <f>O51*PRODUCT($N$8:N50)</f>
        <v>0.65508499702527023</v>
      </c>
      <c r="Q51" s="14">
        <f>SUM($F51:F$127)</f>
        <v>12.424553771257001</v>
      </c>
      <c r="R51" s="14">
        <f t="shared" si="4"/>
        <v>18.966323191153343</v>
      </c>
      <c r="S51" s="22">
        <f t="shared" si="5"/>
        <v>18.507989857820011</v>
      </c>
    </row>
    <row r="52" spans="2:19" x14ac:dyDescent="0.35">
      <c r="B52" s="16">
        <v>44</v>
      </c>
      <c r="C52" s="18">
        <v>5.7399999999999997E-4</v>
      </c>
      <c r="D52" s="14">
        <f t="shared" si="0"/>
        <v>0.99942600000000004</v>
      </c>
      <c r="E52" s="14">
        <f t="shared" si="6"/>
        <v>0.42905081172129955</v>
      </c>
      <c r="F52" s="14">
        <f>E52*PRODUCT($D$8:D51)</f>
        <v>0.42391939163663345</v>
      </c>
      <c r="G52" s="14">
        <f>SUM(F52:$F$127)</f>
        <v>11.992174638940707</v>
      </c>
      <c r="H52" s="14">
        <f t="shared" si="1"/>
        <v>28.288808852650728</v>
      </c>
      <c r="I52" s="22">
        <f t="shared" si="2"/>
        <v>27.830475519317396</v>
      </c>
      <c r="L52" s="16">
        <v>44</v>
      </c>
      <c r="M52" s="18">
        <v>5.7399999999999997E-4</v>
      </c>
      <c r="N52" s="14">
        <f t="shared" si="3"/>
        <v>0.99942600000000004</v>
      </c>
      <c r="O52" s="14">
        <f t="shared" si="7"/>
        <v>0.65635344651739891</v>
      </c>
      <c r="P52" s="14">
        <f>O52*PRODUCT($N$8:N51)</f>
        <v>0.64850350155496639</v>
      </c>
      <c r="Q52" s="14">
        <f>SUM($F52:F$127)</f>
        <v>11.992174638940707</v>
      </c>
      <c r="R52" s="14">
        <f t="shared" si="4"/>
        <v>18.492073844144485</v>
      </c>
      <c r="S52" s="22">
        <f t="shared" si="5"/>
        <v>18.033740510811153</v>
      </c>
    </row>
    <row r="53" spans="2:19" x14ac:dyDescent="0.35">
      <c r="B53" s="16">
        <v>45</v>
      </c>
      <c r="C53" s="18">
        <v>6.2799999999999998E-4</v>
      </c>
      <c r="D53" s="14">
        <f t="shared" si="0"/>
        <v>0.99937200000000004</v>
      </c>
      <c r="E53" s="14">
        <f t="shared" si="6"/>
        <v>0.42087841530756048</v>
      </c>
      <c r="F53" s="14">
        <f>E53*PRODUCT($D$8:D52)</f>
        <v>0.41560604167905624</v>
      </c>
      <c r="G53" s="14">
        <f>SUM(F53:$F$127)</f>
        <v>11.568255247304073</v>
      </c>
      <c r="H53" s="14">
        <f t="shared" si="1"/>
        <v>27.834665734328848</v>
      </c>
      <c r="I53" s="22">
        <f t="shared" si="2"/>
        <v>27.376332400995516</v>
      </c>
      <c r="L53" s="16">
        <v>45</v>
      </c>
      <c r="M53" s="18">
        <v>6.2799999999999998E-4</v>
      </c>
      <c r="N53" s="14">
        <f t="shared" si="3"/>
        <v>0.99937200000000004</v>
      </c>
      <c r="O53" s="14">
        <f t="shared" si="7"/>
        <v>0.65010246131247129</v>
      </c>
      <c r="P53" s="14">
        <f>O53*PRODUCT($N$8:N52)</f>
        <v>0.64195858187321608</v>
      </c>
      <c r="Q53" s="14">
        <f>SUM($F53:F$127)</f>
        <v>11.568255247304073</v>
      </c>
      <c r="R53" s="14">
        <f t="shared" si="4"/>
        <v>18.020251732671362</v>
      </c>
      <c r="S53" s="22">
        <f t="shared" si="5"/>
        <v>17.56191839933803</v>
      </c>
    </row>
    <row r="54" spans="2:19" x14ac:dyDescent="0.35">
      <c r="B54" s="16">
        <v>46</v>
      </c>
      <c r="C54" s="18">
        <v>6.9399999999999996E-4</v>
      </c>
      <c r="D54" s="14">
        <f t="shared" si="0"/>
        <v>0.99930600000000003</v>
      </c>
      <c r="E54" s="14">
        <f t="shared" si="6"/>
        <v>0.41286168358741643</v>
      </c>
      <c r="F54" s="14">
        <f>E54*PRODUCT($D$8:D53)</f>
        <v>0.40743370696897924</v>
      </c>
      <c r="G54" s="14">
        <f>SUM(F54:$F$127)</f>
        <v>11.152649205625018</v>
      </c>
      <c r="H54" s="14">
        <f t="shared" si="1"/>
        <v>27.372917397023674</v>
      </c>
      <c r="I54" s="22">
        <f t="shared" si="2"/>
        <v>26.914584063690342</v>
      </c>
      <c r="L54" s="16">
        <v>46</v>
      </c>
      <c r="M54" s="18">
        <v>6.9399999999999996E-4</v>
      </c>
      <c r="N54" s="14">
        <f t="shared" si="3"/>
        <v>0.99930600000000003</v>
      </c>
      <c r="O54" s="14">
        <f t="shared" si="7"/>
        <v>0.64391100929997158</v>
      </c>
      <c r="P54" s="14">
        <f>O54*PRODUCT($N$8:N53)</f>
        <v>0.63544538015157304</v>
      </c>
      <c r="Q54" s="14">
        <f>SUM($F54:F$127)</f>
        <v>11.152649205625018</v>
      </c>
      <c r="R54" s="14">
        <f t="shared" si="4"/>
        <v>17.550917126763551</v>
      </c>
      <c r="S54" s="22">
        <f t="shared" si="5"/>
        <v>17.092583793430219</v>
      </c>
    </row>
    <row r="55" spans="2:19" x14ac:dyDescent="0.35">
      <c r="B55" s="16">
        <v>47</v>
      </c>
      <c r="C55" s="18">
        <v>7.7200000000000001E-4</v>
      </c>
      <c r="D55" s="14">
        <f t="shared" si="0"/>
        <v>0.99922800000000001</v>
      </c>
      <c r="E55" s="14">
        <f t="shared" si="6"/>
        <v>0.40499765151908473</v>
      </c>
      <c r="F55" s="14">
        <f>E55*PRODUCT($D$8:D54)</f>
        <v>0.39939569182441248</v>
      </c>
      <c r="G55" s="14">
        <f>SUM(F55:$F$127)</f>
        <v>10.745215498656036</v>
      </c>
      <c r="H55" s="14">
        <f t="shared" si="1"/>
        <v>26.903684037182821</v>
      </c>
      <c r="I55" s="22">
        <f t="shared" si="2"/>
        <v>26.445350703849488</v>
      </c>
      <c r="L55" s="16">
        <v>47</v>
      </c>
      <c r="M55" s="18">
        <v>7.7200000000000001E-4</v>
      </c>
      <c r="N55" s="14">
        <f t="shared" si="3"/>
        <v>0.99922800000000001</v>
      </c>
      <c r="O55" s="14">
        <f t="shared" si="7"/>
        <v>0.63777852349711472</v>
      </c>
      <c r="P55" s="14">
        <f>O55*PRODUCT($N$8:N54)</f>
        <v>0.62895672028576932</v>
      </c>
      <c r="Q55" s="14">
        <f>SUM($F55:F$127)</f>
        <v>10.745215498656036</v>
      </c>
      <c r="R55" s="14">
        <f t="shared" si="4"/>
        <v>17.084189026192291</v>
      </c>
      <c r="S55" s="22">
        <f t="shared" si="5"/>
        <v>16.625855692858959</v>
      </c>
    </row>
    <row r="56" spans="2:19" x14ac:dyDescent="0.35">
      <c r="B56" s="16">
        <v>48</v>
      </c>
      <c r="C56" s="18">
        <v>8.5999999999999998E-4</v>
      </c>
      <c r="D56" s="14">
        <f t="shared" si="0"/>
        <v>0.99914000000000003</v>
      </c>
      <c r="E56" s="14">
        <f t="shared" si="6"/>
        <v>0.39728341053776872</v>
      </c>
      <c r="F56" s="14">
        <f>E56*PRODUCT($D$8:D55)</f>
        <v>0.39148569438174635</v>
      </c>
      <c r="G56" s="14">
        <f>SUM(F56:$F$127)</f>
        <v>10.345819806831623</v>
      </c>
      <c r="H56" s="14">
        <f t="shared" si="1"/>
        <v>26.427069891200635</v>
      </c>
      <c r="I56" s="22">
        <f t="shared" si="2"/>
        <v>25.968736557867302</v>
      </c>
      <c r="L56" s="16">
        <v>48</v>
      </c>
      <c r="M56" s="18">
        <v>8.5999999999999998E-4</v>
      </c>
      <c r="N56" s="14">
        <f t="shared" si="3"/>
        <v>0.99914000000000003</v>
      </c>
      <c r="O56" s="14">
        <f t="shared" si="7"/>
        <v>0.6317044423209518</v>
      </c>
      <c r="P56" s="14">
        <f>O56*PRODUCT($N$8:N55)</f>
        <v>0.62248572602439733</v>
      </c>
      <c r="Q56" s="14">
        <f>SUM($F56:F$127)</f>
        <v>10.345819806831623</v>
      </c>
      <c r="R56" s="14">
        <f t="shared" si="4"/>
        <v>16.62017195624199</v>
      </c>
      <c r="S56" s="22">
        <f t="shared" si="5"/>
        <v>16.161838622908657</v>
      </c>
    </row>
    <row r="57" spans="2:19" x14ac:dyDescent="0.35">
      <c r="B57" s="16">
        <v>49</v>
      </c>
      <c r="C57" s="18">
        <v>9.6299999999999999E-4</v>
      </c>
      <c r="D57" s="14">
        <f t="shared" si="0"/>
        <v>0.99903699999999995</v>
      </c>
      <c r="E57" s="14">
        <f t="shared" si="6"/>
        <v>0.38971610747990643</v>
      </c>
      <c r="F57" s="14">
        <f>E57*PRODUCT($D$8:D56)</f>
        <v>0.38369855922391943</v>
      </c>
      <c r="G57" s="14">
        <f>SUM(F57:$F$127)</f>
        <v>9.9543341124498763</v>
      </c>
      <c r="H57" s="14">
        <f t="shared" si="1"/>
        <v>25.943110478662781</v>
      </c>
      <c r="I57" s="22">
        <f t="shared" si="2"/>
        <v>25.484777145329449</v>
      </c>
      <c r="L57" s="16">
        <v>49</v>
      </c>
      <c r="M57" s="18">
        <v>9.6299999999999999E-4</v>
      </c>
      <c r="N57" s="14">
        <f t="shared" si="3"/>
        <v>0.99903699999999995</v>
      </c>
      <c r="O57" s="14">
        <f t="shared" si="7"/>
        <v>0.62568820953694282</v>
      </c>
      <c r="P57" s="14">
        <f>O57*PRODUCT($N$8:N56)</f>
        <v>0.6160270512685877</v>
      </c>
      <c r="Q57" s="14">
        <f>SUM($F57:F$127)</f>
        <v>9.9543341124498763</v>
      </c>
      <c r="R57" s="14">
        <f t="shared" si="4"/>
        <v>16.158923690040663</v>
      </c>
      <c r="S57" s="22">
        <f t="shared" si="5"/>
        <v>15.700590356707329</v>
      </c>
    </row>
    <row r="58" spans="2:19" x14ac:dyDescent="0.35">
      <c r="B58" s="16">
        <v>50</v>
      </c>
      <c r="C58" s="18">
        <v>1.0820000000000001E-3</v>
      </c>
      <c r="D58" s="14">
        <f t="shared" si="0"/>
        <v>0.99891799999999997</v>
      </c>
      <c r="E58" s="14">
        <f t="shared" si="6"/>
        <v>0.38229294352790816</v>
      </c>
      <c r="F58" s="14">
        <f>E58*PRODUCT($D$8:D57)</f>
        <v>0.37602755165402696</v>
      </c>
      <c r="G58" s="14">
        <f>SUM(F58:$F$127)</f>
        <v>9.5706355532259568</v>
      </c>
      <c r="H58" s="14">
        <f t="shared" si="1"/>
        <v>25.451952951659369</v>
      </c>
      <c r="I58" s="22">
        <f t="shared" si="2"/>
        <v>24.993619618326036</v>
      </c>
      <c r="L58" s="16">
        <v>50</v>
      </c>
      <c r="M58" s="18">
        <v>1.0820000000000001E-3</v>
      </c>
      <c r="N58" s="14">
        <f t="shared" si="3"/>
        <v>0.99891799999999997</v>
      </c>
      <c r="O58" s="14">
        <f t="shared" si="7"/>
        <v>0.6197292742080196</v>
      </c>
      <c r="P58" s="14">
        <f>O58*PRODUCT($N$8:N57)</f>
        <v>0.6095725427685188</v>
      </c>
      <c r="Q58" s="14">
        <f>SUM($F58:F$127)</f>
        <v>9.5706355532259568</v>
      </c>
      <c r="R58" s="14">
        <f t="shared" si="4"/>
        <v>15.700568647266554</v>
      </c>
      <c r="S58" s="22">
        <f t="shared" si="5"/>
        <v>15.24223531393322</v>
      </c>
    </row>
    <row r="59" spans="2:19" x14ac:dyDescent="0.35">
      <c r="B59" s="16">
        <v>51</v>
      </c>
      <c r="C59" s="18">
        <v>1.2030000000000001E-3</v>
      </c>
      <c r="D59" s="14">
        <f t="shared" si="0"/>
        <v>0.99879700000000005</v>
      </c>
      <c r="E59" s="14">
        <f t="shared" si="6"/>
        <v>0.37501117317499566</v>
      </c>
      <c r="F59" s="14">
        <f>E59*PRODUCT($D$8:D58)</f>
        <v>0.3684660100366014</v>
      </c>
      <c r="G59" s="14">
        <f>SUM(F59:$F$127)</f>
        <v>9.1946080015719325</v>
      </c>
      <c r="H59" s="14">
        <f t="shared" si="1"/>
        <v>24.953748110059298</v>
      </c>
      <c r="I59" s="22">
        <f t="shared" si="2"/>
        <v>24.495414776725966</v>
      </c>
      <c r="L59" s="16">
        <v>51</v>
      </c>
      <c r="M59" s="18">
        <v>1.2030000000000001E-3</v>
      </c>
      <c r="N59" s="14">
        <f t="shared" si="3"/>
        <v>0.99879700000000005</v>
      </c>
      <c r="O59" s="14">
        <f t="shared" si="7"/>
        <v>0.61382709064413365</v>
      </c>
      <c r="P59" s="14">
        <f>O59*PRODUCT($N$8:N58)</f>
        <v>0.60311381398888853</v>
      </c>
      <c r="Q59" s="14">
        <f>SUM($F59:F$127)</f>
        <v>9.1946080015719325</v>
      </c>
      <c r="R59" s="14">
        <f t="shared" si="4"/>
        <v>15.245228658850333</v>
      </c>
      <c r="S59" s="22">
        <f t="shared" si="5"/>
        <v>14.786895325516999</v>
      </c>
    </row>
    <row r="60" spans="2:19" x14ac:dyDescent="0.35">
      <c r="B60" s="16">
        <v>52</v>
      </c>
      <c r="C60" s="18">
        <v>1.359E-3</v>
      </c>
      <c r="D60" s="14">
        <f t="shared" si="0"/>
        <v>0.998641</v>
      </c>
      <c r="E60" s="14">
        <f t="shared" si="6"/>
        <v>0.3678681032097576</v>
      </c>
      <c r="F60" s="14">
        <f>E60*PRODUCT($D$8:D59)</f>
        <v>0.36101278837078393</v>
      </c>
      <c r="G60" s="14">
        <f>SUM(F60:$F$127)</f>
        <v>8.8261419915353319</v>
      </c>
      <c r="H60" s="14">
        <f t="shared" si="1"/>
        <v>24.44828071428401</v>
      </c>
      <c r="I60" s="22">
        <f t="shared" si="2"/>
        <v>23.989947380950678</v>
      </c>
      <c r="L60" s="16">
        <v>52</v>
      </c>
      <c r="M60" s="18">
        <v>1.359E-3</v>
      </c>
      <c r="N60" s="14">
        <f t="shared" si="3"/>
        <v>0.998641</v>
      </c>
      <c r="O60" s="14">
        <f t="shared" si="7"/>
        <v>0.60798111835228485</v>
      </c>
      <c r="P60" s="14">
        <f>O60*PRODUCT($N$8:N59)</f>
        <v>0.5966512369461775</v>
      </c>
      <c r="Q60" s="14">
        <f>SUM($F60:F$127)</f>
        <v>8.8261419915353319</v>
      </c>
      <c r="R60" s="14">
        <f t="shared" si="4"/>
        <v>14.792799285408197</v>
      </c>
      <c r="S60" s="22">
        <f t="shared" si="5"/>
        <v>14.334465952074863</v>
      </c>
    </row>
    <row r="61" spans="2:19" x14ac:dyDescent="0.35">
      <c r="B61" s="16">
        <v>53</v>
      </c>
      <c r="C61" s="18">
        <v>1.5380000000000001E-3</v>
      </c>
      <c r="D61" s="14">
        <f t="shared" si="0"/>
        <v>0.99846199999999996</v>
      </c>
      <c r="E61" s="14">
        <f t="shared" si="6"/>
        <v>0.36086109172004793</v>
      </c>
      <c r="F61" s="14">
        <f>E61*PRODUCT($D$8:D60)</f>
        <v>0.3536550830010759</v>
      </c>
      <c r="G61" s="14">
        <f>SUM(F61:$F$127)</f>
        <v>8.4651292031645458</v>
      </c>
      <c r="H61" s="14">
        <f t="shared" si="1"/>
        <v>23.936116317996746</v>
      </c>
      <c r="I61" s="22">
        <f t="shared" si="2"/>
        <v>23.477782984663413</v>
      </c>
      <c r="L61" s="16">
        <v>53</v>
      </c>
      <c r="M61" s="18">
        <v>1.5380000000000001E-3</v>
      </c>
      <c r="N61" s="14">
        <f t="shared" si="3"/>
        <v>0.99846199999999996</v>
      </c>
      <c r="O61" s="14">
        <f t="shared" si="7"/>
        <v>0.602190821987025</v>
      </c>
      <c r="P61" s="14">
        <f>O61*PRODUCT($N$8:N60)</f>
        <v>0.59016571755407088</v>
      </c>
      <c r="Q61" s="14">
        <f>SUM($F61:F$127)</f>
        <v>8.4651292031645458</v>
      </c>
      <c r="R61" s="14">
        <f t="shared" si="4"/>
        <v>14.343647811750387</v>
      </c>
      <c r="S61" s="22">
        <f t="shared" si="5"/>
        <v>13.885314478417053</v>
      </c>
    </row>
    <row r="62" spans="2:19" x14ac:dyDescent="0.35">
      <c r="B62" s="16">
        <v>54</v>
      </c>
      <c r="C62" s="18">
        <v>1.748E-3</v>
      </c>
      <c r="D62" s="14">
        <f t="shared" si="0"/>
        <v>0.99825200000000003</v>
      </c>
      <c r="E62" s="14">
        <f t="shared" si="6"/>
        <v>0.35398754711585656</v>
      </c>
      <c r="F62" s="14">
        <f>E62*PRODUCT($D$8:D61)</f>
        <v>0.34638523459802179</v>
      </c>
      <c r="G62" s="14">
        <f>SUM(F62:$F$127)</f>
        <v>8.1114741201634679</v>
      </c>
      <c r="H62" s="14">
        <f t="shared" si="1"/>
        <v>23.417493905526285</v>
      </c>
      <c r="I62" s="22">
        <f t="shared" si="2"/>
        <v>22.959160572192953</v>
      </c>
      <c r="L62" s="16">
        <v>54</v>
      </c>
      <c r="M62" s="18">
        <v>1.748E-3</v>
      </c>
      <c r="N62" s="14">
        <f t="shared" si="3"/>
        <v>0.99825200000000003</v>
      </c>
      <c r="O62" s="14">
        <f t="shared" si="7"/>
        <v>0.59645567130143429</v>
      </c>
      <c r="P62" s="14">
        <f>O62*PRODUCT($N$8:N61)</f>
        <v>0.58364606132161101</v>
      </c>
      <c r="Q62" s="14">
        <f>SUM($F62:F$127)</f>
        <v>8.1114741201634679</v>
      </c>
      <c r="R62" s="14">
        <f t="shared" si="4"/>
        <v>13.897933452674735</v>
      </c>
      <c r="S62" s="22">
        <f t="shared" si="5"/>
        <v>13.439600119341401</v>
      </c>
    </row>
    <row r="63" spans="2:19" x14ac:dyDescent="0.35">
      <c r="B63" s="16">
        <v>55</v>
      </c>
      <c r="C63" s="18">
        <v>2.0669999999999998E-3</v>
      </c>
      <c r="D63" s="14">
        <f t="shared" si="0"/>
        <v>0.99793299999999996</v>
      </c>
      <c r="E63" s="14">
        <f t="shared" si="6"/>
        <v>0.34724492717079258</v>
      </c>
      <c r="F63" s="14">
        <f>E63*PRODUCT($D$8:D62)</f>
        <v>0.33919347219445978</v>
      </c>
      <c r="G63" s="14">
        <f>SUM(F63:$F$127)</f>
        <v>7.7650888855654481</v>
      </c>
      <c r="H63" s="14">
        <f t="shared" si="1"/>
        <v>22.892801666636199</v>
      </c>
      <c r="I63" s="22">
        <f t="shared" si="2"/>
        <v>22.434468333302867</v>
      </c>
      <c r="L63" s="16">
        <v>55</v>
      </c>
      <c r="M63" s="18">
        <v>2.0669999999999998E-3</v>
      </c>
      <c r="N63" s="14">
        <f t="shared" si="3"/>
        <v>0.99793299999999996</v>
      </c>
      <c r="O63" s="14">
        <f t="shared" si="7"/>
        <v>0.59077514109856355</v>
      </c>
      <c r="P63" s="14">
        <f>O63*PRODUCT($N$8:N62)</f>
        <v>0.57707703040635983</v>
      </c>
      <c r="Q63" s="14">
        <f>SUM($F63:F$127)</f>
        <v>7.7650888855654481</v>
      </c>
      <c r="R63" s="14">
        <f t="shared" si="4"/>
        <v>13.455896659233712</v>
      </c>
      <c r="S63" s="22">
        <f t="shared" si="5"/>
        <v>12.997563325900378</v>
      </c>
    </row>
    <row r="64" spans="2:19" x14ac:dyDescent="0.35">
      <c r="B64" s="16">
        <v>56</v>
      </c>
      <c r="C64" s="18">
        <v>2.4819999999999998E-3</v>
      </c>
      <c r="D64" s="14">
        <f t="shared" si="0"/>
        <v>0.99751800000000002</v>
      </c>
      <c r="E64" s="14">
        <f t="shared" si="6"/>
        <v>0.34063073808182509</v>
      </c>
      <c r="F64" s="14">
        <f>E64*PRODUCT($D$8:D63)</f>
        <v>0.33204488577719693</v>
      </c>
      <c r="G64" s="14">
        <f>SUM(F64:$F$127)</f>
        <v>7.4258954133709878</v>
      </c>
      <c r="H64" s="14">
        <f t="shared" si="1"/>
        <v>22.364131270956495</v>
      </c>
      <c r="I64" s="22">
        <f t="shared" si="2"/>
        <v>21.905797937623163</v>
      </c>
      <c r="L64" s="16">
        <v>56</v>
      </c>
      <c r="M64" s="18">
        <v>2.4819999999999998E-3</v>
      </c>
      <c r="N64" s="14">
        <f t="shared" si="3"/>
        <v>0.99751800000000002</v>
      </c>
      <c r="O64" s="14">
        <f t="shared" si="7"/>
        <v>0.58514871118333911</v>
      </c>
      <c r="P64" s="14">
        <f>O64*PRODUCT($N$8:N63)</f>
        <v>0.57039960063989537</v>
      </c>
      <c r="Q64" s="14">
        <f>SUM($F64:F$127)</f>
        <v>7.4258954133709878</v>
      </c>
      <c r="R64" s="14">
        <f t="shared" si="4"/>
        <v>13.018759839663884</v>
      </c>
      <c r="S64" s="22">
        <f t="shared" si="5"/>
        <v>12.56042650633055</v>
      </c>
    </row>
    <row r="65" spans="2:19" x14ac:dyDescent="0.35">
      <c r="B65" s="16">
        <v>57</v>
      </c>
      <c r="C65" s="18">
        <v>2.8530000000000001E-3</v>
      </c>
      <c r="D65" s="14">
        <f t="shared" si="0"/>
        <v>0.99714700000000001</v>
      </c>
      <c r="E65" s="14">
        <f t="shared" si="6"/>
        <v>0.33414253354693313</v>
      </c>
      <c r="F65" s="14">
        <f>E65*PRODUCT($D$8:D64)</f>
        <v>0.32491178369697032</v>
      </c>
      <c r="G65" s="14">
        <f>SUM(F65:$F$127)</f>
        <v>7.0938505275937906</v>
      </c>
      <c r="H65" s="14">
        <f t="shared" si="1"/>
        <v>21.833158671185302</v>
      </c>
      <c r="I65" s="22">
        <f t="shared" si="2"/>
        <v>21.37482533785197</v>
      </c>
      <c r="L65" s="16">
        <v>57</v>
      </c>
      <c r="M65" s="18">
        <v>2.8530000000000001E-3</v>
      </c>
      <c r="N65" s="14">
        <f t="shared" si="3"/>
        <v>0.99714700000000001</v>
      </c>
      <c r="O65" s="14">
        <f t="shared" si="7"/>
        <v>0.57957586631492641</v>
      </c>
      <c r="P65" s="14">
        <f>O65*PRODUCT($N$8:N64)</f>
        <v>0.56356497484223955</v>
      </c>
      <c r="Q65" s="14">
        <f>SUM($F65:F$127)</f>
        <v>7.0938505275937906</v>
      </c>
      <c r="R65" s="14">
        <f t="shared" si="4"/>
        <v>12.587458135735979</v>
      </c>
      <c r="S65" s="22">
        <f t="shared" si="5"/>
        <v>12.129124802402645</v>
      </c>
    </row>
    <row r="66" spans="2:19" x14ac:dyDescent="0.35">
      <c r="B66" s="16">
        <v>58</v>
      </c>
      <c r="C66" s="18">
        <v>3.2650000000000001E-3</v>
      </c>
      <c r="D66" s="14">
        <f t="shared" si="0"/>
        <v>0.99673500000000004</v>
      </c>
      <c r="E66" s="14">
        <f t="shared" si="6"/>
        <v>0.32777791386032484</v>
      </c>
      <c r="F66" s="14">
        <f>E66*PRODUCT($D$8:D65)</f>
        <v>0.31781367113278597</v>
      </c>
      <c r="G66" s="14">
        <f>SUM(F66:$F$127)</f>
        <v>6.7689387438968209</v>
      </c>
      <c r="H66" s="14">
        <f t="shared" si="1"/>
        <v>21.298450503309802</v>
      </c>
      <c r="I66" s="22">
        <f t="shared" si="2"/>
        <v>20.84011716997647</v>
      </c>
      <c r="L66" s="16">
        <v>58</v>
      </c>
      <c r="M66" s="18">
        <v>3.2650000000000001E-3</v>
      </c>
      <c r="N66" s="14">
        <f t="shared" si="3"/>
        <v>0.99673500000000004</v>
      </c>
      <c r="O66" s="14">
        <f t="shared" si="7"/>
        <v>0.57405609615954611</v>
      </c>
      <c r="P66" s="14">
        <f>O66*PRODUCT($N$8:N65)</f>
        <v>0.55660515135978583</v>
      </c>
      <c r="Q66" s="14">
        <f>SUM($F66:F$127)</f>
        <v>6.7689387438968209</v>
      </c>
      <c r="R66" s="14">
        <f t="shared" si="4"/>
        <v>12.161114081248279</v>
      </c>
      <c r="S66" s="22">
        <f t="shared" si="5"/>
        <v>11.702780747914945</v>
      </c>
    </row>
    <row r="67" spans="2:19" x14ac:dyDescent="0.35">
      <c r="B67" s="16">
        <v>59</v>
      </c>
      <c r="C67" s="18">
        <v>3.722E-3</v>
      </c>
      <c r="D67" s="14">
        <f t="shared" si="0"/>
        <v>0.996278</v>
      </c>
      <c r="E67" s="14">
        <f t="shared" si="6"/>
        <v>0.32153452502489011</v>
      </c>
      <c r="F67" s="14">
        <f>E67*PRODUCT($D$8:D66)</f>
        <v>0.3107421807442225</v>
      </c>
      <c r="G67" s="14">
        <f>SUM(F67:$F$127)</f>
        <v>6.4511250727640359</v>
      </c>
      <c r="H67" s="14">
        <f t="shared" si="1"/>
        <v>20.760377806816233</v>
      </c>
      <c r="I67" s="22">
        <f t="shared" si="2"/>
        <v>20.302044473482901</v>
      </c>
      <c r="L67" s="16">
        <v>59</v>
      </c>
      <c r="M67" s="18">
        <v>3.722E-3</v>
      </c>
      <c r="N67" s="14">
        <f t="shared" si="3"/>
        <v>0.996278</v>
      </c>
      <c r="O67" s="14">
        <f t="shared" si="7"/>
        <v>0.56858889524374101</v>
      </c>
      <c r="P67" s="14">
        <f>O67*PRODUCT($N$8:N66)</f>
        <v>0.54950414186878105</v>
      </c>
      <c r="Q67" s="14">
        <f>SUM($F67:F$127)</f>
        <v>6.4511250727640359</v>
      </c>
      <c r="R67" s="14">
        <f t="shared" si="4"/>
        <v>11.739902543454411</v>
      </c>
      <c r="S67" s="22">
        <f t="shared" si="5"/>
        <v>11.281569210121077</v>
      </c>
    </row>
    <row r="68" spans="2:19" x14ac:dyDescent="0.35">
      <c r="B68" s="16">
        <v>60</v>
      </c>
      <c r="C68" s="18">
        <v>4.2519999999999997E-3</v>
      </c>
      <c r="D68" s="14">
        <f t="shared" si="0"/>
        <v>0.99574799999999997</v>
      </c>
      <c r="E68" s="14">
        <f t="shared" si="6"/>
        <v>0.31541005788155885</v>
      </c>
      <c r="F68" s="14">
        <f>E68*PRODUCT($D$8:D67)</f>
        <v>0.30368872980754019</v>
      </c>
      <c r="G68" s="14">
        <f>SUM(F68:$F$127)</f>
        <v>6.1403828920198142</v>
      </c>
      <c r="H68" s="14">
        <f t="shared" si="1"/>
        <v>20.219330812543564</v>
      </c>
      <c r="I68" s="22">
        <f t="shared" si="2"/>
        <v>19.760997479210232</v>
      </c>
      <c r="L68" s="16">
        <v>60</v>
      </c>
      <c r="M68" s="18">
        <v>4.2519999999999997E-3</v>
      </c>
      <c r="N68" s="14">
        <f t="shared" si="3"/>
        <v>0.99574799999999997</v>
      </c>
      <c r="O68" s="14">
        <f t="shared" si="7"/>
        <v>0.56317376290808641</v>
      </c>
      <c r="P68" s="14">
        <f>O68*PRODUCT($N$8:N67)</f>
        <v>0.54224499328652886</v>
      </c>
      <c r="Q68" s="14">
        <f>SUM($F68:F$127)</f>
        <v>6.1403828920198142</v>
      </c>
      <c r="R68" s="14">
        <f t="shared" si="4"/>
        <v>11.324001084460287</v>
      </c>
      <c r="S68" s="22">
        <f t="shared" si="5"/>
        <v>10.865667751126953</v>
      </c>
    </row>
    <row r="69" spans="2:19" x14ac:dyDescent="0.35">
      <c r="B69" s="16">
        <v>61</v>
      </c>
      <c r="C69" s="18">
        <v>4.8809999999999999E-3</v>
      </c>
      <c r="D69" s="14">
        <f t="shared" si="0"/>
        <v>0.99511899999999998</v>
      </c>
      <c r="E69" s="14">
        <f t="shared" si="6"/>
        <v>0.3094022472552434</v>
      </c>
      <c r="F69" s="14">
        <f>E69*PRODUCT($D$8:D68)</f>
        <v>0.29663749398880995</v>
      </c>
      <c r="G69" s="14">
        <f>SUM(F69:$F$127)</f>
        <v>5.8366941622122734</v>
      </c>
      <c r="H69" s="14">
        <f t="shared" si="1"/>
        <v>19.676184840047398</v>
      </c>
      <c r="I69" s="22">
        <f t="shared" si="2"/>
        <v>19.217851506714066</v>
      </c>
      <c r="L69" s="16">
        <v>61</v>
      </c>
      <c r="M69" s="18">
        <v>4.8809999999999999E-3</v>
      </c>
      <c r="N69" s="14">
        <f t="shared" si="3"/>
        <v>0.99511899999999998</v>
      </c>
      <c r="O69" s="14">
        <f t="shared" si="7"/>
        <v>0.55781020326134267</v>
      </c>
      <c r="P69" s="14">
        <f>O69*PRODUCT($N$8:N68)</f>
        <v>0.53479708788388336</v>
      </c>
      <c r="Q69" s="14">
        <f>SUM($F69:F$127)</f>
        <v>5.8366941622122734</v>
      </c>
      <c r="R69" s="14">
        <f t="shared" si="4"/>
        <v>10.913848063958705</v>
      </c>
      <c r="S69" s="22">
        <f t="shared" si="5"/>
        <v>10.455514730625371</v>
      </c>
    </row>
    <row r="70" spans="2:19" x14ac:dyDescent="0.35">
      <c r="B70" s="16">
        <v>62</v>
      </c>
      <c r="C70" s="18">
        <v>5.5750000000000001E-3</v>
      </c>
      <c r="D70" s="14">
        <f t="shared" si="0"/>
        <v>0.994425</v>
      </c>
      <c r="E70" s="14">
        <f t="shared" si="6"/>
        <v>0.30350887111704827</v>
      </c>
      <c r="F70" s="14">
        <f>E70*PRODUCT($D$8:D69)</f>
        <v>0.28956694721149534</v>
      </c>
      <c r="G70" s="14">
        <f>SUM(F70:$F$127)</f>
        <v>5.5400566682234631</v>
      </c>
      <c r="H70" s="14">
        <f t="shared" si="1"/>
        <v>19.132213540163093</v>
      </c>
      <c r="I70" s="22">
        <f t="shared" si="2"/>
        <v>18.673880206829761</v>
      </c>
      <c r="L70" s="16">
        <v>62</v>
      </c>
      <c r="M70" s="18">
        <v>5.5750000000000001E-3</v>
      </c>
      <c r="N70" s="14">
        <f t="shared" si="3"/>
        <v>0.994425</v>
      </c>
      <c r="O70" s="14">
        <f t="shared" si="7"/>
        <v>0.55249772513504425</v>
      </c>
      <c r="P70" s="14">
        <f>O70*PRODUCT($N$8:N69)</f>
        <v>0.52711829812365629</v>
      </c>
      <c r="Q70" s="14">
        <f>SUM($F70:F$127)</f>
        <v>5.5400566682234631</v>
      </c>
      <c r="R70" s="14">
        <f t="shared" si="4"/>
        <v>10.510082248982799</v>
      </c>
      <c r="S70" s="22">
        <f t="shared" si="5"/>
        <v>10.051748915649465</v>
      </c>
    </row>
    <row r="71" spans="2:19" x14ac:dyDescent="0.35">
      <c r="B71" s="16">
        <v>63</v>
      </c>
      <c r="C71" s="18">
        <v>6.3579999999999999E-3</v>
      </c>
      <c r="D71" s="14">
        <f t="shared" si="0"/>
        <v>0.99364200000000003</v>
      </c>
      <c r="E71" s="14">
        <f t="shared" si="6"/>
        <v>0.29772774976243782</v>
      </c>
      <c r="F71" s="14">
        <f>E71*PRODUCT($D$8:D70)</f>
        <v>0.28246779983353809</v>
      </c>
      <c r="G71" s="14">
        <f>SUM(F71:$F$127)</f>
        <v>5.2504897210119683</v>
      </c>
      <c r="H71" s="14">
        <f t="shared" si="1"/>
        <v>18.587923027354442</v>
      </c>
      <c r="I71" s="22">
        <f t="shared" si="2"/>
        <v>18.12958969402111</v>
      </c>
      <c r="L71" s="16">
        <v>63</v>
      </c>
      <c r="M71" s="18">
        <v>6.3579999999999999E-3</v>
      </c>
      <c r="N71" s="14">
        <f t="shared" si="3"/>
        <v>0.99364200000000003</v>
      </c>
      <c r="O71" s="14">
        <f t="shared" si="7"/>
        <v>0.54723584203852005</v>
      </c>
      <c r="P71" s="14">
        <f>O71*PRODUCT($N$8:N70)</f>
        <v>0.51918742681531582</v>
      </c>
      <c r="Q71" s="14">
        <f>SUM($F71:F$127)</f>
        <v>5.2504897210119683</v>
      </c>
      <c r="R71" s="14">
        <f t="shared" si="4"/>
        <v>10.112898444437215</v>
      </c>
      <c r="S71" s="22">
        <f t="shared" si="5"/>
        <v>9.6545651111038815</v>
      </c>
    </row>
    <row r="72" spans="2:19" x14ac:dyDescent="0.35">
      <c r="B72" s="16">
        <v>64</v>
      </c>
      <c r="C72" s="18">
        <v>7.1060000000000003E-3</v>
      </c>
      <c r="D72" s="14">
        <f t="shared" si="0"/>
        <v>0.99289400000000005</v>
      </c>
      <c r="E72" s="14">
        <f t="shared" si="6"/>
        <v>0.29205674500505802</v>
      </c>
      <c r="F72" s="14">
        <f>E72*PRODUCT($D$8:D71)</f>
        <v>0.27532573871339266</v>
      </c>
      <c r="G72" s="14">
        <f>SUM(F72:$F$127)</f>
        <v>4.9680219211784298</v>
      </c>
      <c r="H72" s="14">
        <f t="shared" si="1"/>
        <v>18.044160870662434</v>
      </c>
      <c r="I72" s="22">
        <f t="shared" si="2"/>
        <v>17.585827537329102</v>
      </c>
      <c r="L72" s="16">
        <v>64</v>
      </c>
      <c r="M72" s="18">
        <v>7.1060000000000003E-3</v>
      </c>
      <c r="N72" s="14">
        <f t="shared" si="3"/>
        <v>0.99289400000000005</v>
      </c>
      <c r="O72" s="14">
        <f t="shared" si="7"/>
        <v>0.54202407211434378</v>
      </c>
      <c r="P72" s="14">
        <f>O72*PRODUCT($N$8:N71)</f>
        <v>0.51097322903033249</v>
      </c>
      <c r="Q72" s="14">
        <f>SUM($F72:F$127)</f>
        <v>4.9680219211784298</v>
      </c>
      <c r="R72" s="14">
        <f t="shared" si="4"/>
        <v>9.7226657658879372</v>
      </c>
      <c r="S72" s="22">
        <f t="shared" si="5"/>
        <v>9.2643324325546033</v>
      </c>
    </row>
    <row r="73" spans="2:19" x14ac:dyDescent="0.35">
      <c r="B73" s="16">
        <v>65</v>
      </c>
      <c r="C73" s="18">
        <v>7.9229999999999995E-3</v>
      </c>
      <c r="D73" s="14">
        <f t="shared" ref="D73:D128" si="8">1-C73</f>
        <v>0.99207699999999999</v>
      </c>
      <c r="E73" s="14">
        <f t="shared" si="6"/>
        <v>0.28649375938591404</v>
      </c>
      <c r="F73" s="14">
        <f>E73*PRODUCT($D$8:D72)</f>
        <v>0.26816224022335061</v>
      </c>
      <c r="G73" s="14">
        <f>SUM(F73:$F$127)</f>
        <v>4.6926961824650375</v>
      </c>
      <c r="H73" s="14">
        <f t="shared" ref="H73:H128" si="9">G73/F73</f>
        <v>17.499466660766711</v>
      </c>
      <c r="I73" s="19">
        <f t="shared" ref="I73:I128" si="10">H73-11/24</f>
        <v>17.041133327433378</v>
      </c>
      <c r="L73" s="16">
        <v>65</v>
      </c>
      <c r="M73" s="18">
        <v>7.9229999999999995E-3</v>
      </c>
      <c r="N73" s="14">
        <f t="shared" ref="N73:N128" si="11">1-M73</f>
        <v>0.99207699999999999</v>
      </c>
      <c r="O73" s="14">
        <f t="shared" si="7"/>
        <v>0.53686193809420724</v>
      </c>
      <c r="P73" s="14">
        <f>O73*PRODUCT($N$8:N72)</f>
        <v>0.50251042228136833</v>
      </c>
      <c r="Q73" s="14">
        <f>SUM($F73:F$127)</f>
        <v>4.6926961824650375</v>
      </c>
      <c r="R73" s="14">
        <f t="shared" ref="R73:R128" si="12">Q73/P73</f>
        <v>9.3385051819631268</v>
      </c>
      <c r="S73" s="19">
        <f t="shared" ref="S73:S128" si="13">R73-11/24</f>
        <v>8.8801718486297929</v>
      </c>
    </row>
    <row r="74" spans="2:19" x14ac:dyDescent="0.35">
      <c r="B74" s="16">
        <v>66</v>
      </c>
      <c r="C74" s="18">
        <v>8.8350000000000008E-3</v>
      </c>
      <c r="D74" s="14">
        <f t="shared" si="8"/>
        <v>0.99116499999999996</v>
      </c>
      <c r="E74" s="14">
        <f t="shared" ref="E74:E128" si="14">$F$4^B74</f>
        <v>0.28103673539761087</v>
      </c>
      <c r="F74" s="14">
        <f>E74*PRODUCT($D$8:D73)</f>
        <v>0.26097020811226934</v>
      </c>
      <c r="G74" s="14">
        <f>SUM(F74:$F$127)</f>
        <v>4.4245339422416876</v>
      </c>
      <c r="H74" s="14">
        <f t="shared" si="9"/>
        <v>16.954172563399474</v>
      </c>
      <c r="I74" s="22">
        <f t="shared" si="10"/>
        <v>16.495839230066142</v>
      </c>
      <c r="L74" s="16">
        <v>66</v>
      </c>
      <c r="M74" s="18">
        <v>8.8350000000000008E-3</v>
      </c>
      <c r="N74" s="14">
        <f t="shared" si="11"/>
        <v>0.99116499999999996</v>
      </c>
      <c r="O74" s="14">
        <f t="shared" ref="O74:O128" si="15">$P$4^L74</f>
        <v>0.53174896725521481</v>
      </c>
      <c r="P74" s="14">
        <f>O74*PRODUCT($N$8:N73)</f>
        <v>0.49378113666081747</v>
      </c>
      <c r="Q74" s="14">
        <f>SUM($F74:F$127)</f>
        <v>4.4245339422416876</v>
      </c>
      <c r="R74" s="14">
        <f t="shared" si="12"/>
        <v>8.9605163375873111</v>
      </c>
      <c r="S74" s="22">
        <f t="shared" si="13"/>
        <v>8.5021830042539772</v>
      </c>
    </row>
    <row r="75" spans="2:19" x14ac:dyDescent="0.35">
      <c r="B75" s="16">
        <v>67</v>
      </c>
      <c r="C75" s="18">
        <v>9.7389999999999994E-3</v>
      </c>
      <c r="D75" s="14">
        <f t="shared" si="8"/>
        <v>0.99026099999999995</v>
      </c>
      <c r="E75" s="14">
        <f t="shared" si="14"/>
        <v>0.2756836547233707</v>
      </c>
      <c r="F75" s="14">
        <f>E75*PRODUCT($D$8:D74)</f>
        <v>0.25373759277457653</v>
      </c>
      <c r="G75" s="14">
        <f>SUM(F75:$F$127)</f>
        <v>4.1635637341294185</v>
      </c>
      <c r="H75" s="14">
        <f t="shared" si="9"/>
        <v>16.408935264978169</v>
      </c>
      <c r="I75" s="489">
        <f t="shared" si="10"/>
        <v>15.950601931644835</v>
      </c>
      <c r="L75" s="16">
        <v>67</v>
      </c>
      <c r="M75" s="18">
        <v>9.7389999999999994E-3</v>
      </c>
      <c r="N75" s="14">
        <f t="shared" si="11"/>
        <v>0.99026099999999995</v>
      </c>
      <c r="O75" s="14">
        <f t="shared" si="15"/>
        <v>0.52668469137659368</v>
      </c>
      <c r="P75" s="14">
        <f>O75*PRODUCT($N$8:N74)</f>
        <v>0.4847574509820532</v>
      </c>
      <c r="Q75" s="14">
        <f>SUM($F75:F$127)</f>
        <v>4.1635637341294185</v>
      </c>
      <c r="R75" s="14">
        <f t="shared" si="12"/>
        <v>8.5889628425403259</v>
      </c>
      <c r="S75" s="22">
        <f t="shared" si="13"/>
        <v>8.130629509206992</v>
      </c>
    </row>
    <row r="76" spans="2:19" x14ac:dyDescent="0.35">
      <c r="B76" s="16">
        <v>68</v>
      </c>
      <c r="C76" s="18">
        <v>1.0718E-2</v>
      </c>
      <c r="D76" s="14">
        <f t="shared" si="8"/>
        <v>0.98928199999999999</v>
      </c>
      <c r="E76" s="14">
        <f t="shared" si="14"/>
        <v>0.27043253749054458</v>
      </c>
      <c r="F76" s="14">
        <f>E76*PRODUCT($D$8:D75)</f>
        <v>0.24648041488504879</v>
      </c>
      <c r="G76" s="14">
        <f>SUM(F76:$F$127)</f>
        <v>3.9098261413548419</v>
      </c>
      <c r="H76" s="14">
        <f t="shared" si="9"/>
        <v>15.862623986486998</v>
      </c>
      <c r="I76" s="22">
        <f t="shared" si="10"/>
        <v>15.404290653153664</v>
      </c>
      <c r="L76" s="16">
        <v>68</v>
      </c>
      <c r="M76" s="18">
        <v>1.0718E-2</v>
      </c>
      <c r="N76" s="14">
        <f t="shared" si="11"/>
        <v>0.98928199999999999</v>
      </c>
      <c r="O76" s="14">
        <f t="shared" si="15"/>
        <v>0.52166864669681667</v>
      </c>
      <c r="P76" s="14">
        <f>O76*PRODUCT($N$8:N75)</f>
        <v>0.47546462294630149</v>
      </c>
      <c r="Q76" s="14">
        <f>SUM($F76:F$127)</f>
        <v>3.9098261413548419</v>
      </c>
      <c r="R76" s="14">
        <f t="shared" si="12"/>
        <v>8.2231694066467149</v>
      </c>
      <c r="S76" s="22">
        <f t="shared" si="13"/>
        <v>7.7648360733133819</v>
      </c>
    </row>
    <row r="77" spans="2:19" x14ac:dyDescent="0.35">
      <c r="B77" s="16">
        <v>69</v>
      </c>
      <c r="C77" s="18">
        <v>1.1801000000000001E-2</v>
      </c>
      <c r="D77" s="14">
        <f t="shared" si="8"/>
        <v>0.98819900000000005</v>
      </c>
      <c r="E77" s="14">
        <f t="shared" si="14"/>
        <v>0.26528144153834371</v>
      </c>
      <c r="F77" s="14">
        <f>E77*PRODUCT($D$8:D76)</f>
        <v>0.23919409231643826</v>
      </c>
      <c r="G77" s="14">
        <f>SUM(F77:$F$127)</f>
        <v>3.6633457264697924</v>
      </c>
      <c r="H77" s="14">
        <f t="shared" si="9"/>
        <v>15.315368749255828</v>
      </c>
      <c r="I77" s="22">
        <f t="shared" si="10"/>
        <v>14.857035415922494</v>
      </c>
      <c r="L77" s="16">
        <v>69</v>
      </c>
      <c r="M77" s="18">
        <v>1.1801000000000001E-2</v>
      </c>
      <c r="N77" s="14">
        <f t="shared" si="11"/>
        <v>0.98819900000000005</v>
      </c>
      <c r="O77" s="14">
        <f t="shared" si="15"/>
        <v>0.51670037387113266</v>
      </c>
      <c r="P77" s="14">
        <f>O77*PRODUCT($N$8:N76)</f>
        <v>0.46588889223072905</v>
      </c>
      <c r="Q77" s="14">
        <f>SUM($F77:F$127)</f>
        <v>3.6633457264697924</v>
      </c>
      <c r="R77" s="14">
        <f t="shared" si="12"/>
        <v>7.8631317199456632</v>
      </c>
      <c r="S77" s="22">
        <f t="shared" si="13"/>
        <v>7.4047983866123301</v>
      </c>
    </row>
    <row r="78" spans="2:19" x14ac:dyDescent="0.35">
      <c r="B78" s="16">
        <v>70</v>
      </c>
      <c r="C78" s="18">
        <v>1.2995E-2</v>
      </c>
      <c r="D78" s="14">
        <f t="shared" si="8"/>
        <v>0.98700500000000002</v>
      </c>
      <c r="E78" s="14">
        <f t="shared" si="14"/>
        <v>0.26022846169951808</v>
      </c>
      <c r="F78" s="14">
        <f>E78*PRODUCT($D$8:D77)</f>
        <v>0.2318690511600022</v>
      </c>
      <c r="G78" s="14">
        <f>SUM(F78:$F$127)</f>
        <v>3.4241516341533544</v>
      </c>
      <c r="H78" s="14">
        <f t="shared" si="9"/>
        <v>14.767609635796131</v>
      </c>
      <c r="I78" s="22">
        <f t="shared" si="10"/>
        <v>14.309276302462797</v>
      </c>
      <c r="L78" s="16">
        <v>70</v>
      </c>
      <c r="M78" s="18">
        <v>1.2995E-2</v>
      </c>
      <c r="N78" s="14">
        <f t="shared" si="11"/>
        <v>0.98700500000000002</v>
      </c>
      <c r="O78" s="14">
        <f t="shared" si="15"/>
        <v>0.51177941792950288</v>
      </c>
      <c r="P78" s="14">
        <f>O78*PRODUCT($N$8:N77)</f>
        <v>0.45600626181909992</v>
      </c>
      <c r="Q78" s="14">
        <f>SUM($F78:F$127)</f>
        <v>3.4241516341533544</v>
      </c>
      <c r="R78" s="14">
        <f t="shared" si="12"/>
        <v>7.5090013468098675</v>
      </c>
      <c r="S78" s="22">
        <f t="shared" si="13"/>
        <v>7.0506680134765345</v>
      </c>
    </row>
    <row r="79" spans="2:19" x14ac:dyDescent="0.35">
      <c r="B79" s="16">
        <v>71</v>
      </c>
      <c r="C79" s="18">
        <v>1.4337000000000001E-2</v>
      </c>
      <c r="D79" s="14">
        <f t="shared" si="8"/>
        <v>0.98566299999999996</v>
      </c>
      <c r="E79" s="14">
        <f t="shared" si="14"/>
        <v>0.25527172909571771</v>
      </c>
      <c r="F79" s="14">
        <f>E79*PRODUCT($D$8:D78)</f>
        <v>0.22449675259560314</v>
      </c>
      <c r="G79" s="14">
        <f>SUM(F79:$F$127)</f>
        <v>3.1922825829933519</v>
      </c>
      <c r="H79" s="14">
        <f t="shared" si="9"/>
        <v>14.219727216917764</v>
      </c>
      <c r="I79" s="22">
        <f t="shared" si="10"/>
        <v>13.76139388358443</v>
      </c>
      <c r="L79" s="16">
        <v>71</v>
      </c>
      <c r="M79" s="18">
        <v>1.4337000000000001E-2</v>
      </c>
      <c r="N79" s="14">
        <f t="shared" si="11"/>
        <v>0.98566299999999996</v>
      </c>
      <c r="O79" s="14">
        <f t="shared" si="15"/>
        <v>0.50690532823493617</v>
      </c>
      <c r="P79" s="14">
        <f>O79*PRODUCT($N$8:N78)</f>
        <v>0.44579397987107727</v>
      </c>
      <c r="Q79" s="14">
        <f>SUM($F79:F$127)</f>
        <v>3.1922825829933519</v>
      </c>
      <c r="R79" s="14">
        <f t="shared" si="12"/>
        <v>7.1608920872295174</v>
      </c>
      <c r="S79" s="22">
        <f t="shared" si="13"/>
        <v>6.7025587538961844</v>
      </c>
    </row>
    <row r="80" spans="2:19" x14ac:dyDescent="0.35">
      <c r="B80" s="16">
        <v>72</v>
      </c>
      <c r="C80" s="18">
        <v>1.5854E-2</v>
      </c>
      <c r="D80" s="14">
        <f t="shared" si="8"/>
        <v>0.98414599999999997</v>
      </c>
      <c r="E80" s="14">
        <f t="shared" si="14"/>
        <v>0.25040941044627546</v>
      </c>
      <c r="F80" s="14">
        <f>E80*PRODUCT($D$8:D79)</f>
        <v>0.21706332088880873</v>
      </c>
      <c r="G80" s="14">
        <f>SUM(F80:$F$127)</f>
        <v>2.9677858303977489</v>
      </c>
      <c r="H80" s="14">
        <f t="shared" si="9"/>
        <v>13.672442761151734</v>
      </c>
      <c r="I80" s="22">
        <f t="shared" si="10"/>
        <v>13.2141094278184</v>
      </c>
      <c r="L80" s="16">
        <v>72</v>
      </c>
      <c r="M80" s="18">
        <v>1.5854E-2</v>
      </c>
      <c r="N80" s="14">
        <f t="shared" si="11"/>
        <v>0.98414599999999997</v>
      </c>
      <c r="O80" s="14">
        <f t="shared" si="15"/>
        <v>0.50207765844222263</v>
      </c>
      <c r="P80" s="14">
        <f>O80*PRODUCT($N$8:N79)</f>
        <v>0.43521784461422131</v>
      </c>
      <c r="Q80" s="14">
        <f>SUM($F80:F$127)</f>
        <v>2.9677858303977489</v>
      </c>
      <c r="R80" s="14">
        <f t="shared" si="12"/>
        <v>6.8190812190350449</v>
      </c>
      <c r="S80" s="22">
        <f t="shared" si="13"/>
        <v>6.3607478857017119</v>
      </c>
    </row>
    <row r="81" spans="2:19" x14ac:dyDescent="0.35">
      <c r="B81" s="16">
        <v>73</v>
      </c>
      <c r="C81" s="18">
        <v>1.7569999999999999E-2</v>
      </c>
      <c r="D81" s="14">
        <f t="shared" si="8"/>
        <v>0.98243000000000003</v>
      </c>
      <c r="E81" s="14">
        <f t="shared" si="14"/>
        <v>0.24563970739015592</v>
      </c>
      <c r="F81" s="14">
        <f>E81*PRODUCT($D$8:D80)</f>
        <v>0.20955300854230541</v>
      </c>
      <c r="G81" s="14">
        <f>SUM(F81:$F$127)</f>
        <v>2.75072250950894</v>
      </c>
      <c r="H81" s="14">
        <f t="shared" si="9"/>
        <v>13.126619028968095</v>
      </c>
      <c r="I81" s="22">
        <f t="shared" si="10"/>
        <v>12.668285695634761</v>
      </c>
      <c r="L81" s="16">
        <v>73</v>
      </c>
      <c r="M81" s="18">
        <v>1.7569999999999999E-2</v>
      </c>
      <c r="N81" s="14">
        <f t="shared" si="11"/>
        <v>0.98243000000000003</v>
      </c>
      <c r="O81" s="14">
        <f t="shared" si="15"/>
        <v>0.49729596645705859</v>
      </c>
      <c r="P81" s="14">
        <f>O81*PRODUCT($N$8:N80)</f>
        <v>0.42423868280184357</v>
      </c>
      <c r="Q81" s="14">
        <f>SUM($F81:F$127)</f>
        <v>2.75072250950894</v>
      </c>
      <c r="R81" s="14">
        <f t="shared" si="12"/>
        <v>6.4839030975253316</v>
      </c>
      <c r="S81" s="22">
        <f t="shared" si="13"/>
        <v>6.0255697641919985</v>
      </c>
    </row>
    <row r="82" spans="2:19" x14ac:dyDescent="0.35">
      <c r="B82" s="16">
        <v>74</v>
      </c>
      <c r="C82" s="18">
        <v>1.9507E-2</v>
      </c>
      <c r="D82" s="14">
        <f t="shared" si="8"/>
        <v>0.98049299999999995</v>
      </c>
      <c r="E82" s="14">
        <f t="shared" si="14"/>
        <v>0.24096085582081961</v>
      </c>
      <c r="F82" s="14">
        <f>E82*PRODUCT($D$8:D81)</f>
        <v>0.20194980671207963</v>
      </c>
      <c r="G82" s="14">
        <f>SUM(F82:$F$127)</f>
        <v>2.5411695009666344</v>
      </c>
      <c r="H82" s="14">
        <f t="shared" si="9"/>
        <v>12.583173721921836</v>
      </c>
      <c r="I82" s="22">
        <f t="shared" si="10"/>
        <v>12.124840388588503</v>
      </c>
      <c r="L82" s="16">
        <v>74</v>
      </c>
      <c r="M82" s="18">
        <v>1.9507E-2</v>
      </c>
      <c r="N82" s="14">
        <f t="shared" si="11"/>
        <v>0.98049299999999995</v>
      </c>
      <c r="O82" s="14">
        <f t="shared" si="15"/>
        <v>0.49255981439556279</v>
      </c>
      <c r="P82" s="14">
        <f>O82*PRODUCT($N$8:N81)</f>
        <v>0.41281543001030074</v>
      </c>
      <c r="Q82" s="14">
        <f>SUM($F82:F$127)</f>
        <v>2.5411695009666344</v>
      </c>
      <c r="R82" s="14">
        <f t="shared" si="12"/>
        <v>6.1557037751792034</v>
      </c>
      <c r="S82" s="22">
        <f t="shared" si="13"/>
        <v>5.6973704418458704</v>
      </c>
    </row>
    <row r="83" spans="2:19" x14ac:dyDescent="0.35">
      <c r="B83" s="16">
        <v>75</v>
      </c>
      <c r="C83" s="18">
        <v>2.1708999999999999E-2</v>
      </c>
      <c r="D83" s="14">
        <f t="shared" si="8"/>
        <v>0.97829100000000002</v>
      </c>
      <c r="E83" s="14">
        <f t="shared" si="14"/>
        <v>0.23637112523375636</v>
      </c>
      <c r="F83" s="14">
        <f>E83*PRODUCT($D$8:D82)</f>
        <v>0.19423874570240332</v>
      </c>
      <c r="G83" s="14">
        <f>SUM(F83:$F$127)</f>
        <v>2.3392196942545547</v>
      </c>
      <c r="H83" s="14">
        <f t="shared" si="9"/>
        <v>12.043012766559537</v>
      </c>
      <c r="I83" s="22">
        <f t="shared" si="10"/>
        <v>11.584679433226203</v>
      </c>
      <c r="L83" s="16">
        <v>75</v>
      </c>
      <c r="M83" s="18">
        <v>2.1708999999999999E-2</v>
      </c>
      <c r="N83" s="14">
        <f t="shared" si="11"/>
        <v>0.97829100000000002</v>
      </c>
      <c r="O83" s="14">
        <f t="shared" si="15"/>
        <v>0.48786876854417649</v>
      </c>
      <c r="P83" s="14">
        <f>O83*PRODUCT($N$8:N82)</f>
        <v>0.40090775713692706</v>
      </c>
      <c r="Q83" s="14">
        <f>SUM($F83:F$127)</f>
        <v>2.3392196942545547</v>
      </c>
      <c r="R83" s="14">
        <f t="shared" si="12"/>
        <v>5.8348077646589704</v>
      </c>
      <c r="S83" s="22">
        <f t="shared" si="13"/>
        <v>5.3764744313256374</v>
      </c>
    </row>
    <row r="84" spans="2:19" x14ac:dyDescent="0.35">
      <c r="B84" s="16">
        <v>76</v>
      </c>
      <c r="C84" s="18">
        <v>2.4201E-2</v>
      </c>
      <c r="D84" s="14">
        <f t="shared" si="8"/>
        <v>0.97579899999999997</v>
      </c>
      <c r="E84" s="14">
        <f t="shared" si="14"/>
        <v>0.23186881808644672</v>
      </c>
      <c r="F84" s="14">
        <f>E84*PRODUCT($D$8:D83)</f>
        <v>0.18640254978581747</v>
      </c>
      <c r="G84" s="14">
        <f>SUM(F84:$F$127)</f>
        <v>2.1449809485521514</v>
      </c>
      <c r="H84" s="14">
        <f t="shared" si="9"/>
        <v>11.507251113339402</v>
      </c>
      <c r="I84" s="22">
        <f t="shared" si="10"/>
        <v>11.048917780006068</v>
      </c>
      <c r="L84" s="16">
        <v>76</v>
      </c>
      <c r="M84" s="18">
        <v>2.4201E-2</v>
      </c>
      <c r="N84" s="14">
        <f t="shared" si="11"/>
        <v>0.97579899999999997</v>
      </c>
      <c r="O84" s="14">
        <f t="shared" si="15"/>
        <v>0.48322239931994632</v>
      </c>
      <c r="P84" s="14">
        <f>O84*PRODUCT($N$8:N83)</f>
        <v>0.38846917015498211</v>
      </c>
      <c r="Q84" s="14">
        <f>SUM($F84:F$127)</f>
        <v>2.1449809485521514</v>
      </c>
      <c r="R84" s="14">
        <f t="shared" si="12"/>
        <v>5.5216246573605785</v>
      </c>
      <c r="S84" s="22">
        <f t="shared" si="13"/>
        <v>5.0632913240272455</v>
      </c>
    </row>
    <row r="85" spans="2:19" x14ac:dyDescent="0.35">
      <c r="B85" s="16">
        <v>77</v>
      </c>
      <c r="C85" s="18">
        <v>2.7052E-2</v>
      </c>
      <c r="D85" s="14">
        <f t="shared" si="8"/>
        <v>0.97294800000000004</v>
      </c>
      <c r="E85" s="14">
        <f t="shared" si="14"/>
        <v>0.22745226917051439</v>
      </c>
      <c r="F85" s="14">
        <f>E85*PRODUCT($D$8:D84)</f>
        <v>0.17842682317028993</v>
      </c>
      <c r="G85" s="14">
        <f>SUM(F85:$F$127)</f>
        <v>1.9585783987663348</v>
      </c>
      <c r="H85" s="14">
        <f t="shared" si="9"/>
        <v>10.976928042355349</v>
      </c>
      <c r="I85" s="22">
        <f t="shared" si="10"/>
        <v>10.518594709022015</v>
      </c>
      <c r="L85" s="16">
        <v>77</v>
      </c>
      <c r="M85" s="18">
        <v>2.7052E-2</v>
      </c>
      <c r="N85" s="14">
        <f t="shared" si="11"/>
        <v>0.97294800000000004</v>
      </c>
      <c r="O85" s="14">
        <f t="shared" si="15"/>
        <v>0.47862028123118489</v>
      </c>
      <c r="P85" s="14">
        <f>O85*PRODUCT($N$8:N84)</f>
        <v>0.37545765797979408</v>
      </c>
      <c r="Q85" s="14">
        <f>SUM($F85:F$127)</f>
        <v>1.9585783987663348</v>
      </c>
      <c r="R85" s="14">
        <f t="shared" si="12"/>
        <v>5.216509390978354</v>
      </c>
      <c r="S85" s="22">
        <f t="shared" si="13"/>
        <v>4.7581760576450209</v>
      </c>
    </row>
    <row r="86" spans="2:19" x14ac:dyDescent="0.35">
      <c r="B86" s="16">
        <v>78</v>
      </c>
      <c r="C86" s="18">
        <v>3.0297000000000001E-2</v>
      </c>
      <c r="D86" s="14">
        <f t="shared" si="8"/>
        <v>0.96970299999999998</v>
      </c>
      <c r="E86" s="14">
        <f t="shared" si="14"/>
        <v>0.2231198449958379</v>
      </c>
      <c r="F86" s="14">
        <f>E86*PRODUCT($D$8:D85)</f>
        <v>0.17029335368798462</v>
      </c>
      <c r="G86" s="14">
        <f>SUM(F86:$F$127)</f>
        <v>1.7801515755960449</v>
      </c>
      <c r="H86" s="14">
        <f t="shared" si="9"/>
        <v>10.453441294354208</v>
      </c>
      <c r="I86" s="22">
        <f t="shared" si="10"/>
        <v>9.9951079610208744</v>
      </c>
      <c r="L86" s="16">
        <v>78</v>
      </c>
      <c r="M86" s="18">
        <v>3.0297000000000001E-2</v>
      </c>
      <c r="N86" s="14">
        <f t="shared" si="11"/>
        <v>0.96970299999999998</v>
      </c>
      <c r="O86" s="14">
        <f t="shared" si="15"/>
        <v>0.47406199283850703</v>
      </c>
      <c r="P86" s="14">
        <f>O86*PRODUCT($N$8:N85)</f>
        <v>0.36182172239311411</v>
      </c>
      <c r="Q86" s="14">
        <f>SUM($F86:F$127)</f>
        <v>1.7801515755960449</v>
      </c>
      <c r="R86" s="14">
        <f t="shared" si="12"/>
        <v>4.9199687730797317</v>
      </c>
      <c r="S86" s="22">
        <f t="shared" si="13"/>
        <v>4.4616354397463986</v>
      </c>
    </row>
    <row r="87" spans="2:19" x14ac:dyDescent="0.35">
      <c r="B87" s="16">
        <v>79</v>
      </c>
      <c r="C87" s="18">
        <v>3.4019000000000001E-2</v>
      </c>
      <c r="D87" s="14">
        <f t="shared" si="8"/>
        <v>0.96598099999999998</v>
      </c>
      <c r="E87" s="14">
        <f t="shared" si="14"/>
        <v>0.21886994318639338</v>
      </c>
      <c r="F87" s="14">
        <f>E87*PRODUCT($D$8:D86)</f>
        <v>0.16198856688556071</v>
      </c>
      <c r="G87" s="14">
        <f>SUM(F87:$F$127)</f>
        <v>1.6098582219080602</v>
      </c>
      <c r="H87" s="14">
        <f t="shared" si="9"/>
        <v>9.9380978106027023</v>
      </c>
      <c r="I87" s="22">
        <f t="shared" si="10"/>
        <v>9.4797644772693683</v>
      </c>
      <c r="L87" s="16">
        <v>79</v>
      </c>
      <c r="M87" s="18">
        <v>3.4019000000000001E-2</v>
      </c>
      <c r="N87" s="14">
        <f t="shared" si="11"/>
        <v>0.96598099999999998</v>
      </c>
      <c r="O87" s="14">
        <f t="shared" si="15"/>
        <v>0.4695471167162355</v>
      </c>
      <c r="P87" s="14">
        <f>O87*PRODUCT($N$8:N86)</f>
        <v>0.34751808957767688</v>
      </c>
      <c r="Q87" s="14">
        <f>SUM($F87:F$127)</f>
        <v>1.6098582219080602</v>
      </c>
      <c r="R87" s="14">
        <f t="shared" si="12"/>
        <v>4.6324443825771731</v>
      </c>
      <c r="S87" s="22">
        <f t="shared" si="13"/>
        <v>4.17411104924384</v>
      </c>
    </row>
    <row r="88" spans="2:19" x14ac:dyDescent="0.35">
      <c r="B88" s="16">
        <v>80</v>
      </c>
      <c r="C88" s="18">
        <v>3.8275999999999998E-2</v>
      </c>
      <c r="D88" s="14">
        <f t="shared" si="8"/>
        <v>0.96172400000000002</v>
      </c>
      <c r="E88" s="14">
        <f t="shared" si="14"/>
        <v>0.21470099188760489</v>
      </c>
      <c r="F88" s="14">
        <f>E88*PRODUCT($D$8:D87)</f>
        <v>0.15349734682242019</v>
      </c>
      <c r="G88" s="14">
        <f>SUM(F88:$F$127)</f>
        <v>1.4478696550224996</v>
      </c>
      <c r="H88" s="14">
        <f t="shared" si="9"/>
        <v>9.4325386398862516</v>
      </c>
      <c r="I88" s="22">
        <f t="shared" si="10"/>
        <v>8.9742053065529177</v>
      </c>
      <c r="L88" s="16">
        <v>80</v>
      </c>
      <c r="M88" s="18">
        <v>3.8275999999999998E-2</v>
      </c>
      <c r="N88" s="14">
        <f t="shared" si="11"/>
        <v>0.96172400000000002</v>
      </c>
      <c r="O88" s="14">
        <f t="shared" si="15"/>
        <v>0.46507523941417617</v>
      </c>
      <c r="P88" s="14">
        <f>O88*PRODUCT($N$8:N87)</f>
        <v>0.33249876814844498</v>
      </c>
      <c r="Q88" s="14">
        <f>SUM($F88:F$127)</f>
        <v>1.4478696550224996</v>
      </c>
      <c r="R88" s="14">
        <f t="shared" si="12"/>
        <v>4.3545113357415337</v>
      </c>
      <c r="S88" s="22">
        <f t="shared" si="13"/>
        <v>3.8961780024082002</v>
      </c>
    </row>
    <row r="89" spans="2:19" x14ac:dyDescent="0.35">
      <c r="B89" s="16">
        <v>81</v>
      </c>
      <c r="C89" s="18">
        <v>4.2888000000000003E-2</v>
      </c>
      <c r="D89" s="14">
        <f t="shared" si="8"/>
        <v>0.95711199999999996</v>
      </c>
      <c r="E89" s="14">
        <f t="shared" si="14"/>
        <v>0.21061144918498381</v>
      </c>
      <c r="F89" s="14">
        <f>E89*PRODUCT($D$8:D88)</f>
        <v>0.14481023318734151</v>
      </c>
      <c r="G89" s="14">
        <f>SUM(F89:$F$127)</f>
        <v>1.2943723082000793</v>
      </c>
      <c r="H89" s="14">
        <f t="shared" si="9"/>
        <v>8.9384035900663541</v>
      </c>
      <c r="I89" s="22">
        <f t="shared" si="10"/>
        <v>8.4800702567330202</v>
      </c>
      <c r="L89" s="16">
        <v>81</v>
      </c>
      <c r="M89" s="18">
        <v>4.2888000000000003E-2</v>
      </c>
      <c r="N89" s="14">
        <f t="shared" si="11"/>
        <v>0.95711199999999996</v>
      </c>
      <c r="O89" s="14">
        <f t="shared" si="15"/>
        <v>0.46064595141975551</v>
      </c>
      <c r="P89" s="14">
        <f>O89*PRODUCT($N$8:N88)</f>
        <v>0.31672659724833047</v>
      </c>
      <c r="Q89" s="14">
        <f>SUM($F89:F$127)</f>
        <v>1.2943723082000793</v>
      </c>
      <c r="R89" s="14">
        <f t="shared" si="12"/>
        <v>4.0867180699233252</v>
      </c>
      <c r="S89" s="22">
        <f t="shared" si="13"/>
        <v>3.6283847365899917</v>
      </c>
    </row>
    <row r="90" spans="2:19" x14ac:dyDescent="0.35">
      <c r="B90" s="16">
        <v>82</v>
      </c>
      <c r="C90" s="18">
        <v>4.8149999999999998E-2</v>
      </c>
      <c r="D90" s="14">
        <f t="shared" si="8"/>
        <v>0.95184999999999997</v>
      </c>
      <c r="E90" s="14">
        <f t="shared" si="14"/>
        <v>0.20659980253384125</v>
      </c>
      <c r="F90" s="14">
        <f>E90*PRODUCT($D$8:D89)</f>
        <v>0.13595961929866177</v>
      </c>
      <c r="G90" s="14">
        <f>SUM(F90:$F$127)</f>
        <v>1.149562075012738</v>
      </c>
      <c r="H90" s="14">
        <f t="shared" si="9"/>
        <v>8.4551728001495885</v>
      </c>
      <c r="I90" s="22">
        <f t="shared" si="10"/>
        <v>7.9968394668162555</v>
      </c>
      <c r="L90" s="16">
        <v>82</v>
      </c>
      <c r="M90" s="18">
        <v>4.8149999999999998E-2</v>
      </c>
      <c r="N90" s="14">
        <f t="shared" si="11"/>
        <v>0.95184999999999997</v>
      </c>
      <c r="O90" s="14">
        <f t="shared" si="15"/>
        <v>0.45625884712051978</v>
      </c>
      <c r="P90" s="14">
        <f>O90*PRODUCT($N$8:N89)</f>
        <v>0.30025575240320551</v>
      </c>
      <c r="Q90" s="14">
        <f>SUM($F90:F$127)</f>
        <v>1.149562075012738</v>
      </c>
      <c r="R90" s="14">
        <f t="shared" si="12"/>
        <v>3.8286096629683266</v>
      </c>
      <c r="S90" s="22">
        <f t="shared" si="13"/>
        <v>3.3702763296349931</v>
      </c>
    </row>
    <row r="91" spans="2:19" x14ac:dyDescent="0.35">
      <c r="B91" s="16">
        <v>83</v>
      </c>
      <c r="C91" s="18">
        <v>5.4155000000000002E-2</v>
      </c>
      <c r="D91" s="14">
        <f t="shared" si="8"/>
        <v>0.94584500000000005</v>
      </c>
      <c r="E91" s="14">
        <f t="shared" si="14"/>
        <v>0.20266456819986331</v>
      </c>
      <c r="F91" s="14">
        <f>E91*PRODUCT($D$8:D90)</f>
        <v>0.12694815098887061</v>
      </c>
      <c r="G91" s="14">
        <f>SUM(F91:$F$127)</f>
        <v>1.0136024557140759</v>
      </c>
      <c r="H91" s="14">
        <f t="shared" si="9"/>
        <v>7.9843814015293315</v>
      </c>
      <c r="I91" s="22">
        <f t="shared" si="10"/>
        <v>7.5260480681959985</v>
      </c>
      <c r="L91" s="16">
        <v>83</v>
      </c>
      <c r="M91" s="18">
        <v>5.4155000000000002E-2</v>
      </c>
      <c r="N91" s="14">
        <f t="shared" si="11"/>
        <v>0.94584500000000005</v>
      </c>
      <c r="O91" s="14">
        <f t="shared" si="15"/>
        <v>0.45191352476699098</v>
      </c>
      <c r="P91" s="14">
        <f>O91*PRODUCT($N$8:N90)</f>
        <v>0.28307654803999122</v>
      </c>
      <c r="Q91" s="14">
        <f>SUM($F91:F$127)</f>
        <v>1.0136024557140759</v>
      </c>
      <c r="R91" s="14">
        <f t="shared" si="12"/>
        <v>3.5806655928660001</v>
      </c>
      <c r="S91" s="22">
        <f t="shared" si="13"/>
        <v>3.1223322595326666</v>
      </c>
    </row>
    <row r="92" spans="2:19" x14ac:dyDescent="0.35">
      <c r="B92" s="16">
        <v>84</v>
      </c>
      <c r="C92" s="18">
        <v>6.1005999999999998E-2</v>
      </c>
      <c r="D92" s="14">
        <f t="shared" si="8"/>
        <v>0.938994</v>
      </c>
      <c r="E92" s="14">
        <f t="shared" si="14"/>
        <v>0.19880429071034209</v>
      </c>
      <c r="F92" s="14">
        <f>E92*PRODUCT($D$8:D91)</f>
        <v>0.11778616389355272</v>
      </c>
      <c r="G92" s="14">
        <f>SUM(F92:$F$127)</f>
        <v>0.88665430472520501</v>
      </c>
      <c r="H92" s="14">
        <f t="shared" si="9"/>
        <v>7.5276609358507001</v>
      </c>
      <c r="I92" s="22">
        <f t="shared" si="10"/>
        <v>7.069327602517367</v>
      </c>
      <c r="L92" s="16">
        <v>84</v>
      </c>
      <c r="M92" s="18">
        <v>6.1005999999999998E-2</v>
      </c>
      <c r="N92" s="14">
        <f t="shared" si="11"/>
        <v>0.938994</v>
      </c>
      <c r="O92" s="14">
        <f t="shared" si="15"/>
        <v>0.44760958643587684</v>
      </c>
      <c r="P92" s="14">
        <f>O92*PRODUCT($N$8:N91)</f>
        <v>0.26519657055630569</v>
      </c>
      <c r="Q92" s="14">
        <f>SUM($F92:F$127)</f>
        <v>0.88665430472520501</v>
      </c>
      <c r="R92" s="14">
        <f t="shared" si="12"/>
        <v>3.343385258961912</v>
      </c>
      <c r="S92" s="22">
        <f t="shared" si="13"/>
        <v>2.8850519256285785</v>
      </c>
    </row>
    <row r="93" spans="2:19" x14ac:dyDescent="0.35">
      <c r="B93" s="16">
        <v>85</v>
      </c>
      <c r="C93" s="18">
        <v>6.8755999999999998E-2</v>
      </c>
      <c r="D93" s="14">
        <f t="shared" si="8"/>
        <v>0.93124399999999996</v>
      </c>
      <c r="E93" s="14">
        <f t="shared" si="14"/>
        <v>0.19501754231585938</v>
      </c>
      <c r="F93" s="14">
        <f>E93*PRODUCT($D$8:D92)</f>
        <v>0.10849382496612811</v>
      </c>
      <c r="G93" s="14">
        <f>SUM(F93:$F$127)</f>
        <v>0.76886814083165234</v>
      </c>
      <c r="H93" s="14">
        <f t="shared" si="9"/>
        <v>7.0867456380277289</v>
      </c>
      <c r="I93" s="22">
        <f t="shared" si="10"/>
        <v>6.6284123046943959</v>
      </c>
      <c r="L93" s="16">
        <v>85</v>
      </c>
      <c r="M93" s="18">
        <v>6.8755999999999998E-2</v>
      </c>
      <c r="N93" s="14">
        <f t="shared" si="11"/>
        <v>0.93124399999999996</v>
      </c>
      <c r="O93" s="14">
        <f t="shared" si="15"/>
        <v>0.44334663799363039</v>
      </c>
      <c r="P93" s="14">
        <f>O93*PRODUCT($N$8:N92)</f>
        <v>0.24664638868177674</v>
      </c>
      <c r="Q93" s="14">
        <f>SUM($F93:F$127)</f>
        <v>0.76886814083165234</v>
      </c>
      <c r="R93" s="14">
        <f t="shared" si="12"/>
        <v>3.1172892696338899</v>
      </c>
      <c r="S93" s="22">
        <f t="shared" si="13"/>
        <v>2.6589559363005564</v>
      </c>
    </row>
    <row r="94" spans="2:19" x14ac:dyDescent="0.35">
      <c r="B94" s="16">
        <v>86</v>
      </c>
      <c r="C94" s="18">
        <v>7.7548000000000006E-2</v>
      </c>
      <c r="D94" s="14">
        <f t="shared" si="8"/>
        <v>0.92245200000000005</v>
      </c>
      <c r="E94" s="14">
        <f t="shared" si="14"/>
        <v>0.19130292246222397</v>
      </c>
      <c r="F94" s="14">
        <f>E94*PRODUCT($D$8:D93)</f>
        <v>9.9109762136056878E-2</v>
      </c>
      <c r="G94" s="14">
        <f>SUM(F94:$F$127)</f>
        <v>0.6603743158655242</v>
      </c>
      <c r="H94" s="14">
        <f t="shared" si="9"/>
        <v>6.663060243843276</v>
      </c>
      <c r="I94" s="22">
        <f t="shared" si="10"/>
        <v>6.204726910509943</v>
      </c>
      <c r="L94" s="16">
        <v>86</v>
      </c>
      <c r="M94" s="18">
        <v>7.7548000000000006E-2</v>
      </c>
      <c r="N94" s="14">
        <f t="shared" si="11"/>
        <v>0.92245200000000005</v>
      </c>
      <c r="O94" s="14">
        <f t="shared" si="15"/>
        <v>0.43912428906035772</v>
      </c>
      <c r="P94" s="14">
        <f>O94*PRODUCT($N$8:N93)</f>
        <v>0.22750046510936706</v>
      </c>
      <c r="Q94" s="14">
        <f>SUM($F94:F$127)</f>
        <v>0.6603743158655242</v>
      </c>
      <c r="R94" s="14">
        <f t="shared" si="12"/>
        <v>2.9027383110977829</v>
      </c>
      <c r="S94" s="22">
        <f t="shared" si="13"/>
        <v>2.4444049777644494</v>
      </c>
    </row>
    <row r="95" spans="2:19" x14ac:dyDescent="0.35">
      <c r="B95" s="16">
        <v>87</v>
      </c>
      <c r="C95" s="18">
        <v>8.7455000000000005E-2</v>
      </c>
      <c r="D95" s="14">
        <f t="shared" si="8"/>
        <v>0.91254499999999994</v>
      </c>
      <c r="E95" s="14">
        <f t="shared" si="14"/>
        <v>0.18765905727246729</v>
      </c>
      <c r="F95" s="14">
        <f>E95*PRODUCT($D$8:D94)</f>
        <v>8.9682588810464592E-2</v>
      </c>
      <c r="G95" s="14">
        <f>SUM(F95:$F$127)</f>
        <v>0.56126455372946726</v>
      </c>
      <c r="H95" s="14">
        <f t="shared" si="9"/>
        <v>6.2583446929218915</v>
      </c>
      <c r="I95" s="22">
        <f t="shared" si="10"/>
        <v>5.8000113595885585</v>
      </c>
      <c r="L95" s="16">
        <v>87</v>
      </c>
      <c r="M95" s="18">
        <v>8.7455000000000005E-2</v>
      </c>
      <c r="N95" s="14">
        <f t="shared" si="11"/>
        <v>0.91254499999999994</v>
      </c>
      <c r="O95" s="14">
        <f t="shared" si="15"/>
        <v>0.43494215297406863</v>
      </c>
      <c r="P95" s="14">
        <f>O95*PRODUCT($N$8:N94)</f>
        <v>0.2078596089549605</v>
      </c>
      <c r="Q95" s="14">
        <f>SUM($F95:F$127)</f>
        <v>0.56126455372946726</v>
      </c>
      <c r="R95" s="14">
        <f t="shared" si="12"/>
        <v>2.7002098029111723</v>
      </c>
      <c r="S95" s="22">
        <f t="shared" si="13"/>
        <v>2.2418764695778388</v>
      </c>
    </row>
    <row r="96" spans="2:19" x14ac:dyDescent="0.35">
      <c r="B96" s="16">
        <v>88</v>
      </c>
      <c r="C96" s="18">
        <v>9.8527000000000003E-2</v>
      </c>
      <c r="D96" s="14">
        <f t="shared" si="8"/>
        <v>0.90147299999999997</v>
      </c>
      <c r="E96" s="14">
        <f t="shared" si="14"/>
        <v>0.184084599038706</v>
      </c>
      <c r="F96" s="14">
        <f>E96*PRODUCT($D$8:D95)</f>
        <v>8.0280552329739782E-2</v>
      </c>
      <c r="G96" s="14">
        <f>SUM(F96:$F$127)</f>
        <v>0.47158196491900306</v>
      </c>
      <c r="H96" s="14">
        <f t="shared" si="9"/>
        <v>5.8741743950895362</v>
      </c>
      <c r="I96" s="22">
        <f t="shared" si="10"/>
        <v>5.4158410617562032</v>
      </c>
      <c r="L96" s="16">
        <v>88</v>
      </c>
      <c r="M96" s="18">
        <v>9.8527000000000003E-2</v>
      </c>
      <c r="N96" s="14">
        <f t="shared" si="11"/>
        <v>0.90147299999999997</v>
      </c>
      <c r="O96" s="14">
        <f t="shared" si="15"/>
        <v>0.430799846755268</v>
      </c>
      <c r="P96" s="14">
        <f>O96*PRODUCT($N$8:N95)</f>
        <v>0.18787475878853011</v>
      </c>
      <c r="Q96" s="14">
        <f>SUM($F96:F$127)</f>
        <v>0.47158196491900306</v>
      </c>
      <c r="R96" s="14">
        <f t="shared" si="12"/>
        <v>2.5100868682940578</v>
      </c>
      <c r="S96" s="22">
        <f t="shared" si="13"/>
        <v>2.0517535349607243</v>
      </c>
    </row>
    <row r="97" spans="2:19" x14ac:dyDescent="0.35">
      <c r="B97" s="16">
        <v>89</v>
      </c>
      <c r="C97" s="18">
        <v>0.110833</v>
      </c>
      <c r="D97" s="14">
        <f t="shared" si="8"/>
        <v>0.88916700000000004</v>
      </c>
      <c r="E97" s="14">
        <f t="shared" si="14"/>
        <v>0.18057822572368304</v>
      </c>
      <c r="F97" s="14">
        <f>E97*PRODUCT($D$8:D96)</f>
        <v>7.0992259867483753E-2</v>
      </c>
      <c r="G97" s="14">
        <f>SUM(F97:$F$127)</f>
        <v>0.39130141258926332</v>
      </c>
      <c r="H97" s="14">
        <f t="shared" si="9"/>
        <v>5.511888385010959</v>
      </c>
      <c r="I97" s="22">
        <f t="shared" si="10"/>
        <v>5.053555051677626</v>
      </c>
      <c r="L97" s="16">
        <v>89</v>
      </c>
      <c r="M97" s="18">
        <v>0.110833</v>
      </c>
      <c r="N97" s="14">
        <f t="shared" si="11"/>
        <v>0.88916700000000004</v>
      </c>
      <c r="O97" s="14">
        <f t="shared" si="15"/>
        <v>0.42669699107188452</v>
      </c>
      <c r="P97" s="14">
        <f>O97*PRODUCT($N$8:N96)</f>
        <v>0.16775103173956907</v>
      </c>
      <c r="Q97" s="14">
        <f>SUM($F97:F$127)</f>
        <v>0.39130141258926332</v>
      </c>
      <c r="R97" s="14">
        <f t="shared" si="12"/>
        <v>2.332631927991673</v>
      </c>
      <c r="S97" s="22">
        <f t="shared" si="13"/>
        <v>1.8742985946583397</v>
      </c>
    </row>
    <row r="98" spans="2:19" x14ac:dyDescent="0.35">
      <c r="B98" s="16">
        <v>90</v>
      </c>
      <c r="C98" s="18">
        <v>0.12446699999999999</v>
      </c>
      <c r="D98" s="14">
        <f t="shared" si="8"/>
        <v>0.87553300000000001</v>
      </c>
      <c r="E98" s="14">
        <f t="shared" si="14"/>
        <v>0.17713864047180333</v>
      </c>
      <c r="F98" s="14">
        <f>E98*PRODUCT($D$8:D97)</f>
        <v>6.1921613306170131E-2</v>
      </c>
      <c r="G98" s="14">
        <f>SUM(F98:$F$127)</f>
        <v>0.32030915272177957</v>
      </c>
      <c r="H98" s="14">
        <f t="shared" si="9"/>
        <v>5.1728166567304639</v>
      </c>
      <c r="I98" s="22">
        <f t="shared" si="10"/>
        <v>4.7144833233971308</v>
      </c>
      <c r="L98" s="16">
        <v>90</v>
      </c>
      <c r="M98" s="18">
        <v>0.12446699999999999</v>
      </c>
      <c r="N98" s="14">
        <f t="shared" si="11"/>
        <v>0.87553300000000001</v>
      </c>
      <c r="O98" s="14">
        <f t="shared" si="15"/>
        <v>0.42263321020453326</v>
      </c>
      <c r="P98" s="14">
        <f>O98*PRODUCT($N$8:N97)</f>
        <v>0.14773812276602713</v>
      </c>
      <c r="Q98" s="14">
        <f>SUM($F98:F$127)</f>
        <v>0.32030915272177957</v>
      </c>
      <c r="R98" s="14">
        <f t="shared" si="12"/>
        <v>2.1680873340258504</v>
      </c>
      <c r="S98" s="22">
        <f t="shared" si="13"/>
        <v>1.7097540006925172</v>
      </c>
    </row>
    <row r="99" spans="2:19" x14ac:dyDescent="0.35">
      <c r="B99" s="16">
        <v>91</v>
      </c>
      <c r="C99" s="18">
        <v>0.139075</v>
      </c>
      <c r="D99" s="14">
        <f t="shared" si="8"/>
        <v>0.86092499999999994</v>
      </c>
      <c r="E99" s="14">
        <f t="shared" si="14"/>
        <v>0.17376457112948329</v>
      </c>
      <c r="F99" s="14">
        <f>E99*PRODUCT($D$8:D98)</f>
        <v>5.3181760322547421E-2</v>
      </c>
      <c r="G99" s="14">
        <f>SUM(F99:$F$127)</f>
        <v>0.25838753941560938</v>
      </c>
      <c r="H99" s="14">
        <f t="shared" si="9"/>
        <v>4.8585744031128106</v>
      </c>
      <c r="I99" s="22">
        <f t="shared" si="10"/>
        <v>4.4002410697794776</v>
      </c>
      <c r="L99" s="16">
        <v>91</v>
      </c>
      <c r="M99" s="18">
        <v>0.139075</v>
      </c>
      <c r="N99" s="14">
        <f t="shared" si="11"/>
        <v>0.86092499999999994</v>
      </c>
      <c r="O99" s="14">
        <f t="shared" si="15"/>
        <v>0.41860813201210917</v>
      </c>
      <c r="P99" s="14">
        <f>O99*PRODUCT($N$8:N98)</f>
        <v>0.12811770086980606</v>
      </c>
      <c r="Q99" s="14">
        <f>SUM($F99:F$127)</f>
        <v>0.25838753941560938</v>
      </c>
      <c r="R99" s="14">
        <f t="shared" si="12"/>
        <v>2.0167981290749535</v>
      </c>
      <c r="S99" s="22">
        <f t="shared" si="13"/>
        <v>1.5584647957416202</v>
      </c>
    </row>
    <row r="100" spans="2:19" x14ac:dyDescent="0.35">
      <c r="B100" s="16">
        <v>92</v>
      </c>
      <c r="C100" s="18">
        <v>0.15431900000000001</v>
      </c>
      <c r="D100" s="14">
        <f t="shared" si="8"/>
        <v>0.84568100000000002</v>
      </c>
      <c r="E100" s="14">
        <f t="shared" si="14"/>
        <v>0.17045476977463594</v>
      </c>
      <c r="F100" s="14">
        <f>E100*PRODUCT($D$8:D99)</f>
        <v>4.4913402110342664E-2</v>
      </c>
      <c r="G100" s="14">
        <f>SUM(F100:$F$127)</f>
        <v>0.2052057790930619</v>
      </c>
      <c r="H100" s="14">
        <f t="shared" si="9"/>
        <v>4.5689208443598863</v>
      </c>
      <c r="I100" s="22">
        <f t="shared" si="10"/>
        <v>4.1105875110265533</v>
      </c>
      <c r="L100" s="16">
        <v>92</v>
      </c>
      <c r="M100" s="18">
        <v>0.15431900000000001</v>
      </c>
      <c r="N100" s="14">
        <f t="shared" si="11"/>
        <v>0.84568100000000002</v>
      </c>
      <c r="O100" s="14">
        <f t="shared" si="15"/>
        <v>0.41462138789770814</v>
      </c>
      <c r="P100" s="14">
        <f>O100*PRODUCT($N$8:N99)</f>
        <v>0.10924925798684886</v>
      </c>
      <c r="Q100" s="14">
        <f>SUM($F100:F$127)</f>
        <v>0.2052057790930619</v>
      </c>
      <c r="R100" s="14">
        <f t="shared" si="12"/>
        <v>1.8783265248150613</v>
      </c>
      <c r="S100" s="22">
        <f t="shared" si="13"/>
        <v>1.4199931914817281</v>
      </c>
    </row>
    <row r="101" spans="2:19" x14ac:dyDescent="0.35">
      <c r="B101" s="16">
        <v>93</v>
      </c>
      <c r="C101" s="18">
        <v>0.16989199999999999</v>
      </c>
      <c r="D101" s="14">
        <f t="shared" si="8"/>
        <v>0.83010800000000007</v>
      </c>
      <c r="E101" s="14">
        <f t="shared" si="14"/>
        <v>0.16720801225511905</v>
      </c>
      <c r="F101" s="14">
        <f>E101*PRODUCT($D$8:D100)</f>
        <v>3.7258936318456184E-2</v>
      </c>
      <c r="G101" s="14">
        <f>SUM(F101:$F$127)</f>
        <v>0.16029237698271923</v>
      </c>
      <c r="H101" s="14">
        <f t="shared" si="9"/>
        <v>4.3021189765773995</v>
      </c>
      <c r="I101" s="22">
        <f t="shared" si="10"/>
        <v>3.843785643244066</v>
      </c>
      <c r="L101" s="16">
        <v>93</v>
      </c>
      <c r="M101" s="18">
        <v>0.16989199999999999</v>
      </c>
      <c r="N101" s="14">
        <f t="shared" si="11"/>
        <v>0.83010800000000007</v>
      </c>
      <c r="O101" s="14">
        <f t="shared" si="15"/>
        <v>0.41067261277487288</v>
      </c>
      <c r="P101" s="14">
        <f>O101*PRODUCT($N$8:N100)</f>
        <v>9.1510116774589909E-2</v>
      </c>
      <c r="Q101" s="14">
        <f>SUM($F101:F$127)</f>
        <v>0.16029237698271923</v>
      </c>
      <c r="R101" s="14">
        <f t="shared" si="12"/>
        <v>1.7516355855774457</v>
      </c>
      <c r="S101" s="22">
        <f t="shared" si="13"/>
        <v>1.2933022522441124</v>
      </c>
    </row>
    <row r="102" spans="2:19" x14ac:dyDescent="0.35">
      <c r="B102" s="16">
        <v>94</v>
      </c>
      <c r="C102" s="18">
        <v>0.18577099999999999</v>
      </c>
      <c r="D102" s="14">
        <f t="shared" si="8"/>
        <v>0.81422899999999998</v>
      </c>
      <c r="E102" s="14">
        <f t="shared" si="14"/>
        <v>0.16402309773597393</v>
      </c>
      <c r="F102" s="14">
        <f>E102*PRODUCT($D$8:D101)</f>
        <v>3.0339818421642153E-2</v>
      </c>
      <c r="G102" s="14">
        <f>SUM(F102:$F$127)</f>
        <v>0.12303344066426306</v>
      </c>
      <c r="H102" s="14">
        <f t="shared" si="9"/>
        <v>4.0551805206751075</v>
      </c>
      <c r="I102" s="22">
        <f t="shared" si="10"/>
        <v>3.596847187341774</v>
      </c>
      <c r="L102" s="16">
        <v>94</v>
      </c>
      <c r="M102" s="18">
        <v>0.18577099999999999</v>
      </c>
      <c r="N102" s="14">
        <f t="shared" si="11"/>
        <v>0.81422899999999998</v>
      </c>
      <c r="O102" s="14">
        <f t="shared" si="15"/>
        <v>0.40676144503415979</v>
      </c>
      <c r="P102" s="14">
        <f>O102*PRODUCT($N$8:N101)</f>
        <v>7.5239820205849656E-2</v>
      </c>
      <c r="Q102" s="14">
        <f>SUM($F102:F$127)</f>
        <v>0.12303344066426306</v>
      </c>
      <c r="R102" s="14">
        <f t="shared" si="12"/>
        <v>1.635217100833763</v>
      </c>
      <c r="S102" s="22">
        <f t="shared" si="13"/>
        <v>1.1768837675004298</v>
      </c>
    </row>
    <row r="103" spans="2:19" x14ac:dyDescent="0.35">
      <c r="B103" s="16">
        <v>95</v>
      </c>
      <c r="C103" s="18">
        <v>0.20181399999999999</v>
      </c>
      <c r="D103" s="14">
        <f t="shared" si="8"/>
        <v>0.79818600000000006</v>
      </c>
      <c r="E103" s="14">
        <f t="shared" si="14"/>
        <v>0.16089884825528872</v>
      </c>
      <c r="F103" s="14">
        <f>E103*PRODUCT($D$8:D102)</f>
        <v>2.4233016013375547E-2</v>
      </c>
      <c r="G103" s="14">
        <f>SUM(F103:$F$127)</f>
        <v>9.2693622242620899E-2</v>
      </c>
      <c r="H103" s="14">
        <f t="shared" si="9"/>
        <v>3.8250963970583829</v>
      </c>
      <c r="I103" s="22">
        <f t="shared" si="10"/>
        <v>3.3667630637250494</v>
      </c>
      <c r="L103" s="16">
        <v>95</v>
      </c>
      <c r="M103" s="18">
        <v>0.20181399999999999</v>
      </c>
      <c r="N103" s="14">
        <f t="shared" si="11"/>
        <v>0.79818600000000006</v>
      </c>
      <c r="O103" s="14">
        <f t="shared" si="15"/>
        <v>0.40288752651002496</v>
      </c>
      <c r="P103" s="14">
        <f>O103*PRODUCT($N$8:N102)</f>
        <v>6.0678991722899339E-2</v>
      </c>
      <c r="Q103" s="14">
        <f>SUM($F103:F$127)</f>
        <v>9.2693622242620899E-2</v>
      </c>
      <c r="R103" s="14">
        <f t="shared" si="12"/>
        <v>1.5276065012075624</v>
      </c>
      <c r="S103" s="22">
        <f t="shared" si="13"/>
        <v>1.0692731678742291</v>
      </c>
    </row>
    <row r="104" spans="2:19" x14ac:dyDescent="0.35">
      <c r="B104" s="16">
        <v>96</v>
      </c>
      <c r="C104" s="18">
        <v>0.21976200000000001</v>
      </c>
      <c r="D104" s="14">
        <f t="shared" si="8"/>
        <v>0.78023799999999999</v>
      </c>
      <c r="E104" s="14">
        <f t="shared" si="14"/>
        <v>0.15783410828852129</v>
      </c>
      <c r="F104" s="14">
        <f>E104*PRODUCT($D$8:D103)</f>
        <v>1.8974026422134988E-2</v>
      </c>
      <c r="G104" s="14">
        <f>SUM(F104:$F$127)</f>
        <v>6.8460606229245338E-2</v>
      </c>
      <c r="H104" s="14">
        <f t="shared" si="9"/>
        <v>3.608122214343477</v>
      </c>
      <c r="I104" s="22">
        <f t="shared" si="10"/>
        <v>3.1497888810101435</v>
      </c>
      <c r="L104" s="16">
        <v>96</v>
      </c>
      <c r="M104" s="18">
        <v>0.21976200000000001</v>
      </c>
      <c r="N104" s="14">
        <f t="shared" si="11"/>
        <v>0.78023799999999999</v>
      </c>
      <c r="O104" s="14">
        <f t="shared" si="15"/>
        <v>0.39905050244802476</v>
      </c>
      <c r="P104" s="14">
        <f>O104*PRODUCT($N$8:N103)</f>
        <v>4.7971853861740479E-2</v>
      </c>
      <c r="Q104" s="14">
        <f>SUM($F104:F$127)</f>
        <v>6.8460606229245338E-2</v>
      </c>
      <c r="R104" s="14">
        <f t="shared" si="12"/>
        <v>1.4270994493261699</v>
      </c>
      <c r="S104" s="22">
        <f t="shared" si="13"/>
        <v>0.96876611599283668</v>
      </c>
    </row>
    <row r="105" spans="2:19" x14ac:dyDescent="0.35">
      <c r="B105" s="16">
        <v>97</v>
      </c>
      <c r="C105" s="18">
        <v>0.23838200000000001</v>
      </c>
      <c r="D105" s="14">
        <f t="shared" si="8"/>
        <v>0.76161800000000002</v>
      </c>
      <c r="E105" s="14">
        <f t="shared" si="14"/>
        <v>0.1548277443211209</v>
      </c>
      <c r="F105" s="14">
        <f>E105*PRODUCT($D$8:D104)</f>
        <v>1.4522270590838451E-2</v>
      </c>
      <c r="G105" s="14">
        <f>SUM(F105:$F$127)</f>
        <v>4.9486579807110367E-2</v>
      </c>
      <c r="H105" s="14">
        <f t="shared" si="9"/>
        <v>3.4076337785862196</v>
      </c>
      <c r="I105" s="22">
        <f t="shared" si="10"/>
        <v>2.9493004452528861</v>
      </c>
      <c r="L105" s="16">
        <v>97</v>
      </c>
      <c r="M105" s="18">
        <v>0.23838200000000001</v>
      </c>
      <c r="N105" s="14">
        <f t="shared" si="11"/>
        <v>0.76161800000000002</v>
      </c>
      <c r="O105" s="14">
        <f t="shared" si="15"/>
        <v>0.39525002147232929</v>
      </c>
      <c r="P105" s="14">
        <f>O105*PRODUCT($N$8:N104)</f>
        <v>3.707299223420165E-2</v>
      </c>
      <c r="Q105" s="14">
        <f>SUM($F105:F$127)</f>
        <v>4.9486579807110367E-2</v>
      </c>
      <c r="R105" s="14">
        <f t="shared" si="12"/>
        <v>1.3348418032860205</v>
      </c>
      <c r="S105" s="22">
        <f t="shared" si="13"/>
        <v>0.87650846995268727</v>
      </c>
    </row>
    <row r="106" spans="2:19" x14ac:dyDescent="0.35">
      <c r="B106" s="16">
        <v>98</v>
      </c>
      <c r="C106" s="18">
        <v>0.25773099999999999</v>
      </c>
      <c r="D106" s="14">
        <f t="shared" si="8"/>
        <v>0.74226900000000007</v>
      </c>
      <c r="E106" s="14">
        <f t="shared" si="14"/>
        <v>0.15187864442928997</v>
      </c>
      <c r="F106" s="14">
        <f>E106*PRODUCT($D$8:D105)</f>
        <v>1.0849747965084564E-2</v>
      </c>
      <c r="G106" s="14">
        <f>SUM(F106:$F$127)</f>
        <v>3.4964309216271916E-2</v>
      </c>
      <c r="H106" s="14">
        <f t="shared" si="9"/>
        <v>3.2225918361228403</v>
      </c>
      <c r="I106" s="22">
        <f t="shared" si="10"/>
        <v>2.7642585027895068</v>
      </c>
      <c r="L106" s="16">
        <v>98</v>
      </c>
      <c r="M106" s="18">
        <v>0.25773099999999999</v>
      </c>
      <c r="N106" s="14">
        <f t="shared" si="11"/>
        <v>0.74226900000000007</v>
      </c>
      <c r="O106" s="14">
        <f t="shared" si="15"/>
        <v>0.39148573555354527</v>
      </c>
      <c r="P106" s="14">
        <f>O106*PRODUCT($N$8:N105)</f>
        <v>2.7966549073719361E-2</v>
      </c>
      <c r="Q106" s="14">
        <f>SUM($F106:F$127)</f>
        <v>3.4964309216271916E-2</v>
      </c>
      <c r="R106" s="14">
        <f t="shared" si="12"/>
        <v>1.2502189356329441</v>
      </c>
      <c r="S106" s="22">
        <f t="shared" si="13"/>
        <v>0.7918856022996108</v>
      </c>
    </row>
    <row r="107" spans="2:19" x14ac:dyDescent="0.35">
      <c r="B107" s="16">
        <v>99</v>
      </c>
      <c r="C107" s="18">
        <v>0.27768199999999998</v>
      </c>
      <c r="D107" s="14">
        <f t="shared" si="8"/>
        <v>0.72231800000000002</v>
      </c>
      <c r="E107" s="14">
        <f t="shared" si="14"/>
        <v>0.14898571786873208</v>
      </c>
      <c r="F107" s="14">
        <f>E107*PRODUCT($D$8:D106)</f>
        <v>7.9000328756802067E-3</v>
      </c>
      <c r="G107" s="14">
        <f>SUM(F107:$F$127)</f>
        <v>2.4114561251187345E-2</v>
      </c>
      <c r="H107" s="14">
        <f t="shared" si="9"/>
        <v>3.0524634049843797</v>
      </c>
      <c r="I107" s="22">
        <f t="shared" si="10"/>
        <v>2.5941300716510463</v>
      </c>
      <c r="L107" s="16">
        <v>99</v>
      </c>
      <c r="M107" s="18">
        <v>0.27768199999999998</v>
      </c>
      <c r="N107" s="14">
        <f t="shared" si="11"/>
        <v>0.72231800000000002</v>
      </c>
      <c r="O107" s="14">
        <f t="shared" si="15"/>
        <v>0.38775729997684483</v>
      </c>
      <c r="P107" s="14">
        <f>O107*PRODUCT($N$8:N106)</f>
        <v>2.0561000486644401E-2</v>
      </c>
      <c r="Q107" s="14">
        <f>SUM($F107:F$127)</f>
        <v>2.4114561251187345E-2</v>
      </c>
      <c r="R107" s="14">
        <f t="shared" si="12"/>
        <v>1.1728301483602996</v>
      </c>
      <c r="S107" s="22">
        <f t="shared" si="13"/>
        <v>0.71449681502696638</v>
      </c>
    </row>
    <row r="108" spans="2:19" x14ac:dyDescent="0.35">
      <c r="B108" s="16">
        <v>100</v>
      </c>
      <c r="C108" s="18">
        <v>0.298176</v>
      </c>
      <c r="D108" s="14">
        <f t="shared" si="8"/>
        <v>0.701824</v>
      </c>
      <c r="E108" s="14">
        <f t="shared" si="14"/>
        <v>0.1461478946712324</v>
      </c>
      <c r="F108" s="14">
        <f>E108*PRODUCT($D$8:D107)</f>
        <v>5.5976438334251824E-3</v>
      </c>
      <c r="G108" s="14">
        <f>SUM(F108:$F$127)</f>
        <v>1.6214528375507135E-2</v>
      </c>
      <c r="H108" s="14">
        <f t="shared" si="9"/>
        <v>2.8966702523453534</v>
      </c>
      <c r="I108" s="22">
        <f t="shared" si="10"/>
        <v>2.4383369190120199</v>
      </c>
      <c r="L108" s="16">
        <v>100</v>
      </c>
      <c r="M108" s="18">
        <v>0.298176</v>
      </c>
      <c r="N108" s="14">
        <f t="shared" si="11"/>
        <v>0.701824</v>
      </c>
      <c r="O108" s="14">
        <f t="shared" si="15"/>
        <v>0.38406437331039872</v>
      </c>
      <c r="P108" s="14">
        <f>O108*PRODUCT($N$8:N107)</f>
        <v>1.4710137123326184E-2</v>
      </c>
      <c r="Q108" s="14">
        <f>SUM($F108:F$127)</f>
        <v>1.6214528375507135E-2</v>
      </c>
      <c r="R108" s="14">
        <f t="shared" si="12"/>
        <v>1.1022690162279591</v>
      </c>
      <c r="S108" s="22">
        <f t="shared" si="13"/>
        <v>0.64393568289462588</v>
      </c>
    </row>
    <row r="109" spans="2:19" x14ac:dyDescent="0.35">
      <c r="B109" s="16">
        <v>101</v>
      </c>
      <c r="C109" s="18">
        <v>0.31892300000000001</v>
      </c>
      <c r="D109" s="14">
        <f t="shared" si="8"/>
        <v>0.68107699999999993</v>
      </c>
      <c r="E109" s="14">
        <f t="shared" si="14"/>
        <v>0.14336412524892322</v>
      </c>
      <c r="F109" s="14">
        <f>E109*PRODUCT($D$8:D108)</f>
        <v>3.8537310564974187E-3</v>
      </c>
      <c r="G109" s="14">
        <f>SUM(F109:$F$127)</f>
        <v>1.0616884542081961E-2</v>
      </c>
      <c r="H109" s="14">
        <f t="shared" si="9"/>
        <v>2.7549624990518775</v>
      </c>
      <c r="I109" s="22">
        <f t="shared" si="10"/>
        <v>2.296629165718544</v>
      </c>
      <c r="L109" s="16">
        <v>101</v>
      </c>
      <c r="M109" s="18">
        <v>0.31892300000000001</v>
      </c>
      <c r="N109" s="14">
        <f t="shared" si="11"/>
        <v>0.68107699999999993</v>
      </c>
      <c r="O109" s="14">
        <f t="shared" si="15"/>
        <v>0.38040661737410925</v>
      </c>
      <c r="P109" s="14">
        <f>O109*PRODUCT($N$8:N108)</f>
        <v>1.0225604159522788E-2</v>
      </c>
      <c r="Q109" s="14">
        <f>SUM($F109:F$127)</f>
        <v>1.0616884542081961E-2</v>
      </c>
      <c r="R109" s="14">
        <f t="shared" si="12"/>
        <v>1.0382647691476288</v>
      </c>
      <c r="S109" s="22">
        <f t="shared" si="13"/>
        <v>0.57993143581429552</v>
      </c>
    </row>
    <row r="110" spans="2:19" x14ac:dyDescent="0.35">
      <c r="B110" s="16">
        <v>102</v>
      </c>
      <c r="C110" s="18">
        <v>0.33959699999999998</v>
      </c>
      <c r="D110" s="14">
        <f t="shared" si="8"/>
        <v>0.66040300000000007</v>
      </c>
      <c r="E110" s="14">
        <f t="shared" si="14"/>
        <v>0.14063338000608658</v>
      </c>
      <c r="F110" s="14">
        <f>E110*PRODUCT($D$8:D109)</f>
        <v>2.5746935374943566E-3</v>
      </c>
      <c r="G110" s="14">
        <f>SUM(F110:$F$127)</f>
        <v>6.7631534855845405E-3</v>
      </c>
      <c r="H110" s="14">
        <f t="shared" si="9"/>
        <v>2.6267799981221511</v>
      </c>
      <c r="I110" s="22">
        <f t="shared" si="10"/>
        <v>2.1684466647888176</v>
      </c>
      <c r="L110" s="16">
        <v>102</v>
      </c>
      <c r="M110" s="18">
        <v>0.33959699999999998</v>
      </c>
      <c r="N110" s="14">
        <f t="shared" si="11"/>
        <v>0.66040300000000007</v>
      </c>
      <c r="O110" s="14">
        <f t="shared" si="15"/>
        <v>0.37678369720864152</v>
      </c>
      <c r="P110" s="14">
        <f>O110*PRODUCT($N$8:N109)</f>
        <v>6.8980959584014406E-3</v>
      </c>
      <c r="Q110" s="14">
        <f>SUM($F110:F$127)</f>
        <v>6.7631534855845405E-3</v>
      </c>
      <c r="R110" s="14">
        <f t="shared" si="12"/>
        <v>0.98043772170890886</v>
      </c>
      <c r="S110" s="22">
        <f t="shared" si="13"/>
        <v>0.5221043883755756</v>
      </c>
    </row>
    <row r="111" spans="2:19" x14ac:dyDescent="0.35">
      <c r="B111" s="16">
        <v>103</v>
      </c>
      <c r="C111" s="18">
        <v>0.36011100000000001</v>
      </c>
      <c r="D111" s="14">
        <f t="shared" si="8"/>
        <v>0.63988899999999993</v>
      </c>
      <c r="E111" s="14">
        <f t="shared" si="14"/>
        <v>0.13795464895835161</v>
      </c>
      <c r="F111" s="14">
        <f>E111*PRODUCT($D$8:D110)</f>
        <v>1.6679479965039453E-3</v>
      </c>
      <c r="G111" s="14">
        <f>SUM(F111:$F$127)</f>
        <v>4.1884599480901822E-3</v>
      </c>
      <c r="H111" s="14">
        <f t="shared" si="9"/>
        <v>2.5111454055337958</v>
      </c>
      <c r="I111" s="22">
        <f t="shared" si="10"/>
        <v>2.0528120722004624</v>
      </c>
      <c r="L111" s="16">
        <v>103</v>
      </c>
      <c r="M111" s="18">
        <v>0.36011100000000001</v>
      </c>
      <c r="N111" s="14">
        <f t="shared" si="11"/>
        <v>0.63988899999999993</v>
      </c>
      <c r="O111" s="14">
        <f t="shared" si="15"/>
        <v>0.37319528104474969</v>
      </c>
      <c r="P111" s="14">
        <f>O111*PRODUCT($N$8:N110)</f>
        <v>4.5121373293569855E-3</v>
      </c>
      <c r="Q111" s="14">
        <f>SUM($F111:F$127)</f>
        <v>4.1884599480901822E-3</v>
      </c>
      <c r="R111" s="14">
        <f t="shared" si="12"/>
        <v>0.92826517509542872</v>
      </c>
      <c r="S111" s="22">
        <f t="shared" si="13"/>
        <v>0.4699318417620954</v>
      </c>
    </row>
    <row r="112" spans="2:19" x14ac:dyDescent="0.35">
      <c r="B112" s="16">
        <v>104</v>
      </c>
      <c r="C112" s="18">
        <v>0.380241</v>
      </c>
      <c r="D112" s="14">
        <f t="shared" si="8"/>
        <v>0.61975899999999995</v>
      </c>
      <c r="E112" s="14">
        <f t="shared" si="14"/>
        <v>0.13532694135914489</v>
      </c>
      <c r="F112" s="14">
        <f>E112*PRODUCT($D$8:D111)</f>
        <v>1.0469720217152001E-3</v>
      </c>
      <c r="G112" s="14">
        <f>SUM(F112:$F$127)</f>
        <v>2.5205119515862373E-3</v>
      </c>
      <c r="H112" s="14">
        <f t="shared" si="9"/>
        <v>2.4074300929809116</v>
      </c>
      <c r="I112" s="22">
        <f t="shared" si="10"/>
        <v>1.9490967596475783</v>
      </c>
      <c r="L112" s="16">
        <v>104</v>
      </c>
      <c r="M112" s="18">
        <v>0.380241</v>
      </c>
      <c r="N112" s="14">
        <f t="shared" si="11"/>
        <v>0.61975899999999995</v>
      </c>
      <c r="O112" s="14">
        <f t="shared" si="15"/>
        <v>0.36964104027289496</v>
      </c>
      <c r="P112" s="14">
        <f>O112*PRODUCT($N$8:N111)</f>
        <v>2.8597692621778175E-3</v>
      </c>
      <c r="Q112" s="14">
        <f>SUM($F112:F$127)</f>
        <v>2.5205119515862373E-3</v>
      </c>
      <c r="R112" s="14">
        <f t="shared" si="12"/>
        <v>0.88136899186991624</v>
      </c>
      <c r="S112" s="22">
        <f t="shared" si="13"/>
        <v>0.42303565853658293</v>
      </c>
    </row>
    <row r="113" spans="2:19" x14ac:dyDescent="0.35">
      <c r="B113" s="16">
        <v>105</v>
      </c>
      <c r="C113" s="18">
        <v>0.399509</v>
      </c>
      <c r="D113" s="14">
        <f t="shared" si="8"/>
        <v>0.600491</v>
      </c>
      <c r="E113" s="14">
        <f t="shared" si="14"/>
        <v>0.13274928533325639</v>
      </c>
      <c r="F113" s="14">
        <f>E113*PRODUCT($D$8:D112)</f>
        <v>6.3651089828797738E-4</v>
      </c>
      <c r="G113" s="14">
        <f>SUM(F113:$F$127)</f>
        <v>1.473539929871037E-3</v>
      </c>
      <c r="H113" s="14">
        <f t="shared" si="9"/>
        <v>2.3150270228434668</v>
      </c>
      <c r="I113" s="22">
        <f t="shared" si="10"/>
        <v>1.8566936895101336</v>
      </c>
      <c r="L113" s="16">
        <v>105</v>
      </c>
      <c r="M113" s="18">
        <v>0.399509</v>
      </c>
      <c r="N113" s="14">
        <f t="shared" si="11"/>
        <v>0.600491</v>
      </c>
      <c r="O113" s="14">
        <f t="shared" si="15"/>
        <v>0.36612064941315314</v>
      </c>
      <c r="P113" s="14">
        <f>O113*PRODUCT($N$8:N112)</f>
        <v>1.7554880454136994E-3</v>
      </c>
      <c r="Q113" s="14">
        <f>SUM($F113:F$127)</f>
        <v>1.473539929871037E-3</v>
      </c>
      <c r="R113" s="14">
        <f t="shared" si="12"/>
        <v>0.83939046678257589</v>
      </c>
      <c r="S113" s="22">
        <f t="shared" si="13"/>
        <v>0.38105713344924258</v>
      </c>
    </row>
    <row r="114" spans="2:19" x14ac:dyDescent="0.35">
      <c r="B114" s="16">
        <v>106</v>
      </c>
      <c r="C114" s="18">
        <v>0.41831000000000002</v>
      </c>
      <c r="D114" s="14">
        <f t="shared" si="8"/>
        <v>0.58169000000000004</v>
      </c>
      <c r="E114" s="14">
        <f t="shared" si="14"/>
        <v>0.13022072751738484</v>
      </c>
      <c r="F114" s="14">
        <f>E114*PRODUCT($D$8:D113)</f>
        <v>3.7493870266529634E-4</v>
      </c>
      <c r="G114" s="14">
        <f>SUM(F114:$F$127)</f>
        <v>8.370290315830595E-4</v>
      </c>
      <c r="H114" s="14">
        <f t="shared" si="9"/>
        <v>2.2324423315943087</v>
      </c>
      <c r="I114" s="22">
        <f t="shared" si="10"/>
        <v>1.7741089982609755</v>
      </c>
      <c r="L114" s="16">
        <v>106</v>
      </c>
      <c r="M114" s="18">
        <v>0.41831000000000002</v>
      </c>
      <c r="N114" s="14">
        <f t="shared" si="11"/>
        <v>0.58169000000000004</v>
      </c>
      <c r="O114" s="14">
        <f t="shared" si="15"/>
        <v>0.36263378608540886</v>
      </c>
      <c r="P114" s="14">
        <f>O114*PRODUCT($N$8:N113)</f>
        <v>1.044115202622532E-3</v>
      </c>
      <c r="Q114" s="14">
        <f>SUM($F114:F$127)</f>
        <v>8.370290315830595E-4</v>
      </c>
      <c r="R114" s="14">
        <f t="shared" si="12"/>
        <v>0.80166348452802083</v>
      </c>
      <c r="S114" s="22">
        <f t="shared" si="13"/>
        <v>0.34333015119468752</v>
      </c>
    </row>
    <row r="115" spans="2:19" x14ac:dyDescent="0.35">
      <c r="B115" s="16">
        <v>107</v>
      </c>
      <c r="C115" s="18">
        <v>0.43604599999999999</v>
      </c>
      <c r="D115" s="14">
        <f t="shared" si="8"/>
        <v>0.56395400000000007</v>
      </c>
      <c r="E115" s="14">
        <f t="shared" si="14"/>
        <v>0.12774033270752988</v>
      </c>
      <c r="F115" s="14">
        <f>E115*PRODUCT($D$8:D114)</f>
        <v>2.1394384454474051E-4</v>
      </c>
      <c r="G115" s="14">
        <f>SUM(F115:$F$127)</f>
        <v>4.6209032891776343E-4</v>
      </c>
      <c r="H115" s="14">
        <f t="shared" si="9"/>
        <v>2.1598673703422668</v>
      </c>
      <c r="I115" s="22">
        <f t="shared" si="10"/>
        <v>1.7015340370089336</v>
      </c>
      <c r="L115" s="16">
        <v>107</v>
      </c>
      <c r="M115" s="18">
        <v>0.43604599999999999</v>
      </c>
      <c r="N115" s="14">
        <f t="shared" si="11"/>
        <v>0.56395400000000007</v>
      </c>
      <c r="O115" s="14">
        <f t="shared" si="15"/>
        <v>0.35918013097983353</v>
      </c>
      <c r="P115" s="14">
        <f>O115*PRODUCT($N$8:N114)</f>
        <v>6.0156707343051493E-4</v>
      </c>
      <c r="Q115" s="14">
        <f>SUM($F115:F$127)</f>
        <v>4.6209032891776343E-4</v>
      </c>
      <c r="R115" s="14">
        <f t="shared" si="12"/>
        <v>0.76814431727892429</v>
      </c>
      <c r="S115" s="22">
        <f t="shared" si="13"/>
        <v>0.30981098394559098</v>
      </c>
    </row>
    <row r="116" spans="2:19" x14ac:dyDescent="0.35">
      <c r="B116" s="16">
        <v>108</v>
      </c>
      <c r="C116" s="18">
        <v>0.452706</v>
      </c>
      <c r="D116" s="14">
        <f t="shared" si="8"/>
        <v>0.54729399999999995</v>
      </c>
      <c r="E116" s="14">
        <f t="shared" si="14"/>
        <v>0.12530718351310074</v>
      </c>
      <c r="F116" s="14">
        <f>E116*PRODUCT($D$8:D115)</f>
        <v>1.1835630620340586E-4</v>
      </c>
      <c r="G116" s="14">
        <f>SUM(F116:$F$127)</f>
        <v>2.481464843730229E-4</v>
      </c>
      <c r="H116" s="14">
        <f t="shared" si="9"/>
        <v>2.0966055154387893</v>
      </c>
      <c r="I116" s="22">
        <f t="shared" si="10"/>
        <v>1.638272182105456</v>
      </c>
      <c r="L116" s="16">
        <v>108</v>
      </c>
      <c r="M116" s="18">
        <v>0.452706</v>
      </c>
      <c r="N116" s="14">
        <f t="shared" si="11"/>
        <v>0.54729399999999995</v>
      </c>
      <c r="O116" s="14">
        <f t="shared" si="15"/>
        <v>0.35575936782764472</v>
      </c>
      <c r="P116" s="14">
        <f>O116*PRODUCT($N$8:N115)</f>
        <v>3.3602514630724767E-4</v>
      </c>
      <c r="Q116" s="14">
        <f>SUM($F116:F$127)</f>
        <v>2.481464843730229E-4</v>
      </c>
      <c r="R116" s="14">
        <f t="shared" si="12"/>
        <v>0.73847593580430404</v>
      </c>
      <c r="S116" s="22">
        <f t="shared" si="13"/>
        <v>0.28014260247097073</v>
      </c>
    </row>
    <row r="117" spans="2:19" x14ac:dyDescent="0.35">
      <c r="B117" s="16">
        <v>109</v>
      </c>
      <c r="C117" s="18">
        <v>0.468526</v>
      </c>
      <c r="D117" s="14">
        <f t="shared" si="8"/>
        <v>0.531474</v>
      </c>
      <c r="E117" s="14">
        <f t="shared" si="14"/>
        <v>0.1229203800176131</v>
      </c>
      <c r="F117" s="14">
        <f>E117*PRODUCT($D$8:D116)</f>
        <v>6.354187346162419E-5</v>
      </c>
      <c r="G117" s="14">
        <f>SUM(F117:$F$127)</f>
        <v>1.2979017816961702E-4</v>
      </c>
      <c r="H117" s="14">
        <f t="shared" si="9"/>
        <v>2.0425928777187088</v>
      </c>
      <c r="I117" s="22">
        <f t="shared" si="10"/>
        <v>1.5842595443853755</v>
      </c>
      <c r="L117" s="16">
        <v>109</v>
      </c>
      <c r="M117" s="18">
        <v>0.468526</v>
      </c>
      <c r="N117" s="14">
        <f t="shared" si="11"/>
        <v>0.531474</v>
      </c>
      <c r="O117" s="14">
        <f t="shared" si="15"/>
        <v>0.35237118337214335</v>
      </c>
      <c r="P117" s="14">
        <f>O117*PRODUCT($N$8:N116)</f>
        <v>1.821530745523828E-4</v>
      </c>
      <c r="Q117" s="14">
        <f>SUM($F117:F$127)</f>
        <v>1.2979017816961702E-4</v>
      </c>
      <c r="R117" s="14">
        <f t="shared" si="12"/>
        <v>0.71253355722136058</v>
      </c>
      <c r="S117" s="22">
        <f t="shared" si="13"/>
        <v>0.25420022388802727</v>
      </c>
    </row>
    <row r="118" spans="2:19" x14ac:dyDescent="0.35">
      <c r="B118" s="16">
        <v>110</v>
      </c>
      <c r="C118" s="18">
        <v>0.48324499999999998</v>
      </c>
      <c r="D118" s="14">
        <f t="shared" si="8"/>
        <v>0.51675500000000008</v>
      </c>
      <c r="E118" s="14">
        <f t="shared" si="14"/>
        <v>0.12057903944584902</v>
      </c>
      <c r="F118" s="14">
        <f>E118*PRODUCT($D$8:D117)</f>
        <v>3.3127599300788137E-5</v>
      </c>
      <c r="G118" s="14">
        <f>SUM(F118:$F$127)</f>
        <v>6.6248304707992785E-5</v>
      </c>
      <c r="H118" s="14">
        <f t="shared" si="9"/>
        <v>1.9997918987874463</v>
      </c>
      <c r="I118" s="22">
        <f t="shared" si="10"/>
        <v>1.5414585654541131</v>
      </c>
      <c r="L118" s="16">
        <v>110</v>
      </c>
      <c r="M118" s="18">
        <v>0.48324499999999998</v>
      </c>
      <c r="N118" s="14">
        <f t="shared" si="11"/>
        <v>0.51675500000000008</v>
      </c>
      <c r="O118" s="14">
        <f t="shared" si="15"/>
        <v>0.34901526734002769</v>
      </c>
      <c r="P118" s="14">
        <f>O118*PRODUCT($N$8:N117)</f>
        <v>9.5887626733751646E-5</v>
      </c>
      <c r="Q118" s="14">
        <f>SUM($F118:F$127)</f>
        <v>6.6248304707992785E-5</v>
      </c>
      <c r="R118" s="14">
        <f t="shared" si="12"/>
        <v>0.69089523815145104</v>
      </c>
      <c r="S118" s="22">
        <f t="shared" si="13"/>
        <v>0.23256190481811773</v>
      </c>
    </row>
    <row r="119" spans="2:19" x14ac:dyDescent="0.35">
      <c r="B119" s="16">
        <v>111</v>
      </c>
      <c r="C119" s="18">
        <v>0.49296600000000002</v>
      </c>
      <c r="D119" s="14">
        <f t="shared" si="8"/>
        <v>0.50703399999999998</v>
      </c>
      <c r="E119" s="14">
        <f t="shared" si="14"/>
        <v>0.11828229583735668</v>
      </c>
      <c r="F119" s="14">
        <f>E119*PRODUCT($D$8:D118)</f>
        <v>1.6792779194265853E-5</v>
      </c>
      <c r="G119" s="14">
        <f>SUM(F119:$F$127)</f>
        <v>3.3120705407204682E-5</v>
      </c>
      <c r="H119" s="14">
        <f t="shared" si="9"/>
        <v>1.9723182818073524</v>
      </c>
      <c r="I119" s="22">
        <f t="shared" si="10"/>
        <v>1.5139849484740191</v>
      </c>
      <c r="L119" s="16">
        <v>111</v>
      </c>
      <c r="M119" s="18">
        <v>0.49296600000000002</v>
      </c>
      <c r="N119" s="14">
        <f t="shared" si="11"/>
        <v>0.50703399999999998</v>
      </c>
      <c r="O119" s="14">
        <f t="shared" si="15"/>
        <v>0.34569131241297979</v>
      </c>
      <c r="P119" s="14">
        <f>O119*PRODUCT($N$8:N118)</f>
        <v>4.9078501880868407E-5</v>
      </c>
      <c r="Q119" s="14">
        <f>SUM($F119:F$127)</f>
        <v>3.3120705407204682E-5</v>
      </c>
      <c r="R119" s="14">
        <f t="shared" si="12"/>
        <v>0.67485159770363057</v>
      </c>
      <c r="S119" s="22">
        <f t="shared" si="13"/>
        <v>0.21651826437029725</v>
      </c>
    </row>
    <row r="120" spans="2:19" x14ac:dyDescent="0.35">
      <c r="B120" s="16">
        <v>112</v>
      </c>
      <c r="C120" s="18">
        <v>0.49943300000000002</v>
      </c>
      <c r="D120" s="14">
        <f t="shared" si="8"/>
        <v>0.50056699999999998</v>
      </c>
      <c r="E120" s="14">
        <f t="shared" si="14"/>
        <v>0.11602929972616891</v>
      </c>
      <c r="F120" s="14">
        <f>E120*PRODUCT($D$8:D119)</f>
        <v>8.3523288630142393E-6</v>
      </c>
      <c r="G120" s="14">
        <f>SUM(F120:$F$127)</f>
        <v>1.6327926212938819E-5</v>
      </c>
      <c r="H120" s="14">
        <f t="shared" si="9"/>
        <v>1.9548950335567004</v>
      </c>
      <c r="I120" s="22">
        <f t="shared" si="10"/>
        <v>1.4965617002233671</v>
      </c>
      <c r="L120" s="16">
        <v>112</v>
      </c>
      <c r="M120" s="18">
        <v>0.49943300000000002</v>
      </c>
      <c r="N120" s="14">
        <f t="shared" si="11"/>
        <v>0.50056699999999998</v>
      </c>
      <c r="O120" s="14">
        <f t="shared" si="15"/>
        <v>0.3423990141995229</v>
      </c>
      <c r="P120" s="14">
        <f>O120*PRODUCT($N$8:N119)</f>
        <v>2.4647474178638865E-5</v>
      </c>
      <c r="Q120" s="14">
        <f>SUM($F120:F$127)</f>
        <v>1.6327926212938819E-5</v>
      </c>
      <c r="R120" s="14">
        <f t="shared" si="12"/>
        <v>0.66245839612602908</v>
      </c>
      <c r="S120" s="22">
        <f t="shared" si="13"/>
        <v>0.20412506279269577</v>
      </c>
    </row>
    <row r="121" spans="2:19" x14ac:dyDescent="0.35">
      <c r="B121" s="16">
        <v>113</v>
      </c>
      <c r="C121" s="18">
        <v>0.50198500000000001</v>
      </c>
      <c r="D121" s="14">
        <f t="shared" si="8"/>
        <v>0.49801499999999999</v>
      </c>
      <c r="E121" s="14">
        <f t="shared" si="14"/>
        <v>0.11381921782662281</v>
      </c>
      <c r="F121" s="14">
        <f>E121*PRODUCT($D$8:D120)</f>
        <v>4.1012640076491631E-6</v>
      </c>
      <c r="G121" s="14">
        <f>SUM(F121:$F$127)</f>
        <v>7.975597349924583E-6</v>
      </c>
      <c r="H121" s="14">
        <f t="shared" si="9"/>
        <v>1.9446681157441947</v>
      </c>
      <c r="I121" s="22">
        <f t="shared" si="10"/>
        <v>1.4863347824108615</v>
      </c>
      <c r="L121" s="16">
        <v>113</v>
      </c>
      <c r="M121" s="18">
        <v>0.50198500000000001</v>
      </c>
      <c r="N121" s="14">
        <f t="shared" si="11"/>
        <v>0.49801499999999999</v>
      </c>
      <c r="O121" s="14">
        <f t="shared" si="15"/>
        <v>0.33913807120714656</v>
      </c>
      <c r="P121" s="14">
        <f>O121*PRODUCT($N$8:N120)</f>
        <v>1.2220210186157973E-5</v>
      </c>
      <c r="Q121" s="14">
        <f>SUM($F121:F$127)</f>
        <v>7.975597349924583E-6</v>
      </c>
      <c r="R121" s="14">
        <f t="shared" si="12"/>
        <v>0.65265631510648392</v>
      </c>
      <c r="S121" s="22">
        <f t="shared" si="13"/>
        <v>0.1943229817731506</v>
      </c>
    </row>
    <row r="122" spans="2:19" x14ac:dyDescent="0.35">
      <c r="B122" s="16">
        <v>114</v>
      </c>
      <c r="C122" s="18">
        <v>0.50085199999999996</v>
      </c>
      <c r="D122" s="14">
        <f t="shared" si="8"/>
        <v>0.49914800000000004</v>
      </c>
      <c r="E122" s="14">
        <f t="shared" si="14"/>
        <v>0.11165123272516332</v>
      </c>
      <c r="F122" s="14">
        <f>E122*PRODUCT($D$8:D121)</f>
        <v>2.0035864043928378E-6</v>
      </c>
      <c r="G122" s="14">
        <f>SUM(F122:$F$127)</f>
        <v>3.8743333422754191E-6</v>
      </c>
      <c r="H122" s="14">
        <f t="shared" si="9"/>
        <v>1.9336991575611575</v>
      </c>
      <c r="I122" s="22">
        <f t="shared" si="10"/>
        <v>1.4753658242278243</v>
      </c>
      <c r="L122" s="16">
        <v>114</v>
      </c>
      <c r="M122" s="18">
        <v>0.50085199999999996</v>
      </c>
      <c r="N122" s="14">
        <f t="shared" si="11"/>
        <v>0.49914800000000004</v>
      </c>
      <c r="O122" s="14">
        <f t="shared" si="15"/>
        <v>0.33590818481469753</v>
      </c>
      <c r="P122" s="14">
        <f>O122*PRODUCT($N$8:N121)</f>
        <v>6.0278875189465146E-6</v>
      </c>
      <c r="Q122" s="14">
        <f>SUM($F122:F$127)</f>
        <v>3.8743333422754191E-6</v>
      </c>
      <c r="R122" s="14">
        <f t="shared" si="12"/>
        <v>0.64273484369073475</v>
      </c>
      <c r="S122" s="22">
        <f t="shared" si="13"/>
        <v>0.18440151035740143</v>
      </c>
    </row>
    <row r="123" spans="2:19" x14ac:dyDescent="0.35">
      <c r="B123" s="16">
        <v>115</v>
      </c>
      <c r="C123" s="18">
        <v>0.5</v>
      </c>
      <c r="D123" s="14">
        <f t="shared" si="8"/>
        <v>0.5</v>
      </c>
      <c r="E123" s="14">
        <f t="shared" si="14"/>
        <v>0.10952454257801736</v>
      </c>
      <c r="F123" s="14">
        <f>E123*PRODUCT($D$8:D122)</f>
        <v>9.810368866450215E-7</v>
      </c>
      <c r="G123" s="14">
        <f>SUM(F123:$F$127)</f>
        <v>1.8707469378825813E-6</v>
      </c>
      <c r="H123" s="14">
        <f t="shared" si="9"/>
        <v>1.9069078475532313</v>
      </c>
      <c r="I123" s="22">
        <f t="shared" si="10"/>
        <v>1.448574514219898</v>
      </c>
      <c r="L123" s="16">
        <v>115</v>
      </c>
      <c r="M123" s="18">
        <v>0.5</v>
      </c>
      <c r="N123" s="14">
        <f t="shared" si="11"/>
        <v>0.5</v>
      </c>
      <c r="O123" s="14">
        <f t="shared" si="15"/>
        <v>0.33270905924503374</v>
      </c>
      <c r="P123" s="14">
        <f>O123*PRODUCT($N$8:N122)</f>
        <v>2.9801526850279996E-6</v>
      </c>
      <c r="Q123" s="14">
        <f>SUM($F123:F$127)</f>
        <v>1.8707469378825813E-6</v>
      </c>
      <c r="R123" s="14">
        <f t="shared" si="12"/>
        <v>0.62773526580736416</v>
      </c>
      <c r="S123" s="22">
        <f t="shared" si="13"/>
        <v>0.16940193247403085</v>
      </c>
    </row>
    <row r="124" spans="2:19" x14ac:dyDescent="0.35">
      <c r="B124" s="16">
        <v>116</v>
      </c>
      <c r="C124" s="18">
        <v>0.5</v>
      </c>
      <c r="D124" s="14">
        <f t="shared" si="8"/>
        <v>0.5</v>
      </c>
      <c r="E124" s="14">
        <f t="shared" si="14"/>
        <v>0.10743836081462654</v>
      </c>
      <c r="F124" s="14">
        <f>E124*PRODUCT($D$8:D123)</f>
        <v>4.8117523487827236E-7</v>
      </c>
      <c r="G124" s="14">
        <f>SUM(F124:$F$127)</f>
        <v>8.8971005123755988E-7</v>
      </c>
      <c r="H124" s="14">
        <f t="shared" si="9"/>
        <v>1.84903541734154</v>
      </c>
      <c r="I124" s="22">
        <f t="shared" si="10"/>
        <v>1.3907020840082067</v>
      </c>
      <c r="L124" s="16">
        <v>116</v>
      </c>
      <c r="M124" s="18">
        <v>0.5</v>
      </c>
      <c r="N124" s="14">
        <f t="shared" si="11"/>
        <v>0.5</v>
      </c>
      <c r="O124" s="14">
        <f t="shared" si="15"/>
        <v>0.32954040153793823</v>
      </c>
      <c r="P124" s="14">
        <f>O124*PRODUCT($N$8:N123)</f>
        <v>1.4758851392519619E-6</v>
      </c>
      <c r="Q124" s="14">
        <f>SUM($F124:F$127)</f>
        <v>8.8971005123755988E-7</v>
      </c>
      <c r="R124" s="14">
        <f t="shared" si="12"/>
        <v>0.60283149926457069</v>
      </c>
      <c r="S124" s="22">
        <f t="shared" si="13"/>
        <v>0.14449816593123738</v>
      </c>
    </row>
    <row r="125" spans="2:19" x14ac:dyDescent="0.35">
      <c r="B125" s="16">
        <v>117</v>
      </c>
      <c r="C125" s="18">
        <v>0.5</v>
      </c>
      <c r="D125" s="14">
        <f t="shared" si="8"/>
        <v>0.5</v>
      </c>
      <c r="E125" s="14">
        <f t="shared" si="14"/>
        <v>0.1053919158467289</v>
      </c>
      <c r="F125" s="14">
        <f>E125*PRODUCT($D$8:D124)</f>
        <v>2.3600499615458125E-7</v>
      </c>
      <c r="G125" s="14">
        <f>SUM(F125:$F$127)</f>
        <v>4.0853481635928752E-7</v>
      </c>
      <c r="H125" s="14">
        <f t="shared" si="9"/>
        <v>1.7310430839002269</v>
      </c>
      <c r="I125" s="22">
        <f t="shared" si="10"/>
        <v>1.2727097505668936</v>
      </c>
      <c r="L125" s="16">
        <v>117</v>
      </c>
      <c r="M125" s="18">
        <v>0.5</v>
      </c>
      <c r="N125" s="14">
        <f t="shared" si="11"/>
        <v>0.5</v>
      </c>
      <c r="O125" s="14">
        <f t="shared" si="15"/>
        <v>0.32640192152329117</v>
      </c>
      <c r="P125" s="14">
        <f>O125*PRODUCT($N$8:N124)</f>
        <v>7.3091454515335256E-7</v>
      </c>
      <c r="Q125" s="14">
        <f>SUM($F125:F$127)</f>
        <v>4.0853481635928752E-7</v>
      </c>
      <c r="R125" s="14">
        <f t="shared" si="12"/>
        <v>0.55893649821070834</v>
      </c>
      <c r="S125" s="22">
        <f t="shared" si="13"/>
        <v>0.10060316487737503</v>
      </c>
    </row>
    <row r="126" spans="2:19" x14ac:dyDescent="0.35">
      <c r="B126" s="16">
        <v>118</v>
      </c>
      <c r="C126" s="18">
        <v>0.5</v>
      </c>
      <c r="D126" s="14">
        <f t="shared" si="8"/>
        <v>0.5</v>
      </c>
      <c r="E126" s="14">
        <f t="shared" si="14"/>
        <v>0.10338445078298168</v>
      </c>
      <c r="F126" s="14">
        <f>E126*PRODUCT($D$8:D125)</f>
        <v>1.1575483144724699E-7</v>
      </c>
      <c r="G126" s="14">
        <f>SUM(F126:$F$127)</f>
        <v>1.7252982020470622E-7</v>
      </c>
      <c r="H126" s="14">
        <f t="shared" si="9"/>
        <v>1.4904761904761903</v>
      </c>
      <c r="I126" s="22">
        <f t="shared" si="10"/>
        <v>1.032142857142857</v>
      </c>
      <c r="L126" s="16">
        <v>118</v>
      </c>
      <c r="M126" s="18">
        <v>0.5</v>
      </c>
      <c r="N126" s="14">
        <f t="shared" si="11"/>
        <v>0.5</v>
      </c>
      <c r="O126" s="14">
        <f t="shared" si="15"/>
        <v>0.32329333179449793</v>
      </c>
      <c r="P126" s="14">
        <f>O126*PRODUCT($N$8:N125)</f>
        <v>3.6197672712356506E-7</v>
      </c>
      <c r="Q126" s="14">
        <f>SUM($F126:F$127)</f>
        <v>1.7252982020470622E-7</v>
      </c>
      <c r="R126" s="14">
        <f t="shared" si="12"/>
        <v>0.47663235583046504</v>
      </c>
      <c r="S126" s="22">
        <f t="shared" si="13"/>
        <v>1.8299022497131723E-2</v>
      </c>
    </row>
    <row r="127" spans="2:19" x14ac:dyDescent="0.35">
      <c r="B127" s="16">
        <v>119</v>
      </c>
      <c r="C127" s="18">
        <v>0.5</v>
      </c>
      <c r="D127" s="14">
        <f t="shared" si="8"/>
        <v>0.5</v>
      </c>
      <c r="E127" s="14">
        <f t="shared" si="14"/>
        <v>0.10141522314902011</v>
      </c>
      <c r="F127" s="14">
        <f>E127*PRODUCT($D$8:D126)</f>
        <v>5.6774988757459233E-8</v>
      </c>
      <c r="G127" s="14">
        <f>SUM(F127:$F$127)</f>
        <v>5.6774988757459233E-8</v>
      </c>
      <c r="H127" s="14">
        <f t="shared" si="9"/>
        <v>1</v>
      </c>
      <c r="I127" s="22">
        <f t="shared" si="10"/>
        <v>0.54166666666666674</v>
      </c>
      <c r="L127" s="16">
        <v>119</v>
      </c>
      <c r="M127" s="18">
        <v>0.5</v>
      </c>
      <c r="N127" s="14">
        <f t="shared" si="11"/>
        <v>0.5</v>
      </c>
      <c r="O127" s="14">
        <f t="shared" si="15"/>
        <v>0.32021434768216944</v>
      </c>
      <c r="P127" s="14">
        <f>O127*PRODUCT($N$8:N126)</f>
        <v>1.7926466486119416E-7</v>
      </c>
      <c r="Q127" s="14">
        <f>SUM($F127:F$127)</f>
        <v>5.6774988757459233E-8</v>
      </c>
      <c r="R127" s="14">
        <f t="shared" si="12"/>
        <v>0.31671042813384609</v>
      </c>
      <c r="S127" s="22">
        <f t="shared" si="13"/>
        <v>-0.14162290519948723</v>
      </c>
    </row>
    <row r="128" spans="2:19" ht="15" thickBot="1" x14ac:dyDescent="0.4">
      <c r="B128" s="15">
        <v>120</v>
      </c>
      <c r="C128" s="20">
        <v>1</v>
      </c>
      <c r="D128" s="21">
        <f t="shared" si="8"/>
        <v>0</v>
      </c>
      <c r="E128" s="21">
        <f t="shared" si="14"/>
        <v>9.94835046128483E-2</v>
      </c>
      <c r="F128" s="21">
        <f>E128*PRODUCT($D$8:D127)</f>
        <v>2.7846780200087146E-8</v>
      </c>
      <c r="G128" s="21">
        <f>SUM(F$127:$F128)</f>
        <v>8.4621768957546375E-8</v>
      </c>
      <c r="H128" s="21">
        <f t="shared" si="9"/>
        <v>3.0388349514563107</v>
      </c>
      <c r="I128" s="23">
        <f t="shared" si="10"/>
        <v>2.5805016181229772</v>
      </c>
      <c r="L128" s="15">
        <v>120</v>
      </c>
      <c r="M128" s="20">
        <v>1</v>
      </c>
      <c r="N128" s="21">
        <f t="shared" si="11"/>
        <v>0</v>
      </c>
      <c r="O128" s="14">
        <f t="shared" si="15"/>
        <v>0.31716468722805352</v>
      </c>
      <c r="P128" s="21">
        <f>O128*PRODUCT($N$8:N127)</f>
        <v>8.87786911693533E-8</v>
      </c>
      <c r="Q128" s="21">
        <f>SUM($F$127:F128)</f>
        <v>8.4621768957546375E-8</v>
      </c>
      <c r="R128" s="21">
        <f t="shared" si="12"/>
        <v>0.95317657697974822</v>
      </c>
      <c r="S128" s="23">
        <f t="shared" si="13"/>
        <v>0.49484324364641491</v>
      </c>
    </row>
  </sheetData>
  <mergeCells count="2">
    <mergeCell ref="B6:I6"/>
    <mergeCell ref="L6:S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20CB-16E2-4251-B17F-E2A01D264B8F}">
  <sheetPr>
    <tabColor theme="9" tint="0.79998168889431442"/>
  </sheetPr>
  <dimension ref="A1:X35"/>
  <sheetViews>
    <sheetView zoomScale="72" workbookViewId="0">
      <selection activeCell="F21" sqref="F21"/>
    </sheetView>
  </sheetViews>
  <sheetFormatPr defaultRowHeight="14.5" x14ac:dyDescent="0.35"/>
  <cols>
    <col min="1" max="2" width="8.7265625" style="1"/>
    <col min="3" max="3" width="10.08984375" style="1" bestFit="1" customWidth="1"/>
    <col min="4" max="4" width="14.90625" style="1" customWidth="1"/>
    <col min="5" max="6" width="18" style="1" customWidth="1"/>
    <col min="7" max="7" width="8.7265625" style="1"/>
    <col min="8" max="8" width="8.7265625" style="90"/>
    <col min="9" max="10" width="8.7265625" style="1"/>
    <col min="11" max="11" width="14.7265625" style="1" customWidth="1"/>
    <col min="12" max="12" width="19.08984375" style="1" customWidth="1"/>
    <col min="13" max="13" width="8.7265625" style="1"/>
    <col min="14" max="14" width="8.7265625" style="90"/>
    <col min="15" max="16" width="8.7265625" style="1"/>
    <col min="17" max="17" width="16.453125" style="1" customWidth="1"/>
    <col min="18" max="18" width="19.7265625" style="1" customWidth="1"/>
    <col min="19" max="19" width="8.7265625" style="1"/>
    <col min="20" max="20" width="8.7265625" style="90"/>
    <col min="21" max="22" width="8.7265625" style="1"/>
    <col min="23" max="23" width="14.81640625" style="1" customWidth="1"/>
    <col min="24" max="24" width="17.6328125" style="1" customWidth="1"/>
    <col min="25" max="16384" width="8.7265625" style="1"/>
  </cols>
  <sheetData>
    <row r="1" spans="1:24" x14ac:dyDescent="0.35">
      <c r="A1" s="186" t="s">
        <v>202</v>
      </c>
      <c r="E1" s="185" t="s">
        <v>228</v>
      </c>
    </row>
    <row r="2" spans="1:24" x14ac:dyDescent="0.35">
      <c r="B2" s="83" t="s">
        <v>136</v>
      </c>
      <c r="C2" s="84"/>
      <c r="D2" s="84" t="s">
        <v>137</v>
      </c>
      <c r="E2" s="84"/>
      <c r="F2" s="85"/>
      <c r="I2" s="616" t="s">
        <v>154</v>
      </c>
      <c r="J2" s="617"/>
      <c r="K2" s="617"/>
      <c r="L2" s="618"/>
      <c r="O2" s="1" t="s">
        <v>148</v>
      </c>
    </row>
    <row r="3" spans="1:24" x14ac:dyDescent="0.35">
      <c r="B3" s="73"/>
      <c r="C3" s="74"/>
      <c r="D3" s="74" t="s">
        <v>138</v>
      </c>
      <c r="E3" s="74"/>
      <c r="F3" s="86"/>
      <c r="I3" s="83" t="s">
        <v>24</v>
      </c>
      <c r="J3" s="103">
        <f>3%</f>
        <v>0.03</v>
      </c>
      <c r="K3" s="84" t="s">
        <v>156</v>
      </c>
      <c r="L3" s="85">
        <v>67</v>
      </c>
      <c r="O3" s="1" t="s">
        <v>142</v>
      </c>
      <c r="Q3" s="1" t="s">
        <v>158</v>
      </c>
    </row>
    <row r="4" spans="1:24" x14ac:dyDescent="0.35">
      <c r="B4" s="77"/>
      <c r="C4" s="78"/>
      <c r="D4" s="78" t="s">
        <v>140</v>
      </c>
      <c r="E4" s="78"/>
      <c r="F4" s="87"/>
      <c r="I4" s="77" t="s">
        <v>155</v>
      </c>
      <c r="J4" s="104">
        <f>20/3/100</f>
        <v>6.6666666666666666E-2</v>
      </c>
      <c r="K4" s="78"/>
      <c r="L4" s="87"/>
      <c r="O4" s="1" t="s">
        <v>157</v>
      </c>
      <c r="Q4" s="1" t="s">
        <v>149</v>
      </c>
    </row>
    <row r="5" spans="1:24" x14ac:dyDescent="0.35">
      <c r="A5" s="1" t="s">
        <v>229</v>
      </c>
      <c r="F5" s="56"/>
    </row>
    <row r="6" spans="1:24" x14ac:dyDescent="0.35">
      <c r="B6" s="1" t="s">
        <v>142</v>
      </c>
      <c r="D6" s="56"/>
      <c r="H6" s="90" t="s">
        <v>147</v>
      </c>
      <c r="N6" s="90" t="s">
        <v>146</v>
      </c>
      <c r="T6" s="90" t="s">
        <v>145</v>
      </c>
    </row>
    <row r="7" spans="1:24" x14ac:dyDescent="0.35">
      <c r="C7" s="70" t="s">
        <v>2</v>
      </c>
      <c r="D7" s="72" t="s">
        <v>3</v>
      </c>
      <c r="E7" s="71" t="s">
        <v>141</v>
      </c>
      <c r="F7" s="72" t="s">
        <v>139</v>
      </c>
      <c r="I7" s="70" t="s">
        <v>2</v>
      </c>
      <c r="J7" s="72" t="s">
        <v>3</v>
      </c>
      <c r="K7" s="95" t="s">
        <v>141</v>
      </c>
      <c r="L7" s="72" t="s">
        <v>139</v>
      </c>
      <c r="O7" s="70" t="s">
        <v>2</v>
      </c>
      <c r="P7" s="72" t="s">
        <v>3</v>
      </c>
      <c r="Q7" s="71" t="s">
        <v>141</v>
      </c>
      <c r="R7" s="97" t="s">
        <v>139</v>
      </c>
      <c r="U7" s="72" t="s">
        <v>2</v>
      </c>
      <c r="V7" s="72" t="s">
        <v>3</v>
      </c>
      <c r="W7" s="72" t="s">
        <v>141</v>
      </c>
      <c r="X7" s="71" t="s">
        <v>139</v>
      </c>
    </row>
    <row r="8" spans="1:24" x14ac:dyDescent="0.35">
      <c r="C8" s="73">
        <f>1962+63</f>
        <v>2025</v>
      </c>
      <c r="D8" s="81">
        <v>63</v>
      </c>
      <c r="E8" s="75">
        <f>ss_calc!$N$5</f>
        <v>3085.6984439999997</v>
      </c>
      <c r="F8" s="76">
        <f>E8*((1-$J$4*($D$16-D8)))</f>
        <v>2262.8455255999997</v>
      </c>
      <c r="I8" s="73">
        <f>1962+63</f>
        <v>2025</v>
      </c>
      <c r="J8" s="81">
        <v>63</v>
      </c>
      <c r="K8" s="96">
        <f>ss_calc!$N$5</f>
        <v>3085.6984439999997</v>
      </c>
      <c r="L8" s="76">
        <f>K8*((1-$J$4*($J$16-J8)))</f>
        <v>2262.8455255999997</v>
      </c>
      <c r="O8" s="73">
        <f>1962+63</f>
        <v>2025</v>
      </c>
      <c r="P8" s="81">
        <v>63</v>
      </c>
      <c r="Q8" s="75">
        <f>ss_calc!$N$5</f>
        <v>3085.6984439999997</v>
      </c>
      <c r="R8" s="98">
        <f>Q8*((1-0.05*($P$16-P8)))</f>
        <v>2468.5587551999997</v>
      </c>
      <c r="U8" s="81">
        <f>1962+63</f>
        <v>2025</v>
      </c>
      <c r="V8" s="81">
        <v>63</v>
      </c>
      <c r="W8" s="76">
        <f>ss_calc!N5</f>
        <v>3085.6984439999997</v>
      </c>
      <c r="X8" s="75">
        <f>W8*((1-$J$4*($V$12-V8)))</f>
        <v>2674.2719847999997</v>
      </c>
    </row>
    <row r="9" spans="1:24" x14ac:dyDescent="0.35">
      <c r="C9" s="73"/>
      <c r="D9" s="81">
        <f t="shared" ref="D9:D16" si="0">D8+0.5</f>
        <v>63.5</v>
      </c>
      <c r="E9" s="75">
        <f>$E$8*(1+$J$3)^(D9-$D$8+1)</f>
        <v>3225.591147805168</v>
      </c>
      <c r="F9" s="76">
        <f t="shared" ref="F9:F16" si="1">E9*((1-$J$4*($D$16-D9)))</f>
        <v>2472.9532133172952</v>
      </c>
      <c r="I9" s="73"/>
      <c r="J9" s="81">
        <f t="shared" ref="J9:J16" si="2">J8+0.5</f>
        <v>63.5</v>
      </c>
      <c r="K9" s="96">
        <f>$K$8*1.06^(J9-$J$8+1)</f>
        <v>3367.5362500405677</v>
      </c>
      <c r="L9" s="76">
        <f t="shared" ref="L9:L16" si="3">K9*((1-$J$4*($J$16-J9)))</f>
        <v>2581.7777916977684</v>
      </c>
      <c r="O9" s="73"/>
      <c r="P9" s="81">
        <f t="shared" ref="P9:P16" si="4">P8+0.5</f>
        <v>63.5</v>
      </c>
      <c r="Q9" s="75">
        <f>$E$8*(1+$J$3)^(P9-$D$8+1)</f>
        <v>3225.591147805168</v>
      </c>
      <c r="R9" s="98">
        <f t="shared" ref="R9:R16" si="5">Q9*((1-0.05*($P$16-P9)))</f>
        <v>2661.1126969392635</v>
      </c>
      <c r="U9" s="81"/>
      <c r="V9" s="81">
        <f>V8+0.5</f>
        <v>63.5</v>
      </c>
      <c r="W9" s="76">
        <f>$W$8*(1+$J$3)^(V9-$V$8+1)</f>
        <v>3225.591147805168</v>
      </c>
      <c r="X9" s="75">
        <f t="shared" ref="X9:X12" si="6">W9*((1-$J$4*($V$12-V9)))</f>
        <v>2903.0320330246514</v>
      </c>
    </row>
    <row r="10" spans="1:24" x14ac:dyDescent="0.35">
      <c r="C10" s="73">
        <f>C8+1</f>
        <v>2026</v>
      </c>
      <c r="D10" s="81">
        <f t="shared" si="0"/>
        <v>64</v>
      </c>
      <c r="E10" s="75">
        <f t="shared" ref="E10:E16" si="7">$E$8*(1+$J$3)^(D10-$D$8+1)</f>
        <v>3273.6174792395996</v>
      </c>
      <c r="F10" s="76">
        <f t="shared" si="1"/>
        <v>2618.8939833916797</v>
      </c>
      <c r="I10" s="73">
        <f>I8+1</f>
        <v>2026</v>
      </c>
      <c r="J10" s="81">
        <f t="shared" si="2"/>
        <v>64</v>
      </c>
      <c r="K10" s="96">
        <f t="shared" ref="K10:K16" si="8">$K$8*1.06^(J10-$J$8+1)</f>
        <v>3467.0907716784</v>
      </c>
      <c r="L10" s="76">
        <f t="shared" si="3"/>
        <v>2773.6726173427201</v>
      </c>
      <c r="O10" s="73">
        <f>O8+1</f>
        <v>2026</v>
      </c>
      <c r="P10" s="81">
        <f t="shared" si="4"/>
        <v>64</v>
      </c>
      <c r="Q10" s="75">
        <f t="shared" ref="Q10:Q16" si="9">$E$8*(1+$J$3)^(P10-$D$8+1)</f>
        <v>3273.6174792395996</v>
      </c>
      <c r="R10" s="98">
        <f t="shared" si="5"/>
        <v>2782.5748573536594</v>
      </c>
      <c r="U10" s="81">
        <f>U8+1</f>
        <v>2026</v>
      </c>
      <c r="V10" s="81">
        <f t="shared" ref="V10:V19" si="10">V9+0.5</f>
        <v>64</v>
      </c>
      <c r="W10" s="76">
        <f t="shared" ref="W10:W26" si="11">$W$8*(1+$J$3)^(V10-$V$8+1)</f>
        <v>3273.6174792395996</v>
      </c>
      <c r="X10" s="75">
        <f t="shared" si="6"/>
        <v>3055.3763139569596</v>
      </c>
    </row>
    <row r="11" spans="1:24" x14ac:dyDescent="0.35">
      <c r="C11" s="73"/>
      <c r="D11" s="81">
        <f t="shared" si="0"/>
        <v>64.5</v>
      </c>
      <c r="E11" s="75">
        <f t="shared" si="7"/>
        <v>3322.3588822393226</v>
      </c>
      <c r="F11" s="76">
        <f t="shared" si="1"/>
        <v>2768.6324018661021</v>
      </c>
      <c r="I11" s="73"/>
      <c r="J11" s="81">
        <f t="shared" si="2"/>
        <v>64.5</v>
      </c>
      <c r="K11" s="96">
        <f t="shared" si="8"/>
        <v>3569.5884250430017</v>
      </c>
      <c r="L11" s="76">
        <f t="shared" si="3"/>
        <v>2974.6570208691683</v>
      </c>
      <c r="O11" s="73"/>
      <c r="P11" s="81">
        <f t="shared" si="4"/>
        <v>64.5</v>
      </c>
      <c r="Q11" s="75">
        <f t="shared" si="9"/>
        <v>3322.3588822393226</v>
      </c>
      <c r="R11" s="98">
        <f t="shared" si="5"/>
        <v>2907.0640219594075</v>
      </c>
      <c r="U11" s="81"/>
      <c r="V11" s="81">
        <f t="shared" si="10"/>
        <v>64.5</v>
      </c>
      <c r="W11" s="76">
        <f t="shared" si="11"/>
        <v>3322.3588822393226</v>
      </c>
      <c r="X11" s="75">
        <f t="shared" si="6"/>
        <v>3211.6135861646785</v>
      </c>
    </row>
    <row r="12" spans="1:24" x14ac:dyDescent="0.35">
      <c r="C12" s="73">
        <f t="shared" ref="C12:C16" si="12">C10+1</f>
        <v>2027</v>
      </c>
      <c r="D12" s="81">
        <f t="shared" si="0"/>
        <v>65</v>
      </c>
      <c r="E12" s="75">
        <f t="shared" si="7"/>
        <v>3371.8260036167876</v>
      </c>
      <c r="F12" s="76">
        <f t="shared" si="1"/>
        <v>2922.2492031345491</v>
      </c>
      <c r="I12" s="73">
        <f t="shared" ref="I12:I16" si="13">I10+1</f>
        <v>2027</v>
      </c>
      <c r="J12" s="81">
        <f t="shared" si="2"/>
        <v>65</v>
      </c>
      <c r="K12" s="96">
        <f t="shared" si="8"/>
        <v>3675.1162179791045</v>
      </c>
      <c r="L12" s="76">
        <f t="shared" si="3"/>
        <v>3185.1007222485573</v>
      </c>
      <c r="O12" s="73">
        <f t="shared" ref="O12:O16" si="14">O10+1</f>
        <v>2027</v>
      </c>
      <c r="P12" s="81">
        <f t="shared" si="4"/>
        <v>65</v>
      </c>
      <c r="Q12" s="75">
        <f t="shared" si="9"/>
        <v>3371.8260036167876</v>
      </c>
      <c r="R12" s="98">
        <f t="shared" si="5"/>
        <v>3034.6434032551088</v>
      </c>
      <c r="U12" s="81">
        <f t="shared" ref="U12:U16" si="15">U10+1</f>
        <v>2027</v>
      </c>
      <c r="V12" s="81">
        <f t="shared" si="10"/>
        <v>65</v>
      </c>
      <c r="W12" s="76">
        <f t="shared" si="11"/>
        <v>3371.8260036167876</v>
      </c>
      <c r="X12" s="75">
        <f t="shared" si="6"/>
        <v>3371.8260036167876</v>
      </c>
    </row>
    <row r="13" spans="1:24" x14ac:dyDescent="0.35">
      <c r="C13" s="73"/>
      <c r="D13" s="81">
        <f t="shared" si="0"/>
        <v>65.5</v>
      </c>
      <c r="E13" s="75">
        <f t="shared" si="7"/>
        <v>3422.0296487065025</v>
      </c>
      <c r="F13" s="76">
        <f t="shared" si="1"/>
        <v>3079.8266838358522</v>
      </c>
      <c r="I13" s="73"/>
      <c r="J13" s="81">
        <f t="shared" si="2"/>
        <v>65.5</v>
      </c>
      <c r="K13" s="96">
        <f t="shared" si="8"/>
        <v>3783.7637305455814</v>
      </c>
      <c r="L13" s="76">
        <f t="shared" si="3"/>
        <v>3405.3873574910235</v>
      </c>
      <c r="O13" s="73"/>
      <c r="P13" s="81">
        <f t="shared" si="4"/>
        <v>65.5</v>
      </c>
      <c r="Q13" s="75">
        <f t="shared" si="9"/>
        <v>3422.0296487065025</v>
      </c>
      <c r="R13" s="98">
        <f t="shared" si="5"/>
        <v>3165.3774250535148</v>
      </c>
      <c r="U13" s="81"/>
      <c r="V13" s="81">
        <f t="shared" si="10"/>
        <v>65.5</v>
      </c>
      <c r="W13" s="76">
        <f t="shared" si="11"/>
        <v>3422.0296487065025</v>
      </c>
      <c r="X13" s="75"/>
    </row>
    <row r="14" spans="1:24" x14ac:dyDescent="0.35">
      <c r="C14" s="73">
        <f t="shared" si="12"/>
        <v>2028</v>
      </c>
      <c r="D14" s="81">
        <f t="shared" si="0"/>
        <v>66</v>
      </c>
      <c r="E14" s="75">
        <f t="shared" si="7"/>
        <v>3472.9807837252911</v>
      </c>
      <c r="F14" s="76">
        <f t="shared" si="1"/>
        <v>3241.4487314769385</v>
      </c>
      <c r="I14" s="73">
        <f t="shared" si="13"/>
        <v>2028</v>
      </c>
      <c r="J14" s="81">
        <f t="shared" si="2"/>
        <v>66</v>
      </c>
      <c r="K14" s="96">
        <f t="shared" si="8"/>
        <v>3895.6231910578508</v>
      </c>
      <c r="L14" s="76">
        <f t="shared" si="3"/>
        <v>3635.9149783206608</v>
      </c>
      <c r="O14" s="73">
        <f t="shared" si="14"/>
        <v>2028</v>
      </c>
      <c r="P14" s="81">
        <f t="shared" si="4"/>
        <v>66</v>
      </c>
      <c r="Q14" s="75">
        <f t="shared" si="9"/>
        <v>3472.9807837252911</v>
      </c>
      <c r="R14" s="98">
        <f t="shared" si="5"/>
        <v>3299.3317445390262</v>
      </c>
      <c r="U14" s="81">
        <f t="shared" si="15"/>
        <v>2028</v>
      </c>
      <c r="V14" s="81">
        <f t="shared" si="10"/>
        <v>66</v>
      </c>
      <c r="W14" s="76">
        <f t="shared" si="11"/>
        <v>3472.9807837252911</v>
      </c>
      <c r="X14" s="75"/>
    </row>
    <row r="15" spans="1:24" x14ac:dyDescent="0.35">
      <c r="C15" s="73"/>
      <c r="D15" s="81">
        <f t="shared" si="0"/>
        <v>66.5</v>
      </c>
      <c r="E15" s="75">
        <f t="shared" si="7"/>
        <v>3524.6905381676979</v>
      </c>
      <c r="F15" s="76">
        <f t="shared" si="1"/>
        <v>3407.200853562108</v>
      </c>
      <c r="I15" s="73"/>
      <c r="J15" s="81">
        <f t="shared" si="2"/>
        <v>66.5</v>
      </c>
      <c r="K15" s="96">
        <f t="shared" si="8"/>
        <v>4010.789554378317</v>
      </c>
      <c r="L15" s="76">
        <f t="shared" si="3"/>
        <v>3877.096569232373</v>
      </c>
      <c r="O15" s="73"/>
      <c r="P15" s="81">
        <f t="shared" si="4"/>
        <v>66.5</v>
      </c>
      <c r="Q15" s="75">
        <f t="shared" si="9"/>
        <v>3524.6905381676979</v>
      </c>
      <c r="R15" s="98">
        <f t="shared" si="5"/>
        <v>3436.5732747135053</v>
      </c>
      <c r="U15" s="81"/>
      <c r="V15" s="81">
        <f t="shared" si="10"/>
        <v>66.5</v>
      </c>
      <c r="W15" s="76">
        <f t="shared" si="11"/>
        <v>3524.6905381676979</v>
      </c>
      <c r="X15" s="75"/>
    </row>
    <row r="16" spans="1:24" x14ac:dyDescent="0.35">
      <c r="C16" s="77">
        <f t="shared" si="12"/>
        <v>2029</v>
      </c>
      <c r="D16" s="82">
        <f t="shared" si="0"/>
        <v>67</v>
      </c>
      <c r="E16" s="75">
        <f t="shared" si="7"/>
        <v>3577.1702072370495</v>
      </c>
      <c r="F16" s="76">
        <f t="shared" si="1"/>
        <v>3577.1702072370495</v>
      </c>
      <c r="I16" s="77">
        <f t="shared" si="13"/>
        <v>2029</v>
      </c>
      <c r="J16" s="82">
        <f t="shared" si="2"/>
        <v>67</v>
      </c>
      <c r="K16" s="96">
        <f t="shared" si="8"/>
        <v>4129.3605825213226</v>
      </c>
      <c r="L16" s="76">
        <f t="shared" si="3"/>
        <v>4129.3605825213226</v>
      </c>
      <c r="O16" s="77">
        <f t="shared" si="14"/>
        <v>2029</v>
      </c>
      <c r="P16" s="82">
        <f t="shared" si="4"/>
        <v>67</v>
      </c>
      <c r="Q16" s="75">
        <f t="shared" si="9"/>
        <v>3577.1702072370495</v>
      </c>
      <c r="R16" s="98">
        <f t="shared" si="5"/>
        <v>3577.1702072370495</v>
      </c>
      <c r="U16" s="81">
        <f t="shared" si="15"/>
        <v>2029</v>
      </c>
      <c r="V16" s="81">
        <f t="shared" si="10"/>
        <v>67</v>
      </c>
      <c r="W16" s="76">
        <f t="shared" si="11"/>
        <v>3577.1702072370495</v>
      </c>
      <c r="X16" s="75"/>
    </row>
    <row r="17" spans="2:24" x14ac:dyDescent="0.35">
      <c r="C17" s="616" t="s">
        <v>143</v>
      </c>
      <c r="D17" s="617"/>
      <c r="E17" s="617"/>
      <c r="F17" s="618"/>
      <c r="I17" s="619" t="s">
        <v>143</v>
      </c>
      <c r="J17" s="619"/>
      <c r="K17" s="619"/>
      <c r="L17" s="620"/>
      <c r="O17" s="619" t="s">
        <v>143</v>
      </c>
      <c r="P17" s="619"/>
      <c r="Q17" s="619"/>
      <c r="R17" s="620"/>
      <c r="U17" s="81"/>
      <c r="V17" s="81">
        <f t="shared" si="10"/>
        <v>67.5</v>
      </c>
      <c r="W17" s="76">
        <f t="shared" si="11"/>
        <v>3630.4312543127289</v>
      </c>
      <c r="X17" s="86"/>
    </row>
    <row r="18" spans="2:24" x14ac:dyDescent="0.35">
      <c r="C18" s="53"/>
      <c r="U18" s="81">
        <f>C16+1</f>
        <v>2030</v>
      </c>
      <c r="V18" s="81">
        <f t="shared" si="10"/>
        <v>68</v>
      </c>
      <c r="W18" s="76">
        <f t="shared" si="11"/>
        <v>3684.4853134541613</v>
      </c>
      <c r="X18" s="86"/>
    </row>
    <row r="19" spans="2:24" x14ac:dyDescent="0.35">
      <c r="B19" s="1" t="s">
        <v>151</v>
      </c>
      <c r="D19" s="54">
        <f>AVERAGE(E8:E16)</f>
        <v>3363.9959038597135</v>
      </c>
      <c r="E19" s="54">
        <f>AVERAGE(F8:F16)</f>
        <v>2927.9134226023975</v>
      </c>
      <c r="F19" s="54"/>
      <c r="G19" s="54"/>
      <c r="H19" s="101"/>
      <c r="I19" s="54"/>
      <c r="J19" s="54"/>
      <c r="K19" s="54">
        <f t="shared" ref="K19:R19" si="16">AVERAGE(K8:K16)</f>
        <v>3664.9519074715718</v>
      </c>
      <c r="L19" s="54">
        <f t="shared" si="16"/>
        <v>3202.8681294803991</v>
      </c>
      <c r="M19" s="54"/>
      <c r="N19" s="101"/>
      <c r="O19" s="54"/>
      <c r="P19" s="54"/>
      <c r="Q19" s="54">
        <f t="shared" si="16"/>
        <v>3363.9959038597135</v>
      </c>
      <c r="R19" s="54">
        <f t="shared" si="16"/>
        <v>3036.934042916726</v>
      </c>
      <c r="U19" s="81"/>
      <c r="V19" s="81">
        <f t="shared" si="10"/>
        <v>68.5</v>
      </c>
      <c r="W19" s="76">
        <f t="shared" si="11"/>
        <v>3739.3441919421111</v>
      </c>
      <c r="X19" s="86"/>
    </row>
    <row r="20" spans="2:24" x14ac:dyDescent="0.35">
      <c r="B20" s="1" t="s">
        <v>214</v>
      </c>
      <c r="L20" s="100">
        <f>(L19-E19)/E19</f>
        <v>9.3908072812349586E-2</v>
      </c>
      <c r="R20" s="100">
        <f>(R19-E19)/E19</f>
        <v>3.7234919404627871E-2</v>
      </c>
      <c r="U20" s="81">
        <f>U18+1</f>
        <v>2031</v>
      </c>
      <c r="V20" s="81">
        <f t="shared" ref="V20:V26" si="17">V19+0.5</f>
        <v>69</v>
      </c>
      <c r="W20" s="76">
        <f t="shared" si="11"/>
        <v>3795.0198728577861</v>
      </c>
      <c r="X20" s="86"/>
    </row>
    <row r="21" spans="2:24" x14ac:dyDescent="0.35">
      <c r="B21" s="1" t="s">
        <v>128</v>
      </c>
      <c r="U21" s="81"/>
      <c r="V21" s="81">
        <f t="shared" si="17"/>
        <v>69.5</v>
      </c>
      <c r="W21" s="76">
        <f t="shared" si="11"/>
        <v>3851.5245177003744</v>
      </c>
      <c r="X21" s="86"/>
    </row>
    <row r="22" spans="2:24" x14ac:dyDescent="0.35">
      <c r="B22" s="1" t="s">
        <v>129</v>
      </c>
      <c r="E22" s="1" t="s">
        <v>287</v>
      </c>
      <c r="U22" s="81">
        <f t="shared" ref="U22:U26" si="18">U20+1</f>
        <v>2032</v>
      </c>
      <c r="V22" s="81">
        <f t="shared" si="17"/>
        <v>70</v>
      </c>
      <c r="W22" s="76">
        <f t="shared" si="11"/>
        <v>3908.8704690435193</v>
      </c>
      <c r="X22" s="86"/>
    </row>
    <row r="23" spans="2:24" x14ac:dyDescent="0.35">
      <c r="B23" s="1" t="s">
        <v>130</v>
      </c>
      <c r="I23" s="56" t="s">
        <v>152</v>
      </c>
      <c r="U23" s="81"/>
      <c r="V23" s="81">
        <f t="shared" si="17"/>
        <v>70.5</v>
      </c>
      <c r="W23" s="76">
        <f t="shared" si="11"/>
        <v>3967.0702532313858</v>
      </c>
      <c r="X23" s="86"/>
    </row>
    <row r="24" spans="2:24" x14ac:dyDescent="0.35">
      <c r="B24" s="1" t="s">
        <v>131</v>
      </c>
      <c r="J24" s="56" t="s">
        <v>153</v>
      </c>
      <c r="U24" s="81">
        <f t="shared" si="18"/>
        <v>2033</v>
      </c>
      <c r="V24" s="81">
        <f t="shared" si="17"/>
        <v>71</v>
      </c>
      <c r="W24" s="76">
        <f t="shared" si="11"/>
        <v>4026.136583114825</v>
      </c>
      <c r="X24" s="86"/>
    </row>
    <row r="25" spans="2:24" x14ac:dyDescent="0.35">
      <c r="B25" s="1" t="s">
        <v>132</v>
      </c>
      <c r="U25" s="81"/>
      <c r="V25" s="81">
        <f t="shared" si="17"/>
        <v>71.5</v>
      </c>
      <c r="W25" s="76">
        <f t="shared" si="11"/>
        <v>4086.0823608283276</v>
      </c>
      <c r="X25" s="86"/>
    </row>
    <row r="26" spans="2:24" x14ac:dyDescent="0.35">
      <c r="B26" s="1" t="s">
        <v>133</v>
      </c>
      <c r="I26" s="1" t="s">
        <v>289</v>
      </c>
      <c r="U26" s="82">
        <f t="shared" si="18"/>
        <v>2034</v>
      </c>
      <c r="V26" s="82">
        <f t="shared" si="17"/>
        <v>72</v>
      </c>
      <c r="W26" s="76">
        <f t="shared" si="11"/>
        <v>4146.9206806082702</v>
      </c>
      <c r="X26" s="86"/>
    </row>
    <row r="27" spans="2:24" x14ac:dyDescent="0.35">
      <c r="B27" s="1" t="s">
        <v>134</v>
      </c>
      <c r="U27" s="619" t="s">
        <v>144</v>
      </c>
      <c r="V27" s="619"/>
      <c r="W27" s="619"/>
      <c r="X27" s="620"/>
    </row>
    <row r="28" spans="2:24" x14ac:dyDescent="0.35">
      <c r="B28" s="1" t="s">
        <v>135</v>
      </c>
    </row>
    <row r="30" spans="2:24" x14ac:dyDescent="0.35">
      <c r="C30" s="1">
        <v>66</v>
      </c>
      <c r="D30" s="99">
        <f>1-20/3/100</f>
        <v>0.93333333333333335</v>
      </c>
      <c r="W30" s="54">
        <f>AVERAGE(W8:W26)</f>
        <v>3637.4657174647841</v>
      </c>
      <c r="X30" s="54">
        <f>AVERAGE(X8:X27)</f>
        <v>3043.2239843126154</v>
      </c>
    </row>
    <row r="31" spans="2:24" x14ac:dyDescent="0.35">
      <c r="C31" s="1">
        <v>65</v>
      </c>
      <c r="D31" s="99">
        <f>D30-20/3/100</f>
        <v>0.8666666666666667</v>
      </c>
      <c r="X31" s="1" t="s">
        <v>150</v>
      </c>
    </row>
    <row r="32" spans="2:24" x14ac:dyDescent="0.35">
      <c r="C32" s="1">
        <v>64</v>
      </c>
      <c r="D32" s="99">
        <f t="shared" ref="D32:D35" si="19">D31-20/3/100</f>
        <v>0.8</v>
      </c>
      <c r="X32" s="102">
        <f>(X30-E19)/E19</f>
        <v>3.9383186954936367E-2</v>
      </c>
    </row>
    <row r="33" spans="3:5" x14ac:dyDescent="0.35">
      <c r="C33" s="1">
        <v>63</v>
      </c>
      <c r="D33" s="99">
        <f t="shared" si="19"/>
        <v>0.73333333333333339</v>
      </c>
    </row>
    <row r="34" spans="3:5" x14ac:dyDescent="0.35">
      <c r="C34" s="29">
        <v>62</v>
      </c>
      <c r="D34" s="228">
        <f t="shared" si="19"/>
        <v>0.66666666666666674</v>
      </c>
      <c r="E34" s="1" t="s">
        <v>288</v>
      </c>
    </row>
    <row r="35" spans="3:5" x14ac:dyDescent="0.35">
      <c r="C35" s="1">
        <v>61</v>
      </c>
      <c r="D35" s="99">
        <f t="shared" si="19"/>
        <v>0.60000000000000009</v>
      </c>
    </row>
  </sheetData>
  <mergeCells count="5">
    <mergeCell ref="I2:L2"/>
    <mergeCell ref="U27:X27"/>
    <mergeCell ref="I17:L17"/>
    <mergeCell ref="O17:R17"/>
    <mergeCell ref="C17:F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read_me</vt:lpstr>
      <vt:lpstr>summary</vt:lpstr>
      <vt:lpstr>data</vt:lpstr>
      <vt:lpstr>ss_calc</vt:lpstr>
      <vt:lpstr>collection_age</vt:lpstr>
      <vt:lpstr>bend_pts</vt:lpstr>
      <vt:lpstr>TWB</vt:lpstr>
      <vt:lpstr>COLA_reductions</vt:lpstr>
      <vt:lpstr>extrema</vt:lpstr>
      <vt:lpstr>multivariate</vt:lpstr>
      <vt:lpstr>conclusion</vt:lpstr>
      <vt:lpstr>appendix</vt:lpstr>
      <vt:lpstr>glossary</vt:lpstr>
      <vt:lpstr>notes</vt:lpstr>
      <vt:lpstr>PPA_try</vt:lpstr>
      <vt:lpstr>collection_age_OLD</vt:lpstr>
      <vt:lpstr>BP_table</vt:lpstr>
      <vt:lpstr>COLA_table</vt:lpstr>
      <vt:lpstr>NAWI_table</vt:lpstr>
      <vt:lpstr>TWB_table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Victoria Silverman</cp:lastModifiedBy>
  <dcterms:created xsi:type="dcterms:W3CDTF">2022-11-29T18:23:33Z</dcterms:created>
  <dcterms:modified xsi:type="dcterms:W3CDTF">2022-12-17T01:27:10Z</dcterms:modified>
</cp:coreProperties>
</file>